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ad Drive\Niks\IIT\Fall 2016\Financial Statement Analysis\Project\"/>
    </mc:Choice>
  </mc:AlternateContent>
  <bookViews>
    <workbookView xWindow="0" yWindow="0" windowWidth="23040" windowHeight="9390" firstSheet="7" activeTab="10"/>
  </bookViews>
  <sheets>
    <sheet name="Altman Z score" sheetId="1" r:id="rId1"/>
    <sheet name="Historical Performance" sheetId="2" r:id="rId2"/>
    <sheet name="DuPont Model" sheetId="3" r:id="rId3"/>
    <sheet name="Liquidity Ratio" sheetId="4" r:id="rId4"/>
    <sheet name="Financial Leverage Ratio" sheetId="5" r:id="rId5"/>
    <sheet name="Enterprise Value" sheetId="6" r:id="rId6"/>
    <sheet name="Depreciation Ratio" sheetId="7" r:id="rId7"/>
    <sheet name="Forecasting" sheetId="8" r:id="rId8"/>
    <sheet name="Student Case Forecasting" sheetId="10" r:id="rId9"/>
    <sheet name="Adjusted Financial Analysis" sheetId="9" r:id="rId10"/>
    <sheet name="Sustainable Cash Flow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9" l="1"/>
  <c r="C29" i="9"/>
  <c r="C31" i="9" s="1"/>
  <c r="C35" i="9"/>
  <c r="C37" i="9" s="1"/>
  <c r="F10" i="9"/>
  <c r="F15" i="9" s="1"/>
  <c r="F7" i="9"/>
  <c r="D9" i="11"/>
  <c r="C9" i="11"/>
  <c r="D7" i="9"/>
  <c r="D10" i="9" s="1"/>
  <c r="D15" i="9" s="1"/>
  <c r="E7" i="9"/>
  <c r="E10" i="9" s="1"/>
  <c r="E15" i="9" s="1"/>
  <c r="E17" i="9" s="1"/>
  <c r="E19" i="9" s="1"/>
  <c r="E21" i="9" s="1"/>
  <c r="C7" i="9"/>
  <c r="C10" i="9" s="1"/>
  <c r="C15" i="9" s="1"/>
  <c r="C17" i="9" s="1"/>
  <c r="C19" i="9" s="1"/>
  <c r="C21" i="9" s="1"/>
  <c r="D3" i="10"/>
  <c r="D5" i="10" s="1"/>
  <c r="E20" i="10"/>
  <c r="F20" i="10"/>
  <c r="D20" i="10"/>
  <c r="E18" i="10"/>
  <c r="F18" i="10"/>
  <c r="D18" i="10"/>
  <c r="C18" i="10"/>
  <c r="D9" i="10"/>
  <c r="E9" i="10" s="1"/>
  <c r="F9" i="10" s="1"/>
  <c r="R7" i="10"/>
  <c r="R8" i="10" s="1"/>
  <c r="R9" i="10" s="1"/>
  <c r="Q5" i="10"/>
  <c r="C8" i="10"/>
  <c r="C11" i="10" s="1"/>
  <c r="C13" i="10" s="1"/>
  <c r="C4" i="10"/>
  <c r="H18" i="7"/>
  <c r="E10" i="2"/>
  <c r="F10" i="2" s="1"/>
  <c r="D17" i="2"/>
  <c r="D20" i="2" s="1"/>
  <c r="C17" i="2"/>
  <c r="C20" i="2" s="1"/>
  <c r="E20" i="2" s="1"/>
  <c r="F20" i="2" s="1"/>
  <c r="E8" i="2"/>
  <c r="F8" i="2" s="1"/>
  <c r="E9" i="2"/>
  <c r="F9" i="2"/>
  <c r="E7" i="2"/>
  <c r="F7" i="2" s="1"/>
  <c r="E6" i="2"/>
  <c r="F6" i="2" s="1"/>
  <c r="E5" i="2"/>
  <c r="F5" i="2" s="1"/>
  <c r="E4" i="2"/>
  <c r="F4" i="2" s="1"/>
  <c r="E3" i="2"/>
  <c r="F3" i="2" s="1"/>
  <c r="J42" i="2"/>
  <c r="J44" i="2" s="1"/>
  <c r="I42" i="2"/>
  <c r="I44" i="2" s="1"/>
  <c r="J23" i="2"/>
  <c r="I23" i="2"/>
  <c r="K16" i="2"/>
  <c r="L16" i="2" s="1"/>
  <c r="E3" i="10" l="1"/>
  <c r="C39" i="9"/>
  <c r="C41" i="9" s="1"/>
  <c r="D16" i="9"/>
  <c r="D17" i="9"/>
  <c r="F16" i="9"/>
  <c r="F17" i="9" s="1"/>
  <c r="F19" i="9" s="1"/>
  <c r="F21" i="9" s="1"/>
  <c r="C17" i="10"/>
  <c r="C19" i="10" s="1"/>
  <c r="C22" i="10" s="1"/>
  <c r="D4" i="10"/>
  <c r="D6" i="10"/>
  <c r="D8" i="10" s="1"/>
  <c r="L6" i="8"/>
  <c r="P8" i="8"/>
  <c r="Q8" i="8" s="1"/>
  <c r="R8" i="8" s="1"/>
  <c r="D17" i="10" l="1"/>
  <c r="D19" i="10" s="1"/>
  <c r="D22" i="10" s="1"/>
  <c r="D25" i="10" s="1"/>
  <c r="D11" i="10"/>
  <c r="F3" i="10"/>
  <c r="E5" i="10"/>
  <c r="E6" i="10"/>
  <c r="E8" i="10" l="1"/>
  <c r="E11" i="10"/>
  <c r="E17" i="10"/>
  <c r="E19" i="10" s="1"/>
  <c r="E22" i="10" s="1"/>
  <c r="E25" i="10" s="1"/>
  <c r="D12" i="10"/>
  <c r="D13" i="10" s="1"/>
  <c r="D27" i="10" s="1"/>
  <c r="D28" i="10" s="1"/>
  <c r="F5" i="10"/>
  <c r="F6" i="10"/>
  <c r="E4" i="10"/>
  <c r="O10" i="8"/>
  <c r="F4" i="10" l="1"/>
  <c r="F8" i="10"/>
  <c r="E12" i="10"/>
  <c r="E13" i="10" s="1"/>
  <c r="E27" i="10" s="1"/>
  <c r="E28" i="10" s="1"/>
  <c r="D34" i="4"/>
  <c r="D40" i="4" s="1"/>
  <c r="D33" i="4"/>
  <c r="C33" i="4"/>
  <c r="C34" i="4" s="1"/>
  <c r="C40" i="4" s="1"/>
  <c r="K32" i="4"/>
  <c r="J32" i="4"/>
  <c r="D28" i="4"/>
  <c r="D29" i="4" s="1"/>
  <c r="D38" i="4" s="1"/>
  <c r="C28" i="4"/>
  <c r="C29" i="4" s="1"/>
  <c r="C38" i="4" s="1"/>
  <c r="K28" i="4"/>
  <c r="J28" i="4"/>
  <c r="D23" i="4"/>
  <c r="D24" i="4" s="1"/>
  <c r="D37" i="4" s="1"/>
  <c r="D39" i="4" s="1"/>
  <c r="D41" i="4" s="1"/>
  <c r="C23" i="4"/>
  <c r="C24" i="4" s="1"/>
  <c r="C37" i="4" s="1"/>
  <c r="C39" i="4" s="1"/>
  <c r="C41" i="4" s="1"/>
  <c r="K21" i="4"/>
  <c r="J21" i="4"/>
  <c r="R21" i="4"/>
  <c r="J4" i="4"/>
  <c r="F11" i="10" l="1"/>
  <c r="F17" i="10"/>
  <c r="F19" i="10" s="1"/>
  <c r="F22" i="10" s="1"/>
  <c r="F25" i="10" s="1"/>
  <c r="E26" i="8"/>
  <c r="D26" i="8"/>
  <c r="L27" i="8"/>
  <c r="D40" i="8" s="1"/>
  <c r="M27" i="8"/>
  <c r="F26" i="8" s="1"/>
  <c r="K27" i="8"/>
  <c r="C40" i="8" s="1"/>
  <c r="E20" i="8"/>
  <c r="F20" i="8" s="1"/>
  <c r="D20" i="8"/>
  <c r="D18" i="8"/>
  <c r="E18" i="8"/>
  <c r="F18" i="8"/>
  <c r="C18" i="8"/>
  <c r="D9" i="8"/>
  <c r="E9" i="8" s="1"/>
  <c r="F9" i="8" s="1"/>
  <c r="C8" i="8"/>
  <c r="C11" i="8" s="1"/>
  <c r="C13" i="8" s="1"/>
  <c r="L11" i="8"/>
  <c r="M11" i="8"/>
  <c r="K11" i="8"/>
  <c r="C4" i="8"/>
  <c r="K5" i="8"/>
  <c r="D3" i="8"/>
  <c r="C12" i="7"/>
  <c r="C5" i="7"/>
  <c r="C14" i="7" s="1"/>
  <c r="C10" i="6"/>
  <c r="C8" i="6"/>
  <c r="C6" i="6"/>
  <c r="D8" i="5"/>
  <c r="C8" i="5"/>
  <c r="D3" i="5"/>
  <c r="D4" i="5" s="1"/>
  <c r="D5" i="5" s="1"/>
  <c r="C3" i="5"/>
  <c r="C4" i="5" s="1"/>
  <c r="C5" i="5" s="1"/>
  <c r="D15" i="4"/>
  <c r="C15" i="4"/>
  <c r="D11" i="4"/>
  <c r="C11" i="4"/>
  <c r="D6" i="4"/>
  <c r="C6" i="4"/>
  <c r="D14" i="3"/>
  <c r="L14" i="3" s="1"/>
  <c r="C14" i="3"/>
  <c r="D10" i="3"/>
  <c r="C10" i="3"/>
  <c r="L10" i="3" s="1"/>
  <c r="D6" i="3"/>
  <c r="C6" i="3"/>
  <c r="I13" i="3"/>
  <c r="H13" i="3"/>
  <c r="H10" i="3"/>
  <c r="I10" i="3"/>
  <c r="C12" i="6" l="1"/>
  <c r="C15" i="6" s="1"/>
  <c r="C14" i="6"/>
  <c r="F12" i="10"/>
  <c r="F13" i="10" s="1"/>
  <c r="F27" i="10" s="1"/>
  <c r="F28" i="10" s="1"/>
  <c r="E40" i="8"/>
  <c r="D5" i="8"/>
  <c r="D4" i="8" s="1"/>
  <c r="D6" i="8"/>
  <c r="E3" i="8"/>
  <c r="C17" i="8"/>
  <c r="C19" i="8" s="1"/>
  <c r="C22" i="8" s="1"/>
  <c r="D16" i="3"/>
  <c r="C16" i="3"/>
  <c r="L6" i="3"/>
  <c r="K12" i="8"/>
  <c r="M6" i="8"/>
  <c r="N6" i="8" s="1"/>
  <c r="J51" i="2"/>
  <c r="I51" i="2"/>
  <c r="J47" i="2"/>
  <c r="I47" i="2"/>
  <c r="M43" i="2"/>
  <c r="M42" i="2"/>
  <c r="M44" i="2" s="1"/>
  <c r="L43" i="2"/>
  <c r="L42" i="2"/>
  <c r="J39" i="2"/>
  <c r="I39" i="2"/>
  <c r="J35" i="2"/>
  <c r="I35" i="2"/>
  <c r="J31" i="2"/>
  <c r="I31" i="2"/>
  <c r="K4" i="2"/>
  <c r="L4" i="2" s="1"/>
  <c r="K5" i="2"/>
  <c r="K7" i="2"/>
  <c r="K8" i="2"/>
  <c r="K14" i="2"/>
  <c r="L14" i="2" s="1"/>
  <c r="K15" i="2"/>
  <c r="L15" i="2" s="1"/>
  <c r="K3" i="2"/>
  <c r="L3" i="2" s="1"/>
  <c r="X4" i="2"/>
  <c r="Y4" i="2" s="1"/>
  <c r="X6" i="2"/>
  <c r="Y6" i="2" s="1"/>
  <c r="X8" i="2"/>
  <c r="Y8" i="2" s="1"/>
  <c r="X10" i="2"/>
  <c r="Y10" i="2" s="1"/>
  <c r="X3" i="2"/>
  <c r="Y3" i="2" s="1"/>
  <c r="C16" i="6" l="1"/>
  <c r="D8" i="8"/>
  <c r="D17" i="8" s="1"/>
  <c r="D19" i="8" s="1"/>
  <c r="D22" i="8" s="1"/>
  <c r="F3" i="8"/>
  <c r="E5" i="8"/>
  <c r="E6" i="8"/>
  <c r="L44" i="2"/>
  <c r="D11" i="8"/>
  <c r="D12" i="8" s="1"/>
  <c r="D13" i="8" s="1"/>
  <c r="D27" i="8" s="1"/>
  <c r="C41" i="8" s="1"/>
  <c r="C43" i="8" s="1"/>
  <c r="F5" i="8" l="1"/>
  <c r="F6" i="8"/>
  <c r="H4" i="8"/>
  <c r="H5" i="8" s="1"/>
  <c r="E8" i="8"/>
  <c r="E4" i="8"/>
  <c r="D25" i="8"/>
  <c r="D28" i="8" s="1"/>
  <c r="C35" i="8"/>
  <c r="C37" i="8" s="1"/>
  <c r="C44" i="8" s="1"/>
  <c r="W5" i="2"/>
  <c r="W7" i="2" s="1"/>
  <c r="V5" i="2"/>
  <c r="J6" i="2"/>
  <c r="I6" i="2"/>
  <c r="I30" i="2" s="1"/>
  <c r="I32" i="2" s="1"/>
  <c r="L30" i="1"/>
  <c r="L31" i="1" s="1"/>
  <c r="D8" i="1" s="1"/>
  <c r="K30" i="1"/>
  <c r="K31" i="1" s="1"/>
  <c r="C8" i="1" s="1"/>
  <c r="L18" i="1"/>
  <c r="L19" i="1" s="1"/>
  <c r="D6" i="1" s="1"/>
  <c r="K18" i="1"/>
  <c r="K19" i="1" s="1"/>
  <c r="C6" i="1" s="1"/>
  <c r="L13" i="1"/>
  <c r="L14" i="1" s="1"/>
  <c r="D5" i="1" s="1"/>
  <c r="K13" i="1"/>
  <c r="K14" i="1" s="1"/>
  <c r="C5" i="1" s="1"/>
  <c r="L23" i="1"/>
  <c r="K23" i="1"/>
  <c r="K25" i="1" s="1"/>
  <c r="K26" i="1" s="1"/>
  <c r="C7" i="1" s="1"/>
  <c r="F8" i="8" l="1"/>
  <c r="F4" i="8"/>
  <c r="J9" i="2"/>
  <c r="J13" i="2" s="1"/>
  <c r="J30" i="2"/>
  <c r="J32" i="2" s="1"/>
  <c r="E17" i="8"/>
  <c r="E19" i="8" s="1"/>
  <c r="E22" i="8" s="1"/>
  <c r="E11" i="8"/>
  <c r="E12" i="8" s="1"/>
  <c r="E13" i="8" s="1"/>
  <c r="E27" i="8" s="1"/>
  <c r="D41" i="8" s="1"/>
  <c r="D43" i="8" s="1"/>
  <c r="V7" i="2"/>
  <c r="X7" i="2" s="1"/>
  <c r="Y7" i="2" s="1"/>
  <c r="X5" i="2"/>
  <c r="Y5" i="2" s="1"/>
  <c r="K6" i="2"/>
  <c r="L6" i="2" s="1"/>
  <c r="I9" i="2"/>
  <c r="I13" i="2" s="1"/>
  <c r="L25" i="1"/>
  <c r="L26" i="1" s="1"/>
  <c r="D7" i="1" s="1"/>
  <c r="L6" i="1"/>
  <c r="L8" i="1" s="1"/>
  <c r="L9" i="1" s="1"/>
  <c r="D4" i="1" s="1"/>
  <c r="D9" i="1" s="1"/>
  <c r="K6" i="1"/>
  <c r="K8" i="1" s="1"/>
  <c r="K9" i="1" s="1"/>
  <c r="C4" i="1" s="1"/>
  <c r="C9" i="1" s="1"/>
  <c r="F11" i="8" l="1"/>
  <c r="F12" i="8" s="1"/>
  <c r="F13" i="8" s="1"/>
  <c r="F27" i="8" s="1"/>
  <c r="E41" i="8" s="1"/>
  <c r="E43" i="8" s="1"/>
  <c r="F17" i="8"/>
  <c r="F19" i="8" s="1"/>
  <c r="F22" i="8" s="1"/>
  <c r="I34" i="2"/>
  <c r="I36" i="2" s="1"/>
  <c r="J34" i="2"/>
  <c r="J36" i="2" s="1"/>
  <c r="D35" i="8"/>
  <c r="D37" i="8" s="1"/>
  <c r="D44" i="8" s="1"/>
  <c r="E25" i="8"/>
  <c r="E28" i="8" s="1"/>
  <c r="K9" i="2"/>
  <c r="L9" i="2" s="1"/>
  <c r="E35" i="8" l="1"/>
  <c r="E37" i="8" s="1"/>
  <c r="E44" i="8" s="1"/>
  <c r="F25" i="8"/>
  <c r="F28" i="8" s="1"/>
  <c r="J38" i="2"/>
  <c r="J40" i="2" s="1"/>
  <c r="K13" i="2"/>
  <c r="L13" i="2" s="1"/>
  <c r="I38" i="2"/>
  <c r="I40" i="2" s="1"/>
  <c r="I50" i="2" l="1"/>
  <c r="I52" i="2" s="1"/>
  <c r="I26" i="2"/>
  <c r="J50" i="2"/>
  <c r="J52" i="2" s="1"/>
  <c r="J26" i="2"/>
  <c r="D9" i="5" l="1"/>
  <c r="D10" i="5" s="1"/>
  <c r="J46" i="2"/>
  <c r="J48" i="2" s="1"/>
  <c r="K26" i="2"/>
  <c r="L26" i="2" s="1"/>
  <c r="I46" i="2"/>
  <c r="I48" i="2" s="1"/>
  <c r="C9" i="5"/>
  <c r="C10" i="5" s="1"/>
</calcChain>
</file>

<file path=xl/sharedStrings.xml><?xml version="1.0" encoding="utf-8"?>
<sst xmlns="http://schemas.openxmlformats.org/spreadsheetml/2006/main" count="355" uniqueCount="208">
  <si>
    <t>Working Capital</t>
  </si>
  <si>
    <t>Current Assets</t>
  </si>
  <si>
    <t>Less: Current Liablity</t>
  </si>
  <si>
    <t>Total Assets</t>
  </si>
  <si>
    <t>Retained Earnings</t>
  </si>
  <si>
    <t>EBIT</t>
  </si>
  <si>
    <t>Operating Income</t>
  </si>
  <si>
    <t>Market Value of Equity</t>
  </si>
  <si>
    <t>Shares Outstanding</t>
  </si>
  <si>
    <t>Sales</t>
  </si>
  <si>
    <t>Altman Z Score</t>
  </si>
  <si>
    <t>Revenues</t>
  </si>
  <si>
    <t>January 30,2015</t>
  </si>
  <si>
    <t>January 30,2016</t>
  </si>
  <si>
    <t>Cost of Goods Sold</t>
  </si>
  <si>
    <t>Restructuring charges — cost of goods sold</t>
  </si>
  <si>
    <t>Gross Profit</t>
  </si>
  <si>
    <t>Selling, general and administrative expenses</t>
  </si>
  <si>
    <t>Operating income</t>
  </si>
  <si>
    <t>Interest Expense</t>
  </si>
  <si>
    <t>Net Income</t>
  </si>
  <si>
    <t>Add: Depreciation and Amortization</t>
  </si>
  <si>
    <t>Average of high and Low</t>
  </si>
  <si>
    <t>Restructing Charges</t>
  </si>
  <si>
    <t>Dollar Change</t>
  </si>
  <si>
    <t>Percentage Change</t>
  </si>
  <si>
    <t>Restructuring Charges</t>
  </si>
  <si>
    <t>EBITDA</t>
  </si>
  <si>
    <t xml:space="preserve">Operating Income </t>
  </si>
  <si>
    <t>Gross Margin</t>
  </si>
  <si>
    <t>Revenue</t>
  </si>
  <si>
    <t>Operating Margin</t>
  </si>
  <si>
    <t>EBIT Margin</t>
  </si>
  <si>
    <t>Net Margin</t>
  </si>
  <si>
    <t>EBITDA Margin</t>
  </si>
  <si>
    <t>Interest Coverage</t>
  </si>
  <si>
    <t>3 Stage DuPont Model</t>
  </si>
  <si>
    <t>Net Profit Margin</t>
  </si>
  <si>
    <t>Average Total Assets</t>
  </si>
  <si>
    <t>Asset Turnover</t>
  </si>
  <si>
    <t>Average Shareholders' Equity</t>
  </si>
  <si>
    <t>Financial Leverage</t>
  </si>
  <si>
    <t>Total Shareholders' Equity</t>
  </si>
  <si>
    <t>Average</t>
  </si>
  <si>
    <t>profitablity</t>
  </si>
  <si>
    <t>long term actvity</t>
  </si>
  <si>
    <t>solvenvy</t>
  </si>
  <si>
    <t>Cash &amp; Cash Equivalents</t>
  </si>
  <si>
    <t>Accounts Receivable</t>
  </si>
  <si>
    <t>Current Liablities</t>
  </si>
  <si>
    <t>Operating Cash Flow</t>
  </si>
  <si>
    <t>Below benchmark  of .40</t>
  </si>
  <si>
    <t>Above bench mark  of 1</t>
  </si>
  <si>
    <t>Total Debt</t>
  </si>
  <si>
    <t>Total Debt to Total Capital</t>
  </si>
  <si>
    <t>Total Debt + Shareholders' equity</t>
  </si>
  <si>
    <t>Total EBITDA</t>
  </si>
  <si>
    <t>Total Debt to EBITDA</t>
  </si>
  <si>
    <t>Enterprise Value</t>
  </si>
  <si>
    <t>Share Price (As of Jan 30)</t>
  </si>
  <si>
    <t>Book Value of Interest bearing Debt</t>
  </si>
  <si>
    <t>Trading Value</t>
  </si>
  <si>
    <t>Market Value of Debt</t>
  </si>
  <si>
    <t>Ending Gross Property and Equipment</t>
  </si>
  <si>
    <t>Average Total life span of Best Buy's Property and Equipment</t>
  </si>
  <si>
    <t>Deprecition Expense</t>
  </si>
  <si>
    <t>Accumulatedd Depreciation</t>
  </si>
  <si>
    <t>Depreciation Expense</t>
  </si>
  <si>
    <t>Average Age of Property and Equipment</t>
  </si>
  <si>
    <t>Average Depreciable life of Property and Equipment</t>
  </si>
  <si>
    <t>SG&amp;A</t>
  </si>
  <si>
    <t>Percentage</t>
  </si>
  <si>
    <t>Selling and Admin Expense</t>
  </si>
  <si>
    <t>Working Notes</t>
  </si>
  <si>
    <t>Average of 3 years</t>
  </si>
  <si>
    <t>Restructure Charges</t>
  </si>
  <si>
    <t>Fiscal Year</t>
  </si>
  <si>
    <t>Earnings before taxes</t>
  </si>
  <si>
    <t>Income Tax expense</t>
  </si>
  <si>
    <t>Net Earnings from continuing operations</t>
  </si>
  <si>
    <t>Income Statement</t>
  </si>
  <si>
    <t>Capital Expenditure</t>
  </si>
  <si>
    <t>Maintence Capex</t>
  </si>
  <si>
    <t>Statement of Free Cash Flows</t>
  </si>
  <si>
    <t>Add: Depreciation</t>
  </si>
  <si>
    <t>Less: Maintence Capex</t>
  </si>
  <si>
    <t>Less: Dividend Payment</t>
  </si>
  <si>
    <t>Free Cash Flows</t>
  </si>
  <si>
    <t>Fixed Charge Coverage Ratio</t>
  </si>
  <si>
    <t>Lease Rents</t>
  </si>
  <si>
    <t>Interest</t>
  </si>
  <si>
    <t>Principal</t>
  </si>
  <si>
    <t>Dividends</t>
  </si>
  <si>
    <t>Improve by .22 of Revenue</t>
  </si>
  <si>
    <t>Cash Conversion Cycle</t>
  </si>
  <si>
    <t>Inventory Days</t>
  </si>
  <si>
    <t>Total Inventory</t>
  </si>
  <si>
    <t>Average Inventory</t>
  </si>
  <si>
    <t>Average Accounts Receivables</t>
  </si>
  <si>
    <t>Total Recevialbes</t>
  </si>
  <si>
    <t>Average Accounts Payables</t>
  </si>
  <si>
    <t>Total Payables</t>
  </si>
  <si>
    <t>Operating Cycle</t>
  </si>
  <si>
    <t>Less: Days Payables</t>
  </si>
  <si>
    <t>Cash Conversion Cycle Days</t>
  </si>
  <si>
    <t>Cost Of Goods Sold</t>
  </si>
  <si>
    <t>Book Value of Total  Interest BearingDebt</t>
  </si>
  <si>
    <t>Add: Restrucuture Charges</t>
  </si>
  <si>
    <t>X1 (Working Capital/Total Assets)</t>
  </si>
  <si>
    <t>X2 (Retained Earning/Total Assets)</t>
  </si>
  <si>
    <t>X3 (EBIT/Total Assets)</t>
  </si>
  <si>
    <t>X4 (Market Value of Equity/Total Liablities)</t>
  </si>
  <si>
    <t>X5 (Sales/Total Assets)</t>
  </si>
  <si>
    <t>Earnings from continued operations</t>
  </si>
  <si>
    <t>Net earnings attributable to Best Buy Co., Inc. shareholders</t>
  </si>
  <si>
    <t xml:space="preserve">   Gain on Sale of Investment</t>
  </si>
  <si>
    <t xml:space="preserve">   Investment income and other</t>
  </si>
  <si>
    <t>Other Income (Expense) :</t>
  </si>
  <si>
    <t>Stock Price as of January 30 (From Yahoo Finance)</t>
  </si>
  <si>
    <t>Dollar($) Change</t>
  </si>
  <si>
    <t>Percentage (%) Change</t>
  </si>
  <si>
    <t>EBITDA Calculation:-</t>
  </si>
  <si>
    <t xml:space="preserve">Fiscal Year </t>
  </si>
  <si>
    <t>Altman Z score = 1.2X1 + 1.4X2 + 3.3X3 + 0.6X4+1.0X5</t>
  </si>
  <si>
    <t>Altman Z Score Calculation</t>
  </si>
  <si>
    <t>1.2*( X1)</t>
  </si>
  <si>
    <t>1.4 *(X2)</t>
  </si>
  <si>
    <t>3.3* (X3)</t>
  </si>
  <si>
    <t>0.6*(X4)</t>
  </si>
  <si>
    <t>1.0* (X5)</t>
  </si>
  <si>
    <t>Dollar ($) Change</t>
  </si>
  <si>
    <t>Gross Margin (Gross Profit/Revenue)</t>
  </si>
  <si>
    <t>Operating Margin (Operating Income / Revenue)</t>
  </si>
  <si>
    <t>EBIT Margin (EBIT/Revenue)</t>
  </si>
  <si>
    <t>Net Margin (Net Income/ Revenue)</t>
  </si>
  <si>
    <t>EBITDA Margin (EBITDA/ Revenue)</t>
  </si>
  <si>
    <t>Interest Coverage (EBIT/ Interest Expense)</t>
  </si>
  <si>
    <t>17.38 X</t>
  </si>
  <si>
    <t>16.41 X</t>
  </si>
  <si>
    <t>Return on Equity (Net Profit Margin * Asset Turnover * Financial Leverage)</t>
  </si>
  <si>
    <t>Current Liability</t>
  </si>
  <si>
    <t>Current Ratio (Current Assets / Current Liability)</t>
  </si>
  <si>
    <t xml:space="preserve">Current Liabilities </t>
  </si>
  <si>
    <t>Quick Ratio ((Cash&amp; Cash Equivalents+Accounts Rec.)/ Current Liabilities)</t>
  </si>
  <si>
    <t>Cash Flow Ratio (Operating Cash Flow/ Current Liabilities)</t>
  </si>
  <si>
    <t>Liquidity Ratios</t>
  </si>
  <si>
    <t>Inventory Days (365/Inventory Turnover)</t>
  </si>
  <si>
    <t>Receivables Days (365/Receivables Turnover)</t>
  </si>
  <si>
    <t>Receivables Turnover (Revenue/Average Accounts Receivables)</t>
  </si>
  <si>
    <t>Payables Turnover (COGS/Average Accounts Payables)</t>
  </si>
  <si>
    <t>Inventory Turnover (COGS/Average Inventory)</t>
  </si>
  <si>
    <t>Days Payables (365/Payables Turnover)</t>
  </si>
  <si>
    <t>Add: Receivables Days</t>
  </si>
  <si>
    <t>Enterprise Value Calculation</t>
  </si>
  <si>
    <t>Enterprise Value (Market Value of Equity + Market Value of Debt)</t>
  </si>
  <si>
    <t>Shares Outstanding (in millions)</t>
  </si>
  <si>
    <t>Total Market Value of  Debt</t>
  </si>
  <si>
    <t>Total Debt to Enterprise Value</t>
  </si>
  <si>
    <t>Other (Investment) income</t>
  </si>
  <si>
    <t>Add: Other (Investment) Income</t>
  </si>
  <si>
    <t>Total (EBITDA + Lease Rents)</t>
  </si>
  <si>
    <t>Total (Interest + Principal Payment+ Main. Capex + Dividends + Rents)</t>
  </si>
  <si>
    <t xml:space="preserve">Revenue  increase </t>
  </si>
  <si>
    <t>No Acqusition /divestiture - restructure charge</t>
  </si>
  <si>
    <t>Gross margin is forecasted to improve by 33 basis point each year considering 2016 gross margin as base year.</t>
  </si>
  <si>
    <t>Restrcuture charges expected to be $30 million in 2017, $25 million in 2018 and $12.0 million in 2019</t>
  </si>
  <si>
    <t>Interest expense for 2017 is expected to increase by 1%, 3.2% for 2018 and 2019.</t>
  </si>
  <si>
    <t>Investment income forecasted to be $14 million in 2017, $18 million in 2018 and $12 million in 2019.</t>
  </si>
  <si>
    <t>Income tax rate assumed to be 40% for each year.</t>
  </si>
  <si>
    <t>SG&amp;A as % of revenues, for each forecasted period will be based on the 3-year historical average. (19.35% each year)</t>
  </si>
  <si>
    <t>Forecast Variables</t>
  </si>
  <si>
    <t>Maintence capex assumed same as management case</t>
  </si>
  <si>
    <t>Dividends assumed to be same as maamgement case - 2% of net earnings</t>
  </si>
  <si>
    <t>Revenue growth of 3.2%, 2.95% and 1.04% forecasted for 2017, 2018 and 2019 respectively.</t>
  </si>
  <si>
    <t>Revenue Growth</t>
  </si>
  <si>
    <t>Selling, General and Admin Expense (% of sales)</t>
  </si>
  <si>
    <t>Interest Expense (% of sales)</t>
  </si>
  <si>
    <t>Depreciation expense is forecasted to increase 2.7% each year (same as management case)</t>
  </si>
  <si>
    <t>Investment Income</t>
  </si>
  <si>
    <t>35% of capital expenditure ($575 million)</t>
  </si>
  <si>
    <t>35% of capital expenditure ($550 million)</t>
  </si>
  <si>
    <t>35% of captial expenditure ($675 million)</t>
  </si>
  <si>
    <t>Gross Margin (using gross margin of 2016 as base year)</t>
  </si>
  <si>
    <t>Dividends (% of net earnings)</t>
  </si>
  <si>
    <t>Actual 2016</t>
  </si>
  <si>
    <t>Adjusted 2016</t>
  </si>
  <si>
    <t>Actual 2015</t>
  </si>
  <si>
    <t>-</t>
  </si>
  <si>
    <t xml:space="preserve">Restructuring charges </t>
  </si>
  <si>
    <t>Other income (expense) :</t>
  </si>
  <si>
    <t xml:space="preserve">   Gain on sale of investments</t>
  </si>
  <si>
    <t>Earnings from continuing operations before income tax expense</t>
  </si>
  <si>
    <t>Income tax expense</t>
  </si>
  <si>
    <t>Net earnings from continuing operations</t>
  </si>
  <si>
    <t xml:space="preserve">Gain (loss) from discontinued operations </t>
  </si>
  <si>
    <t>Net earnings including noncontrolling interests</t>
  </si>
  <si>
    <t>Net (earnings) loss from discontinued operations attributable to noncontrolling interests</t>
  </si>
  <si>
    <t>Reported Operating Cash Flows</t>
  </si>
  <si>
    <t>Add: Special Income tax expense</t>
  </si>
  <si>
    <t>Add: Additional pension plan contribution</t>
  </si>
  <si>
    <t>Add: Settlement of Pending lawsuit</t>
  </si>
  <si>
    <t>Less: Proceeds from Sales of accounts receivables</t>
  </si>
  <si>
    <t>Add: Restructuring Charges</t>
  </si>
  <si>
    <t>Sustainable Operating Cahflows</t>
  </si>
  <si>
    <t>Adjusted 2015</t>
  </si>
  <si>
    <t>Average Shareholders' equity</t>
  </si>
  <si>
    <t>Return on Equity (Net Income/ Average Shareholders' equity)</t>
  </si>
  <si>
    <t>Return on Assets (Net Income/ Average Total Assets)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</si>
</sst>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%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4" fontId="0" fillId="0" borderId="0" xfId="0" applyNumberFormat="1"/>
    <xf numFmtId="10" fontId="0" fillId="0" borderId="0" xfId="1" applyNumberFormat="1" applyFont="1"/>
    <xf numFmtId="10" fontId="1" fillId="0" borderId="0" xfId="1" applyNumberFormat="1" applyFont="1"/>
    <xf numFmtId="0" fontId="3" fillId="0" borderId="0" xfId="0" applyFont="1"/>
    <xf numFmtId="2" fontId="1" fillId="0" borderId="0" xfId="0" applyNumberFormat="1" applyFont="1"/>
    <xf numFmtId="9" fontId="0" fillId="0" borderId="0" xfId="1" applyFont="1"/>
    <xf numFmtId="4" fontId="1" fillId="0" borderId="0" xfId="0" applyNumberFormat="1" applyFont="1"/>
    <xf numFmtId="164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3" fontId="3" fillId="0" borderId="0" xfId="0" applyNumberFormat="1" applyFont="1"/>
    <xf numFmtId="0" fontId="4" fillId="0" borderId="0" xfId="0" applyFont="1"/>
    <xf numFmtId="10" fontId="4" fillId="0" borderId="0" xfId="1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3" fontId="0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3" fontId="0" fillId="0" borderId="1" xfId="0" applyNumberFormat="1" applyBorder="1"/>
    <xf numFmtId="10" fontId="0" fillId="0" borderId="1" xfId="1" applyNumberFormat="1" applyFont="1" applyBorder="1"/>
    <xf numFmtId="3" fontId="1" fillId="0" borderId="1" xfId="0" applyNumberFormat="1" applyFont="1" applyBorder="1"/>
    <xf numFmtId="10" fontId="1" fillId="0" borderId="1" xfId="1" applyNumberFormat="1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/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4" fontId="0" fillId="0" borderId="1" xfId="0" applyNumberFormat="1" applyBorder="1"/>
    <xf numFmtId="4" fontId="1" fillId="0" borderId="1" xfId="0" applyNumberFormat="1" applyFont="1" applyBorder="1"/>
    <xf numFmtId="4" fontId="0" fillId="0" borderId="1" xfId="0" applyNumberFormat="1" applyFont="1" applyBorder="1"/>
    <xf numFmtId="2" fontId="0" fillId="0" borderId="1" xfId="0" applyNumberFormat="1" applyFont="1" applyBorder="1"/>
    <xf numFmtId="0" fontId="1" fillId="0" borderId="0" xfId="0" applyFont="1" applyBorder="1"/>
    <xf numFmtId="4" fontId="1" fillId="0" borderId="0" xfId="0" applyNumberFormat="1" applyFont="1" applyBorder="1"/>
    <xf numFmtId="0" fontId="1" fillId="3" borderId="1" xfId="0" applyFont="1" applyFill="1" applyBorder="1" applyAlignment="1"/>
    <xf numFmtId="9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6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3" borderId="3" xfId="0" applyFont="1" applyFill="1" applyBorder="1"/>
    <xf numFmtId="2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4" fontId="0" fillId="0" borderId="3" xfId="0" applyNumberFormat="1" applyFont="1" applyBorder="1"/>
    <xf numFmtId="4" fontId="1" fillId="0" borderId="3" xfId="0" applyNumberFormat="1" applyFont="1" applyBorder="1"/>
    <xf numFmtId="4" fontId="0" fillId="0" borderId="3" xfId="0" applyNumberFormat="1" applyBorder="1"/>
    <xf numFmtId="0" fontId="1" fillId="3" borderId="0" xfId="0" applyFont="1" applyFill="1" applyBorder="1"/>
    <xf numFmtId="2" fontId="0" fillId="0" borderId="0" xfId="0" applyNumberFormat="1" applyBorder="1"/>
    <xf numFmtId="4" fontId="0" fillId="0" borderId="0" xfId="0" applyNumberFormat="1" applyFont="1" applyBorder="1"/>
    <xf numFmtId="4" fontId="0" fillId="0" borderId="0" xfId="0" applyNumberFormat="1" applyBorder="1"/>
    <xf numFmtId="0" fontId="0" fillId="0" borderId="5" xfId="0" applyBorder="1"/>
    <xf numFmtId="2" fontId="0" fillId="0" borderId="2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topLeftCell="B1" workbookViewId="0">
      <selection activeCell="B25" sqref="B25"/>
    </sheetView>
  </sheetViews>
  <sheetFormatPr defaultRowHeight="15" x14ac:dyDescent="0.25"/>
  <cols>
    <col min="2" max="2" width="46.28515625" bestFit="1" customWidth="1"/>
    <col min="10" max="10" width="42.42578125" bestFit="1" customWidth="1"/>
    <col min="11" max="12" width="13.42578125" bestFit="1" customWidth="1"/>
  </cols>
  <sheetData>
    <row r="2" spans="2:16" x14ac:dyDescent="0.25">
      <c r="B2" s="36" t="s">
        <v>123</v>
      </c>
      <c r="C2" s="36">
        <v>2016</v>
      </c>
      <c r="D2" s="36">
        <v>2015</v>
      </c>
      <c r="J2" s="93" t="s">
        <v>124</v>
      </c>
      <c r="K2" s="93"/>
      <c r="L2" s="93"/>
    </row>
    <row r="3" spans="2:16" x14ac:dyDescent="0.25">
      <c r="B3" s="24"/>
      <c r="C3" s="24"/>
      <c r="D3" s="24"/>
      <c r="J3" s="36" t="s">
        <v>122</v>
      </c>
      <c r="K3" s="36">
        <v>2016</v>
      </c>
      <c r="L3" s="36">
        <v>2015</v>
      </c>
    </row>
    <row r="4" spans="2:16" x14ac:dyDescent="0.25">
      <c r="B4" s="24" t="s">
        <v>108</v>
      </c>
      <c r="C4" s="41">
        <f>K9</f>
        <v>0.26283009098306087</v>
      </c>
      <c r="D4" s="41">
        <f>L9</f>
        <v>0.29084945883896357</v>
      </c>
      <c r="F4" s="2"/>
      <c r="G4" s="2"/>
      <c r="J4" s="24" t="s">
        <v>1</v>
      </c>
      <c r="K4" s="28">
        <v>9886</v>
      </c>
      <c r="L4" s="28">
        <v>11472</v>
      </c>
    </row>
    <row r="5" spans="2:16" x14ac:dyDescent="0.25">
      <c r="B5" s="24" t="s">
        <v>109</v>
      </c>
      <c r="C5" s="41">
        <f>K14</f>
        <v>0.42769435609142686</v>
      </c>
      <c r="D5" s="41">
        <f>L14</f>
        <v>0.38028205969170215</v>
      </c>
      <c r="F5" s="2"/>
      <c r="G5" s="2"/>
      <c r="J5" s="24" t="s">
        <v>2</v>
      </c>
      <c r="K5" s="28">
        <v>-6925</v>
      </c>
      <c r="L5" s="28">
        <v>-7777</v>
      </c>
    </row>
    <row r="6" spans="2:16" x14ac:dyDescent="0.25">
      <c r="B6" s="24" t="s">
        <v>110</v>
      </c>
      <c r="C6" s="41">
        <f>K19</f>
        <v>0.33930024410089504</v>
      </c>
      <c r="D6" s="41">
        <f>L19</f>
        <v>0.31971794030829775</v>
      </c>
      <c r="F6" s="2"/>
      <c r="G6" s="2"/>
      <c r="J6" s="24" t="s">
        <v>0</v>
      </c>
      <c r="K6" s="28">
        <f>K4+K5</f>
        <v>2961</v>
      </c>
      <c r="L6" s="28">
        <f>L4+L5</f>
        <v>3695</v>
      </c>
    </row>
    <row r="7" spans="2:16" x14ac:dyDescent="0.25">
      <c r="B7" s="24" t="s">
        <v>111</v>
      </c>
      <c r="C7" s="41">
        <f>K26</f>
        <v>3.1312525951557091</v>
      </c>
      <c r="D7" s="41">
        <f>L26</f>
        <v>4.6089522628642285</v>
      </c>
      <c r="F7" s="2"/>
      <c r="G7" s="2"/>
      <c r="J7" s="24" t="s">
        <v>3</v>
      </c>
      <c r="K7" s="28">
        <v>13519</v>
      </c>
      <c r="L7" s="28">
        <v>15245</v>
      </c>
    </row>
    <row r="8" spans="2:16" x14ac:dyDescent="0.25">
      <c r="B8" s="24" t="s">
        <v>112</v>
      </c>
      <c r="C8" s="41">
        <f>K31</f>
        <v>2.9238849027294918</v>
      </c>
      <c r="D8" s="41">
        <f>L31</f>
        <v>2.6460478845523121</v>
      </c>
      <c r="F8" s="2"/>
      <c r="G8" s="2"/>
      <c r="J8" s="24" t="s">
        <v>108</v>
      </c>
      <c r="K8" s="41">
        <f>K6/K7</f>
        <v>0.2190250758192174</v>
      </c>
      <c r="L8" s="41">
        <f>L6/L7</f>
        <v>0.24237454903246966</v>
      </c>
    </row>
    <row r="9" spans="2:16" x14ac:dyDescent="0.25">
      <c r="B9" s="19" t="s">
        <v>10</v>
      </c>
      <c r="C9" s="42">
        <f>SUM(C4:C8)</f>
        <v>7.0849621890605832</v>
      </c>
      <c r="D9" s="42">
        <f>SUM(D4:D8)</f>
        <v>8.2458496062555042</v>
      </c>
      <c r="F9" s="2"/>
      <c r="G9" s="2"/>
      <c r="J9" s="38" t="s">
        <v>125</v>
      </c>
      <c r="K9" s="41">
        <f>K8*1.2</f>
        <v>0.26283009098306087</v>
      </c>
      <c r="L9" s="41">
        <f>L8*1.2</f>
        <v>0.29084945883896357</v>
      </c>
    </row>
    <row r="10" spans="2:16" x14ac:dyDescent="0.25">
      <c r="J10" s="24"/>
      <c r="K10" s="24"/>
      <c r="L10" s="24"/>
    </row>
    <row r="11" spans="2:16" x14ac:dyDescent="0.25">
      <c r="J11" s="24" t="s">
        <v>4</v>
      </c>
      <c r="K11" s="28">
        <v>4130</v>
      </c>
      <c r="L11" s="28">
        <v>4141</v>
      </c>
    </row>
    <row r="12" spans="2:16" x14ac:dyDescent="0.25">
      <c r="J12" s="24" t="s">
        <v>3</v>
      </c>
      <c r="K12" s="28">
        <v>13519</v>
      </c>
      <c r="L12" s="28">
        <v>15245</v>
      </c>
    </row>
    <row r="13" spans="2:16" x14ac:dyDescent="0.25">
      <c r="J13" s="24" t="s">
        <v>109</v>
      </c>
      <c r="K13" s="41">
        <f>K11/K12</f>
        <v>0.30549596863673351</v>
      </c>
      <c r="L13" s="41">
        <f>L11/L12</f>
        <v>0.27163004263693014</v>
      </c>
    </row>
    <row r="14" spans="2:16" x14ac:dyDescent="0.25">
      <c r="J14" s="38" t="s">
        <v>126</v>
      </c>
      <c r="K14" s="41">
        <f>K13*1.4</f>
        <v>0.42769435609142686</v>
      </c>
      <c r="L14" s="41">
        <f>L13*1.4</f>
        <v>0.38028205969170215</v>
      </c>
      <c r="O14" s="1"/>
      <c r="P14" s="1"/>
    </row>
    <row r="15" spans="2:16" x14ac:dyDescent="0.25">
      <c r="J15" s="24"/>
      <c r="K15" s="24"/>
      <c r="L15" s="24"/>
    </row>
    <row r="16" spans="2:16" x14ac:dyDescent="0.25">
      <c r="J16" s="24" t="s">
        <v>5</v>
      </c>
      <c r="K16" s="28">
        <v>1390</v>
      </c>
      <c r="L16" s="28">
        <v>1477</v>
      </c>
      <c r="O16" s="1"/>
      <c r="P16" s="1"/>
    </row>
    <row r="17" spans="10:15" x14ac:dyDescent="0.25">
      <c r="J17" s="24" t="s">
        <v>3</v>
      </c>
      <c r="K17" s="28">
        <v>13519</v>
      </c>
      <c r="L17" s="28">
        <v>15245</v>
      </c>
    </row>
    <row r="18" spans="10:15" x14ac:dyDescent="0.25">
      <c r="J18" s="24" t="s">
        <v>110</v>
      </c>
      <c r="K18" s="41">
        <f>K16/K17</f>
        <v>0.10281825578815001</v>
      </c>
      <c r="L18" s="41">
        <f>L16/L17</f>
        <v>9.6884224335847813E-2</v>
      </c>
    </row>
    <row r="19" spans="10:15" x14ac:dyDescent="0.25">
      <c r="J19" s="38" t="s">
        <v>127</v>
      </c>
      <c r="K19" s="41">
        <f>K18*3.3</f>
        <v>0.33930024410089504</v>
      </c>
      <c r="L19" s="41">
        <f>L18*3.3</f>
        <v>0.31971794030829775</v>
      </c>
      <c r="N19" t="s">
        <v>22</v>
      </c>
    </row>
    <row r="20" spans="10:15" x14ac:dyDescent="0.25">
      <c r="J20" s="24"/>
      <c r="K20" s="24"/>
      <c r="L20" s="24"/>
    </row>
    <row r="21" spans="10:15" x14ac:dyDescent="0.25">
      <c r="J21" s="24" t="s">
        <v>8</v>
      </c>
      <c r="K21" s="28">
        <v>324</v>
      </c>
      <c r="L21" s="28">
        <v>352</v>
      </c>
      <c r="N21" s="1"/>
      <c r="O21" s="1"/>
    </row>
    <row r="22" spans="10:15" x14ac:dyDescent="0.25">
      <c r="J22" s="24" t="s">
        <v>118</v>
      </c>
      <c r="K22" s="41">
        <v>27.93</v>
      </c>
      <c r="L22" s="41">
        <v>35.200000000000003</v>
      </c>
      <c r="N22" s="1"/>
      <c r="O22" s="1"/>
    </row>
    <row r="23" spans="10:15" x14ac:dyDescent="0.25">
      <c r="J23" s="24" t="s">
        <v>7</v>
      </c>
      <c r="K23" s="28">
        <f>K21*K22</f>
        <v>9049.32</v>
      </c>
      <c r="L23" s="28">
        <f>L21*L22</f>
        <v>12390.400000000001</v>
      </c>
      <c r="N23" s="2"/>
      <c r="O23" s="2"/>
    </row>
    <row r="24" spans="10:15" x14ac:dyDescent="0.25">
      <c r="J24" s="24" t="s">
        <v>106</v>
      </c>
      <c r="K24" s="28">
        <v>1734</v>
      </c>
      <c r="L24" s="28">
        <v>1613</v>
      </c>
    </row>
    <row r="25" spans="10:15" x14ac:dyDescent="0.25">
      <c r="J25" s="24" t="s">
        <v>111</v>
      </c>
      <c r="K25" s="41">
        <f>K23/K24</f>
        <v>5.218754325259515</v>
      </c>
      <c r="L25" s="41">
        <f>L23/L24</f>
        <v>7.6815871047737145</v>
      </c>
    </row>
    <row r="26" spans="10:15" x14ac:dyDescent="0.25">
      <c r="J26" s="38" t="s">
        <v>128</v>
      </c>
      <c r="K26" s="41">
        <f>K25*0.6</f>
        <v>3.1312525951557091</v>
      </c>
      <c r="L26" s="41">
        <f>L25*0.6</f>
        <v>4.6089522628642285</v>
      </c>
    </row>
    <row r="27" spans="10:15" x14ac:dyDescent="0.25">
      <c r="J27" s="24"/>
      <c r="K27" s="24"/>
      <c r="L27" s="24"/>
    </row>
    <row r="28" spans="10:15" x14ac:dyDescent="0.25">
      <c r="J28" s="24" t="s">
        <v>9</v>
      </c>
      <c r="K28" s="28">
        <v>39528</v>
      </c>
      <c r="L28" s="28">
        <v>40339</v>
      </c>
    </row>
    <row r="29" spans="10:15" x14ac:dyDescent="0.25">
      <c r="J29" s="24" t="s">
        <v>3</v>
      </c>
      <c r="K29" s="28">
        <v>13519</v>
      </c>
      <c r="L29" s="28">
        <v>15245</v>
      </c>
    </row>
    <row r="30" spans="10:15" x14ac:dyDescent="0.25">
      <c r="J30" s="24" t="s">
        <v>112</v>
      </c>
      <c r="K30" s="41">
        <f>K28/K29</f>
        <v>2.9238849027294918</v>
      </c>
      <c r="L30" s="41">
        <f>L28/L29</f>
        <v>2.6460478845523121</v>
      </c>
    </row>
    <row r="31" spans="10:15" x14ac:dyDescent="0.25">
      <c r="J31" s="38" t="s">
        <v>129</v>
      </c>
      <c r="K31" s="41">
        <f>K30*1</f>
        <v>2.9238849027294918</v>
      </c>
      <c r="L31" s="41">
        <f>L30*1</f>
        <v>2.6460478845523121</v>
      </c>
    </row>
  </sheetData>
  <mergeCells count="1">
    <mergeCell ref="J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workbookViewId="0"/>
  </sheetViews>
  <sheetFormatPr defaultRowHeight="15" x14ac:dyDescent="0.25"/>
  <cols>
    <col min="2" max="2" width="51.28515625" bestFit="1" customWidth="1"/>
    <col min="3" max="3" width="12.7109375" customWidth="1"/>
    <col min="4" max="4" width="14" customWidth="1"/>
    <col min="5" max="5" width="10.5703125" bestFit="1" customWidth="1"/>
    <col min="6" max="6" width="12.42578125" bestFit="1" customWidth="1"/>
  </cols>
  <sheetData>
    <row r="2" spans="2:11" x14ac:dyDescent="0.25">
      <c r="B2" s="95" t="s">
        <v>80</v>
      </c>
      <c r="C2" s="95"/>
      <c r="D2" s="95"/>
      <c r="E2" s="95"/>
      <c r="F2" s="95"/>
    </row>
    <row r="3" spans="2:11" x14ac:dyDescent="0.25">
      <c r="B3" s="32" t="s">
        <v>76</v>
      </c>
      <c r="C3" s="32" t="s">
        <v>184</v>
      </c>
      <c r="D3" s="32" t="s">
        <v>185</v>
      </c>
      <c r="E3" s="32" t="s">
        <v>186</v>
      </c>
      <c r="F3" s="32" t="s">
        <v>204</v>
      </c>
    </row>
    <row r="4" spans="2:11" x14ac:dyDescent="0.25">
      <c r="B4" s="24" t="s">
        <v>30</v>
      </c>
      <c r="C4" s="28">
        <v>39528</v>
      </c>
      <c r="D4" s="28">
        <v>39528</v>
      </c>
      <c r="E4" s="28">
        <v>40339</v>
      </c>
      <c r="F4" s="28">
        <v>40339</v>
      </c>
    </row>
    <row r="5" spans="2:11" x14ac:dyDescent="0.25">
      <c r="B5" s="24" t="s">
        <v>105</v>
      </c>
      <c r="C5" s="28">
        <v>30334</v>
      </c>
      <c r="D5" s="28">
        <v>30334</v>
      </c>
      <c r="E5" s="28">
        <v>31292</v>
      </c>
      <c r="F5" s="28">
        <v>31292</v>
      </c>
    </row>
    <row r="6" spans="2:11" x14ac:dyDescent="0.25">
      <c r="B6" s="24" t="s">
        <v>15</v>
      </c>
      <c r="C6" s="28">
        <v>3</v>
      </c>
      <c r="D6" s="28"/>
      <c r="E6" s="38" t="s">
        <v>187</v>
      </c>
      <c r="F6" s="24"/>
      <c r="K6" s="1"/>
    </row>
    <row r="7" spans="2:11" x14ac:dyDescent="0.25">
      <c r="B7" s="24" t="s">
        <v>16</v>
      </c>
      <c r="C7" s="28">
        <f>C4-C5-C6</f>
        <v>9191</v>
      </c>
      <c r="D7" s="28">
        <f>D4-D5</f>
        <v>9194</v>
      </c>
      <c r="E7" s="28">
        <f>E4-E5</f>
        <v>9047</v>
      </c>
      <c r="F7" s="28">
        <f>F4-F5</f>
        <v>9047</v>
      </c>
    </row>
    <row r="8" spans="2:11" x14ac:dyDescent="0.25">
      <c r="B8" s="24" t="s">
        <v>17</v>
      </c>
      <c r="C8" s="28">
        <v>7618</v>
      </c>
      <c r="D8" s="28">
        <v>7618</v>
      </c>
      <c r="E8" s="28">
        <v>7592</v>
      </c>
      <c r="F8" s="28">
        <v>7592</v>
      </c>
      <c r="K8" s="1"/>
    </row>
    <row r="9" spans="2:11" x14ac:dyDescent="0.25">
      <c r="B9" s="24" t="s">
        <v>188</v>
      </c>
      <c r="C9" s="28">
        <v>198</v>
      </c>
      <c r="D9" s="24"/>
      <c r="E9" s="28">
        <v>5</v>
      </c>
      <c r="F9" s="24"/>
    </row>
    <row r="10" spans="2:11" x14ac:dyDescent="0.25">
      <c r="B10" s="24" t="s">
        <v>6</v>
      </c>
      <c r="C10" s="28">
        <f>C7-C8-C9</f>
        <v>1375</v>
      </c>
      <c r="D10" s="28">
        <f>D7-D8</f>
        <v>1576</v>
      </c>
      <c r="E10" s="28">
        <f t="shared" ref="E10" si="0">E7-E8-E9</f>
        <v>1450</v>
      </c>
      <c r="F10" s="28">
        <f>F7-F8</f>
        <v>1455</v>
      </c>
    </row>
    <row r="11" spans="2:11" x14ac:dyDescent="0.25">
      <c r="B11" s="24" t="s">
        <v>189</v>
      </c>
      <c r="C11" s="24"/>
      <c r="D11" s="24"/>
      <c r="E11" s="24"/>
      <c r="F11" s="24"/>
    </row>
    <row r="12" spans="2:11" x14ac:dyDescent="0.25">
      <c r="B12" s="24" t="s">
        <v>190</v>
      </c>
      <c r="C12" s="24">
        <v>2</v>
      </c>
      <c r="D12" s="24">
        <v>2</v>
      </c>
      <c r="E12" s="24">
        <v>13</v>
      </c>
      <c r="F12" s="24">
        <v>13</v>
      </c>
    </row>
    <row r="13" spans="2:11" x14ac:dyDescent="0.25">
      <c r="B13" s="24" t="s">
        <v>116</v>
      </c>
      <c r="C13" s="28">
        <v>13</v>
      </c>
      <c r="D13" s="24">
        <v>13</v>
      </c>
      <c r="E13" s="28">
        <v>14</v>
      </c>
      <c r="F13" s="28">
        <v>14</v>
      </c>
    </row>
    <row r="14" spans="2:11" x14ac:dyDescent="0.25">
      <c r="B14" s="24" t="s">
        <v>19</v>
      </c>
      <c r="C14" s="28">
        <v>-80</v>
      </c>
      <c r="D14" s="24">
        <v>-80</v>
      </c>
      <c r="E14" s="28">
        <v>-90</v>
      </c>
      <c r="F14" s="28">
        <v>-90</v>
      </c>
    </row>
    <row r="15" spans="2:11" ht="30" x14ac:dyDescent="0.25">
      <c r="B15" s="91" t="s">
        <v>191</v>
      </c>
      <c r="C15" s="28">
        <f>C10+C12+C13+C14</f>
        <v>1310</v>
      </c>
      <c r="D15" s="28">
        <f>D10+D12+D13+D14</f>
        <v>1511</v>
      </c>
      <c r="E15" s="28">
        <f t="shared" ref="E15" si="1">E10+E12+E13+E14</f>
        <v>1387</v>
      </c>
      <c r="F15" s="28">
        <f>F10+F12+F13+F14</f>
        <v>1392</v>
      </c>
    </row>
    <row r="16" spans="2:11" x14ac:dyDescent="0.25">
      <c r="B16" s="24" t="s">
        <v>192</v>
      </c>
      <c r="C16" s="24">
        <v>503</v>
      </c>
      <c r="D16" s="24">
        <f>D15*0.38</f>
        <v>574.17999999999995</v>
      </c>
      <c r="E16" s="24">
        <v>141</v>
      </c>
      <c r="F16" s="24">
        <f>F15*0.38</f>
        <v>528.96</v>
      </c>
    </row>
    <row r="17" spans="2:6" x14ac:dyDescent="0.25">
      <c r="B17" s="19" t="s">
        <v>193</v>
      </c>
      <c r="C17" s="30">
        <f>C15-C16</f>
        <v>807</v>
      </c>
      <c r="D17" s="30">
        <f>D15-D16</f>
        <v>936.82</v>
      </c>
      <c r="E17" s="30">
        <f t="shared" ref="E17" si="2">E15-E16</f>
        <v>1246</v>
      </c>
      <c r="F17" s="30">
        <f>F15-F16</f>
        <v>863.04</v>
      </c>
    </row>
    <row r="18" spans="2:6" x14ac:dyDescent="0.25">
      <c r="B18" s="24" t="s">
        <v>194</v>
      </c>
      <c r="C18" s="28">
        <v>90</v>
      </c>
      <c r="D18" s="24"/>
      <c r="E18" s="28">
        <v>-11</v>
      </c>
      <c r="F18" s="24"/>
    </row>
    <row r="19" spans="2:6" x14ac:dyDescent="0.25">
      <c r="B19" s="24" t="s">
        <v>195</v>
      </c>
      <c r="C19" s="28">
        <f>C17+C18</f>
        <v>897</v>
      </c>
      <c r="D19" s="28"/>
      <c r="E19" s="28">
        <f t="shared" ref="E19" si="3">E17+E18</f>
        <v>1235</v>
      </c>
      <c r="F19" s="28">
        <f>F17+F18</f>
        <v>863.04</v>
      </c>
    </row>
    <row r="20" spans="2:6" ht="30" x14ac:dyDescent="0.25">
      <c r="B20" s="91" t="s">
        <v>196</v>
      </c>
      <c r="C20" s="24"/>
      <c r="D20" s="24"/>
      <c r="E20" s="24">
        <v>-2</v>
      </c>
      <c r="F20" s="24"/>
    </row>
    <row r="21" spans="2:6" ht="30" x14ac:dyDescent="0.25">
      <c r="B21" s="92" t="s">
        <v>114</v>
      </c>
      <c r="C21" s="30">
        <f>C19+C20</f>
        <v>897</v>
      </c>
      <c r="D21" s="30">
        <v>937</v>
      </c>
      <c r="E21" s="30">
        <f t="shared" ref="E21" si="4">E19+E20</f>
        <v>1233</v>
      </c>
      <c r="F21" s="30">
        <f>F19+F20</f>
        <v>863.04</v>
      </c>
    </row>
    <row r="24" spans="2:6" x14ac:dyDescent="0.25">
      <c r="B24" s="32" t="s">
        <v>76</v>
      </c>
      <c r="C24" s="32" t="s">
        <v>184</v>
      </c>
    </row>
    <row r="25" spans="2:6" x14ac:dyDescent="0.25">
      <c r="B25" s="24" t="s">
        <v>20</v>
      </c>
      <c r="C25" s="28">
        <v>897</v>
      </c>
    </row>
    <row r="26" spans="2:6" x14ac:dyDescent="0.25">
      <c r="B26" s="24" t="s">
        <v>205</v>
      </c>
      <c r="C26" s="28">
        <v>4689</v>
      </c>
    </row>
    <row r="27" spans="2:6" x14ac:dyDescent="0.25">
      <c r="B27" s="19" t="s">
        <v>206</v>
      </c>
      <c r="C27" s="31">
        <f>C25/C26</f>
        <v>0.19129878438899553</v>
      </c>
    </row>
    <row r="28" spans="2:6" x14ac:dyDescent="0.25">
      <c r="B28" s="24"/>
      <c r="C28" s="24"/>
    </row>
    <row r="29" spans="2:6" x14ac:dyDescent="0.25">
      <c r="B29" s="24" t="s">
        <v>20</v>
      </c>
      <c r="C29" s="28">
        <f>C25</f>
        <v>897</v>
      </c>
    </row>
    <row r="30" spans="2:6" x14ac:dyDescent="0.25">
      <c r="B30" s="24" t="s">
        <v>38</v>
      </c>
      <c r="C30" s="28">
        <v>14382</v>
      </c>
    </row>
    <row r="31" spans="2:6" x14ac:dyDescent="0.25">
      <c r="B31" s="19" t="s">
        <v>207</v>
      </c>
      <c r="C31" s="31">
        <f>C29/C30</f>
        <v>6.2369628702544845E-2</v>
      </c>
    </row>
    <row r="34" spans="2:3" x14ac:dyDescent="0.25">
      <c r="B34" s="32" t="s">
        <v>76</v>
      </c>
      <c r="C34" s="32" t="s">
        <v>185</v>
      </c>
    </row>
    <row r="35" spans="2:3" x14ac:dyDescent="0.25">
      <c r="B35" s="24" t="s">
        <v>20</v>
      </c>
      <c r="C35" s="28">
        <f>D21</f>
        <v>937</v>
      </c>
    </row>
    <row r="36" spans="2:3" x14ac:dyDescent="0.25">
      <c r="B36" s="24" t="s">
        <v>205</v>
      </c>
      <c r="C36" s="28">
        <v>4689</v>
      </c>
    </row>
    <row r="37" spans="2:3" x14ac:dyDescent="0.25">
      <c r="B37" s="19" t="s">
        <v>206</v>
      </c>
      <c r="C37" s="31">
        <f>C35/C36</f>
        <v>0.199829387929196</v>
      </c>
    </row>
    <row r="38" spans="2:3" x14ac:dyDescent="0.25">
      <c r="B38" s="24"/>
      <c r="C38" s="24"/>
    </row>
    <row r="39" spans="2:3" x14ac:dyDescent="0.25">
      <c r="B39" s="24" t="s">
        <v>20</v>
      </c>
      <c r="C39" s="28">
        <f>C35</f>
        <v>937</v>
      </c>
    </row>
    <row r="40" spans="2:3" x14ac:dyDescent="0.25">
      <c r="B40" s="24" t="s">
        <v>38</v>
      </c>
      <c r="C40" s="28">
        <v>14382</v>
      </c>
    </row>
    <row r="41" spans="2:3" x14ac:dyDescent="0.25">
      <c r="B41" s="19" t="s">
        <v>207</v>
      </c>
      <c r="C41" s="31">
        <f>C39/C40</f>
        <v>6.5150883048254768E-2</v>
      </c>
    </row>
  </sheetData>
  <mergeCells count="1">
    <mergeCell ref="B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B2" sqref="B2:D9"/>
    </sheetView>
  </sheetViews>
  <sheetFormatPr defaultRowHeight="15" x14ac:dyDescent="0.25"/>
  <cols>
    <col min="2" max="2" width="42.28515625" bestFit="1" customWidth="1"/>
  </cols>
  <sheetData>
    <row r="2" spans="2:4" x14ac:dyDescent="0.25">
      <c r="B2" s="32" t="s">
        <v>76</v>
      </c>
      <c r="C2" s="33">
        <v>2016</v>
      </c>
      <c r="D2" s="33">
        <v>2015</v>
      </c>
    </row>
    <row r="3" spans="2:4" x14ac:dyDescent="0.25">
      <c r="B3" s="24" t="s">
        <v>197</v>
      </c>
      <c r="C3" s="25">
        <v>1322</v>
      </c>
      <c r="D3" s="25">
        <v>1935</v>
      </c>
    </row>
    <row r="4" spans="2:4" x14ac:dyDescent="0.25">
      <c r="B4" s="24" t="s">
        <v>198</v>
      </c>
      <c r="C4" s="38">
        <v>6</v>
      </c>
      <c r="D4" s="38"/>
    </row>
    <row r="5" spans="2:4" x14ac:dyDescent="0.25">
      <c r="B5" s="24" t="s">
        <v>199</v>
      </c>
      <c r="C5" s="38">
        <v>12</v>
      </c>
      <c r="D5" s="38"/>
    </row>
    <row r="6" spans="2:4" x14ac:dyDescent="0.25">
      <c r="B6" s="24" t="s">
        <v>200</v>
      </c>
      <c r="C6" s="38">
        <v>5.2</v>
      </c>
      <c r="D6" s="38"/>
    </row>
    <row r="7" spans="2:4" x14ac:dyDescent="0.25">
      <c r="B7" s="24" t="s">
        <v>201</v>
      </c>
      <c r="C7" s="38"/>
      <c r="D7" s="38">
        <v>-15</v>
      </c>
    </row>
    <row r="8" spans="2:4" x14ac:dyDescent="0.25">
      <c r="B8" s="24" t="s">
        <v>202</v>
      </c>
      <c r="C8" s="38"/>
      <c r="D8" s="38">
        <v>75</v>
      </c>
    </row>
    <row r="9" spans="2:4" x14ac:dyDescent="0.25">
      <c r="B9" s="90" t="s">
        <v>203</v>
      </c>
      <c r="C9" s="30">
        <f>C3+C4+C5+C6</f>
        <v>1345.2</v>
      </c>
      <c r="D9" s="30">
        <f>D3+D7+D8</f>
        <v>1995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2"/>
  <sheetViews>
    <sheetView workbookViewId="0">
      <selection activeCell="L6" sqref="L6:L8"/>
    </sheetView>
  </sheetViews>
  <sheetFormatPr defaultRowHeight="15" x14ac:dyDescent="0.25"/>
  <cols>
    <col min="2" max="2" width="48.28515625" customWidth="1"/>
    <col min="3" max="4" width="14.7109375" bestFit="1" customWidth="1"/>
    <col min="5" max="5" width="15.140625" bestFit="1" customWidth="1"/>
    <col min="6" max="6" width="20.7109375" bestFit="1" customWidth="1"/>
    <col min="8" max="8" width="49.85546875" bestFit="1" customWidth="1"/>
    <col min="9" max="10" width="14.7109375" bestFit="1" customWidth="1"/>
    <col min="11" max="11" width="12.7109375" bestFit="1" customWidth="1"/>
    <col min="12" max="12" width="20.7109375" bestFit="1" customWidth="1"/>
    <col min="21" max="21" width="41.85546875" bestFit="1" customWidth="1"/>
    <col min="22" max="23" width="14.28515625" bestFit="1" customWidth="1"/>
    <col min="24" max="24" width="12.28515625" bestFit="1" customWidth="1"/>
    <col min="25" max="25" width="16.7109375" bestFit="1" customWidth="1"/>
  </cols>
  <sheetData>
    <row r="2" spans="2:25" x14ac:dyDescent="0.25">
      <c r="B2" s="36" t="s">
        <v>76</v>
      </c>
      <c r="C2" s="37">
        <v>2016</v>
      </c>
      <c r="D2" s="37">
        <v>2015</v>
      </c>
      <c r="E2" s="37" t="s">
        <v>119</v>
      </c>
      <c r="F2" s="37" t="s">
        <v>120</v>
      </c>
      <c r="H2" s="36" t="s">
        <v>76</v>
      </c>
      <c r="I2" s="36">
        <v>2016</v>
      </c>
      <c r="J2" s="36">
        <v>2015</v>
      </c>
      <c r="K2" s="36" t="s">
        <v>130</v>
      </c>
      <c r="L2" s="36" t="s">
        <v>120</v>
      </c>
      <c r="V2" s="3" t="s">
        <v>13</v>
      </c>
      <c r="W2" s="3" t="s">
        <v>12</v>
      </c>
      <c r="X2" t="s">
        <v>24</v>
      </c>
      <c r="Y2" t="s">
        <v>25</v>
      </c>
    </row>
    <row r="3" spans="2:25" x14ac:dyDescent="0.25">
      <c r="B3" s="21" t="s">
        <v>11</v>
      </c>
      <c r="C3" s="22">
        <v>39528</v>
      </c>
      <c r="D3" s="22">
        <v>40339</v>
      </c>
      <c r="E3" s="22">
        <f>C3-D3</f>
        <v>-811</v>
      </c>
      <c r="F3" s="23">
        <f>E3/D3</f>
        <v>-2.010461340142294E-2</v>
      </c>
      <c r="H3" s="19" t="s">
        <v>11</v>
      </c>
      <c r="I3" s="30">
        <v>39528</v>
      </c>
      <c r="J3" s="30">
        <v>40339</v>
      </c>
      <c r="K3" s="30">
        <f>I3-J3</f>
        <v>-811</v>
      </c>
      <c r="L3" s="31">
        <f>K3/J3</f>
        <v>-2.010461340142294E-2</v>
      </c>
      <c r="U3" s="3" t="s">
        <v>11</v>
      </c>
      <c r="V3" s="4">
        <v>39528</v>
      </c>
      <c r="W3" s="4">
        <v>40339</v>
      </c>
      <c r="X3" s="4">
        <f>V3-W3</f>
        <v>-811</v>
      </c>
      <c r="Y3" s="8">
        <f>X3/W3</f>
        <v>-2.010461340142294E-2</v>
      </c>
    </row>
    <row r="4" spans="2:25" x14ac:dyDescent="0.25">
      <c r="B4" s="24" t="s">
        <v>16</v>
      </c>
      <c r="C4" s="25">
        <v>9191</v>
      </c>
      <c r="D4" s="25">
        <v>9047</v>
      </c>
      <c r="E4" s="25">
        <f>C4-D4</f>
        <v>144</v>
      </c>
      <c r="F4" s="23">
        <f>E4/D4</f>
        <v>1.5916878523267383E-2</v>
      </c>
      <c r="H4" s="24" t="s">
        <v>14</v>
      </c>
      <c r="I4" s="28">
        <v>30334</v>
      </c>
      <c r="J4" s="28">
        <v>31292</v>
      </c>
      <c r="K4" s="28">
        <f t="shared" ref="K4:K15" si="0">I4-J4</f>
        <v>-958</v>
      </c>
      <c r="L4" s="29">
        <f t="shared" ref="L4:L15" si="1">K4/J4</f>
        <v>-3.061485363671226E-2</v>
      </c>
      <c r="U4" t="s">
        <v>14</v>
      </c>
      <c r="V4" s="1">
        <v>30334</v>
      </c>
      <c r="W4" s="1">
        <v>31292</v>
      </c>
      <c r="X4" s="1">
        <f t="shared" ref="X4:X10" si="2">V4-W4</f>
        <v>-958</v>
      </c>
      <c r="Y4" s="7">
        <f t="shared" ref="Y4:Y10" si="3">X4/W4</f>
        <v>-3.061485363671226E-2</v>
      </c>
    </row>
    <row r="5" spans="2:25" x14ac:dyDescent="0.25">
      <c r="B5" s="24" t="s">
        <v>28</v>
      </c>
      <c r="C5" s="25">
        <v>1375</v>
      </c>
      <c r="D5" s="25">
        <v>1450</v>
      </c>
      <c r="E5" s="25">
        <f>C5-D5</f>
        <v>-75</v>
      </c>
      <c r="F5" s="23">
        <f>E5/D5</f>
        <v>-5.1724137931034482E-2</v>
      </c>
      <c r="H5" s="24" t="s">
        <v>15</v>
      </c>
      <c r="I5" s="24">
        <v>3</v>
      </c>
      <c r="J5" s="24">
        <v>0</v>
      </c>
      <c r="K5" s="28">
        <f t="shared" si="0"/>
        <v>3</v>
      </c>
      <c r="L5" s="29"/>
      <c r="U5" s="3" t="s">
        <v>16</v>
      </c>
      <c r="V5" s="4">
        <f>V3-V4</f>
        <v>9194</v>
      </c>
      <c r="W5" s="4">
        <f>W3-W4</f>
        <v>9047</v>
      </c>
      <c r="X5" s="4">
        <f t="shared" si="2"/>
        <v>147</v>
      </c>
      <c r="Y5" s="8">
        <f t="shared" si="3"/>
        <v>1.6248480159168785E-2</v>
      </c>
    </row>
    <row r="6" spans="2:25" x14ac:dyDescent="0.25">
      <c r="B6" s="24" t="s">
        <v>5</v>
      </c>
      <c r="C6" s="25">
        <v>1390</v>
      </c>
      <c r="D6" s="25">
        <v>1477</v>
      </c>
      <c r="E6" s="25">
        <f>C6-D6</f>
        <v>-87</v>
      </c>
      <c r="F6" s="23">
        <f>E6/D6</f>
        <v>-5.8903182125930938E-2</v>
      </c>
      <c r="H6" s="19" t="s">
        <v>16</v>
      </c>
      <c r="I6" s="30">
        <f>I3-I4-I5</f>
        <v>9191</v>
      </c>
      <c r="J6" s="30">
        <f>J3-J4-J5</f>
        <v>9047</v>
      </c>
      <c r="K6" s="30">
        <f t="shared" si="0"/>
        <v>144</v>
      </c>
      <c r="L6" s="31">
        <f t="shared" si="1"/>
        <v>1.5916878523267383E-2</v>
      </c>
      <c r="U6" t="s">
        <v>17</v>
      </c>
      <c r="V6" s="1">
        <v>7618</v>
      </c>
      <c r="W6" s="1">
        <v>7592</v>
      </c>
      <c r="X6" s="1">
        <f t="shared" si="2"/>
        <v>26</v>
      </c>
      <c r="Y6" s="7">
        <f t="shared" si="3"/>
        <v>3.4246575342465752E-3</v>
      </c>
    </row>
    <row r="7" spans="2:25" x14ac:dyDescent="0.25">
      <c r="B7" s="24" t="s">
        <v>19</v>
      </c>
      <c r="C7" s="25">
        <v>80</v>
      </c>
      <c r="D7" s="25">
        <v>90</v>
      </c>
      <c r="E7" s="25">
        <f>C7-D7</f>
        <v>-10</v>
      </c>
      <c r="F7" s="23">
        <f>E7/D7</f>
        <v>-0.1111111111111111</v>
      </c>
      <c r="H7" s="24" t="s">
        <v>17</v>
      </c>
      <c r="I7" s="28">
        <v>7618</v>
      </c>
      <c r="J7" s="28">
        <v>7592</v>
      </c>
      <c r="K7" s="28">
        <f t="shared" si="0"/>
        <v>26</v>
      </c>
      <c r="L7" s="29"/>
      <c r="U7" s="3" t="s">
        <v>18</v>
      </c>
      <c r="V7" s="4">
        <f>V5-V6</f>
        <v>1576</v>
      </c>
      <c r="W7" s="4">
        <f>W5-W6</f>
        <v>1455</v>
      </c>
      <c r="X7" s="4">
        <f t="shared" si="2"/>
        <v>121</v>
      </c>
      <c r="Y7" s="8">
        <f t="shared" si="3"/>
        <v>8.3161512027491405E-2</v>
      </c>
    </row>
    <row r="8" spans="2:25" x14ac:dyDescent="0.25">
      <c r="B8" s="21" t="s">
        <v>113</v>
      </c>
      <c r="C8" s="22">
        <v>807</v>
      </c>
      <c r="D8" s="22">
        <v>1246</v>
      </c>
      <c r="E8" s="25">
        <f t="shared" ref="E8:E9" si="4">C8-D8</f>
        <v>-439</v>
      </c>
      <c r="F8" s="23">
        <f t="shared" ref="F8:F9" si="5">E8/D8</f>
        <v>-0.3523274478330658</v>
      </c>
      <c r="H8" s="24" t="s">
        <v>23</v>
      </c>
      <c r="I8" s="28">
        <v>198</v>
      </c>
      <c r="J8" s="28">
        <v>5</v>
      </c>
      <c r="K8" s="28">
        <f t="shared" si="0"/>
        <v>193</v>
      </c>
      <c r="L8" s="29"/>
      <c r="U8" s="3" t="s">
        <v>19</v>
      </c>
      <c r="V8" s="4">
        <v>-80</v>
      </c>
      <c r="W8" s="4">
        <v>-90</v>
      </c>
      <c r="X8" s="4">
        <f t="shared" si="2"/>
        <v>10</v>
      </c>
      <c r="Y8" s="8">
        <f t="shared" si="3"/>
        <v>-0.1111111111111111</v>
      </c>
    </row>
    <row r="9" spans="2:25" x14ac:dyDescent="0.25">
      <c r="B9" s="21" t="s">
        <v>114</v>
      </c>
      <c r="C9" s="26">
        <v>897</v>
      </c>
      <c r="D9" s="26">
        <v>1233</v>
      </c>
      <c r="E9" s="25">
        <f t="shared" si="4"/>
        <v>-336</v>
      </c>
      <c r="F9" s="23">
        <f t="shared" si="5"/>
        <v>-0.27250608272506083</v>
      </c>
      <c r="H9" s="19" t="s">
        <v>28</v>
      </c>
      <c r="I9" s="30">
        <f>I6-I7-I8</f>
        <v>1375</v>
      </c>
      <c r="J9" s="30">
        <f>J6-J7-J8</f>
        <v>1450</v>
      </c>
      <c r="K9" s="30">
        <f t="shared" si="0"/>
        <v>-75</v>
      </c>
      <c r="L9" s="31">
        <f t="shared" si="1"/>
        <v>-5.1724137931034482E-2</v>
      </c>
      <c r="U9" s="5"/>
      <c r="X9" s="1"/>
      <c r="Y9" s="7"/>
    </row>
    <row r="10" spans="2:25" x14ac:dyDescent="0.25">
      <c r="B10" s="21" t="s">
        <v>27</v>
      </c>
      <c r="C10" s="22">
        <v>2248</v>
      </c>
      <c r="D10" s="22">
        <v>2156</v>
      </c>
      <c r="E10" s="25">
        <f t="shared" ref="E10" si="6">C10-D10</f>
        <v>92</v>
      </c>
      <c r="F10" s="23">
        <f t="shared" ref="F10" si="7">E10/D10</f>
        <v>4.267161410018553E-2</v>
      </c>
      <c r="H10" s="21" t="s">
        <v>117</v>
      </c>
      <c r="I10" s="24"/>
      <c r="J10" s="24"/>
      <c r="K10" s="28"/>
      <c r="L10" s="29"/>
      <c r="U10" s="5" t="s">
        <v>20</v>
      </c>
      <c r="V10" s="4">
        <v>807</v>
      </c>
      <c r="W10" s="4">
        <v>1246</v>
      </c>
      <c r="X10" s="4">
        <f t="shared" si="2"/>
        <v>-439</v>
      </c>
      <c r="Y10" s="8">
        <f t="shared" si="3"/>
        <v>-0.3523274478330658</v>
      </c>
    </row>
    <row r="11" spans="2:25" x14ac:dyDescent="0.25">
      <c r="H11" s="21" t="s">
        <v>115</v>
      </c>
      <c r="I11" s="24">
        <v>2</v>
      </c>
      <c r="J11" s="24">
        <v>13</v>
      </c>
      <c r="K11" s="28"/>
      <c r="L11" s="29"/>
      <c r="U11" s="5"/>
      <c r="V11" s="4"/>
      <c r="W11" s="4"/>
      <c r="X11" s="4"/>
      <c r="Y11" s="8"/>
    </row>
    <row r="12" spans="2:25" x14ac:dyDescent="0.25">
      <c r="B12" s="36" t="s">
        <v>121</v>
      </c>
      <c r="C12" s="37">
        <v>2016</v>
      </c>
      <c r="D12" s="37">
        <v>2015</v>
      </c>
      <c r="E12" s="38"/>
      <c r="F12" s="38"/>
      <c r="H12" s="21" t="s">
        <v>116</v>
      </c>
      <c r="I12" s="24">
        <v>13</v>
      </c>
      <c r="J12" s="24">
        <v>14</v>
      </c>
      <c r="K12" s="28"/>
      <c r="L12" s="29"/>
      <c r="U12" s="5"/>
      <c r="V12" s="4"/>
      <c r="W12" s="4"/>
      <c r="X12" s="4"/>
      <c r="Y12" s="8"/>
    </row>
    <row r="13" spans="2:25" x14ac:dyDescent="0.25">
      <c r="B13" s="24" t="s">
        <v>6</v>
      </c>
      <c r="C13" s="22">
        <v>1375</v>
      </c>
      <c r="D13" s="22">
        <v>1450</v>
      </c>
      <c r="E13" s="38"/>
      <c r="F13" s="38"/>
      <c r="H13" s="19" t="s">
        <v>5</v>
      </c>
      <c r="I13" s="30">
        <f>I9+I11+I12</f>
        <v>1390</v>
      </c>
      <c r="J13" s="30">
        <f>J9+J11+J12</f>
        <v>1477</v>
      </c>
      <c r="K13" s="30">
        <f>I13-J13</f>
        <v>-87</v>
      </c>
      <c r="L13" s="31">
        <f>K13/J13</f>
        <v>-5.8903182125930938E-2</v>
      </c>
      <c r="U13" s="5"/>
      <c r="V13" s="2"/>
      <c r="W13" s="2"/>
    </row>
    <row r="14" spans="2:25" x14ac:dyDescent="0.25">
      <c r="B14" s="21" t="s">
        <v>117</v>
      </c>
      <c r="C14" s="38"/>
      <c r="D14" s="38"/>
      <c r="E14" s="38"/>
      <c r="F14" s="38"/>
      <c r="H14" s="24" t="s">
        <v>19</v>
      </c>
      <c r="I14" s="28">
        <v>80</v>
      </c>
      <c r="J14" s="28">
        <v>90</v>
      </c>
      <c r="K14" s="28">
        <f>I14-J14</f>
        <v>-10</v>
      </c>
      <c r="L14" s="29">
        <f>K14/J14</f>
        <v>-0.1111111111111111</v>
      </c>
    </row>
    <row r="15" spans="2:25" x14ac:dyDescent="0.25">
      <c r="B15" s="21" t="s">
        <v>115</v>
      </c>
      <c r="C15" s="38">
        <v>2</v>
      </c>
      <c r="D15" s="38">
        <v>13</v>
      </c>
      <c r="E15" s="38"/>
      <c r="F15" s="38"/>
      <c r="H15" s="19" t="s">
        <v>113</v>
      </c>
      <c r="I15" s="30">
        <v>807</v>
      </c>
      <c r="J15" s="30">
        <v>1246</v>
      </c>
      <c r="K15" s="30">
        <f t="shared" si="0"/>
        <v>-439</v>
      </c>
      <c r="L15" s="31">
        <f t="shared" si="1"/>
        <v>-0.3523274478330658</v>
      </c>
    </row>
    <row r="16" spans="2:25" x14ac:dyDescent="0.25">
      <c r="B16" s="21" t="s">
        <v>116</v>
      </c>
      <c r="C16" s="38">
        <v>13</v>
      </c>
      <c r="D16" s="38">
        <v>14</v>
      </c>
      <c r="E16" s="38"/>
      <c r="F16" s="38"/>
      <c r="H16" s="19" t="s">
        <v>114</v>
      </c>
      <c r="I16" s="19">
        <v>897</v>
      </c>
      <c r="J16" s="19">
        <v>1233</v>
      </c>
      <c r="K16" s="19">
        <f>I16-J16</f>
        <v>-336</v>
      </c>
      <c r="L16" s="31">
        <f>K16/J16</f>
        <v>-0.27250608272506083</v>
      </c>
      <c r="V16" s="1"/>
      <c r="W16" s="1"/>
    </row>
    <row r="17" spans="2:23" x14ac:dyDescent="0.25">
      <c r="B17" s="24" t="s">
        <v>5</v>
      </c>
      <c r="C17" s="25">
        <f>C13+C15+C16</f>
        <v>1390</v>
      </c>
      <c r="D17" s="25">
        <f>D13+D15+D16</f>
        <v>1477</v>
      </c>
      <c r="E17" s="38"/>
      <c r="F17" s="38"/>
    </row>
    <row r="18" spans="2:23" x14ac:dyDescent="0.25">
      <c r="B18" s="24" t="s">
        <v>21</v>
      </c>
      <c r="C18" s="38">
        <v>657</v>
      </c>
      <c r="D18" s="38">
        <v>656</v>
      </c>
      <c r="E18" s="38"/>
      <c r="F18" s="38"/>
      <c r="I18" s="4"/>
      <c r="J18" s="4"/>
    </row>
    <row r="19" spans="2:23" x14ac:dyDescent="0.25">
      <c r="B19" s="24" t="s">
        <v>26</v>
      </c>
      <c r="C19" s="25">
        <v>201</v>
      </c>
      <c r="D19" s="25">
        <v>23</v>
      </c>
      <c r="E19" s="38"/>
      <c r="F19" s="38"/>
      <c r="H19" t="s">
        <v>6</v>
      </c>
      <c r="I19" s="4">
        <v>1375</v>
      </c>
      <c r="J19" s="4">
        <v>1450</v>
      </c>
    </row>
    <row r="20" spans="2:23" x14ac:dyDescent="0.25">
      <c r="B20" s="19" t="s">
        <v>27</v>
      </c>
      <c r="C20" s="39">
        <f>SUM(C17:C19)</f>
        <v>2248</v>
      </c>
      <c r="D20" s="39">
        <f>SUM(D17:D19)</f>
        <v>2156</v>
      </c>
      <c r="E20" s="20">
        <f t="shared" ref="E20" si="8">C20-D20</f>
        <v>92</v>
      </c>
      <c r="F20" s="40">
        <f t="shared" ref="F20" si="9">E20/D20</f>
        <v>4.267161410018553E-2</v>
      </c>
      <c r="H20" s="5" t="s">
        <v>117</v>
      </c>
    </row>
    <row r="21" spans="2:23" x14ac:dyDescent="0.25">
      <c r="H21" s="5" t="s">
        <v>115</v>
      </c>
      <c r="I21">
        <v>2</v>
      </c>
      <c r="J21">
        <v>13</v>
      </c>
    </row>
    <row r="22" spans="2:23" x14ac:dyDescent="0.25">
      <c r="H22" s="5" t="s">
        <v>116</v>
      </c>
      <c r="I22">
        <v>13</v>
      </c>
      <c r="J22">
        <v>14</v>
      </c>
      <c r="V22" s="1"/>
      <c r="W22" s="1"/>
    </row>
    <row r="23" spans="2:23" x14ac:dyDescent="0.25">
      <c r="H23" t="s">
        <v>5</v>
      </c>
      <c r="I23" s="1">
        <f>I19+I21+I22</f>
        <v>1390</v>
      </c>
      <c r="J23" s="1">
        <f>J19+J21+J22</f>
        <v>1477</v>
      </c>
    </row>
    <row r="24" spans="2:23" x14ac:dyDescent="0.25">
      <c r="H24" t="s">
        <v>21</v>
      </c>
      <c r="I24">
        <v>657</v>
      </c>
      <c r="J24">
        <v>656</v>
      </c>
    </row>
    <row r="25" spans="2:23" x14ac:dyDescent="0.25">
      <c r="H25" t="s">
        <v>26</v>
      </c>
      <c r="I25" s="1">
        <v>201</v>
      </c>
      <c r="J25" s="1">
        <v>23</v>
      </c>
      <c r="V25" s="1"/>
      <c r="W25" s="1"/>
    </row>
    <row r="26" spans="2:23" x14ac:dyDescent="0.25">
      <c r="B26" s="36" t="s">
        <v>76</v>
      </c>
      <c r="C26" s="36">
        <v>2016</v>
      </c>
      <c r="D26" s="36">
        <v>2015</v>
      </c>
      <c r="H26" t="s">
        <v>27</v>
      </c>
      <c r="I26" s="1">
        <f>SUM(I23:I25)</f>
        <v>2248</v>
      </c>
      <c r="J26" s="1">
        <f>SUM(J23:J25)</f>
        <v>2156</v>
      </c>
      <c r="K26" s="1">
        <f>I26-J26</f>
        <v>92</v>
      </c>
      <c r="L26" s="7">
        <f>K26/J26</f>
        <v>4.267161410018553E-2</v>
      </c>
    </row>
    <row r="27" spans="2:23" x14ac:dyDescent="0.25">
      <c r="B27" s="24" t="s">
        <v>29</v>
      </c>
      <c r="C27" s="43">
        <v>0.23251872090669906</v>
      </c>
      <c r="D27" s="43">
        <v>0.22427427551501028</v>
      </c>
    </row>
    <row r="28" spans="2:23" x14ac:dyDescent="0.25">
      <c r="B28" s="24" t="s">
        <v>31</v>
      </c>
      <c r="C28" s="43">
        <v>3.4785468528637925E-2</v>
      </c>
      <c r="D28" s="43">
        <v>3.5945363048166784E-2</v>
      </c>
    </row>
    <row r="29" spans="2:23" x14ac:dyDescent="0.25">
      <c r="B29" s="24" t="s">
        <v>32</v>
      </c>
      <c r="C29" s="43">
        <v>3.516494636713216E-2</v>
      </c>
      <c r="D29" s="43">
        <v>3.66146904980292E-2</v>
      </c>
      <c r="I29" s="3" t="s">
        <v>13</v>
      </c>
      <c r="J29" s="3" t="s">
        <v>12</v>
      </c>
    </row>
    <row r="30" spans="2:23" x14ac:dyDescent="0.25">
      <c r="B30" s="24" t="s">
        <v>35</v>
      </c>
      <c r="C30" s="44" t="s">
        <v>137</v>
      </c>
      <c r="D30" s="44" t="s">
        <v>138</v>
      </c>
      <c r="H30" t="s">
        <v>16</v>
      </c>
      <c r="I30" s="1">
        <f>I6</f>
        <v>9191</v>
      </c>
      <c r="J30" s="1">
        <f>J6</f>
        <v>9047</v>
      </c>
    </row>
    <row r="31" spans="2:23" x14ac:dyDescent="0.25">
      <c r="B31" s="24" t="s">
        <v>33</v>
      </c>
      <c r="C31" s="43">
        <v>2.2692774741955069E-2</v>
      </c>
      <c r="D31" s="43">
        <v>3.0565953543716998E-2</v>
      </c>
      <c r="H31" t="s">
        <v>30</v>
      </c>
      <c r="I31" s="1">
        <f>I3</f>
        <v>39528</v>
      </c>
      <c r="J31" s="1">
        <f>J3</f>
        <v>40339</v>
      </c>
    </row>
    <row r="32" spans="2:23" x14ac:dyDescent="0.25">
      <c r="B32" s="24" t="s">
        <v>34</v>
      </c>
      <c r="C32" s="43">
        <v>5.6871078729002225E-2</v>
      </c>
      <c r="D32" s="43">
        <v>5.3447036366791441E-2</v>
      </c>
      <c r="H32" s="3" t="s">
        <v>131</v>
      </c>
      <c r="I32" s="8">
        <f>I30/I31</f>
        <v>0.23251872090669906</v>
      </c>
      <c r="J32" s="8">
        <f>J30/J31</f>
        <v>0.22427427551501028</v>
      </c>
    </row>
    <row r="34" spans="8:13" x14ac:dyDescent="0.25">
      <c r="H34" t="s">
        <v>6</v>
      </c>
      <c r="I34" s="1">
        <f>I9</f>
        <v>1375</v>
      </c>
      <c r="J34" s="1">
        <f>J9</f>
        <v>1450</v>
      </c>
    </row>
    <row r="35" spans="8:13" x14ac:dyDescent="0.25">
      <c r="H35" t="s">
        <v>30</v>
      </c>
      <c r="I35" s="1">
        <f>I3</f>
        <v>39528</v>
      </c>
      <c r="J35" s="1">
        <f>J3</f>
        <v>40339</v>
      </c>
    </row>
    <row r="36" spans="8:13" x14ac:dyDescent="0.25">
      <c r="H36" s="3" t="s">
        <v>132</v>
      </c>
      <c r="I36" s="8">
        <f>I34/I35</f>
        <v>3.4785468528637925E-2</v>
      </c>
      <c r="J36" s="8">
        <f>J34/J35</f>
        <v>3.5945363048166784E-2</v>
      </c>
    </row>
    <row r="38" spans="8:13" x14ac:dyDescent="0.25">
      <c r="H38" t="s">
        <v>5</v>
      </c>
      <c r="I38" s="1">
        <f>I13</f>
        <v>1390</v>
      </c>
      <c r="J38" s="1">
        <f>J13</f>
        <v>1477</v>
      </c>
    </row>
    <row r="39" spans="8:13" x14ac:dyDescent="0.25">
      <c r="H39" t="s">
        <v>30</v>
      </c>
      <c r="I39" s="1">
        <f>I3</f>
        <v>39528</v>
      </c>
      <c r="J39" s="1">
        <f>J3</f>
        <v>40339</v>
      </c>
    </row>
    <row r="40" spans="8:13" x14ac:dyDescent="0.25">
      <c r="H40" s="3" t="s">
        <v>133</v>
      </c>
      <c r="I40" s="8">
        <f>I38/I39</f>
        <v>3.516494636713216E-2</v>
      </c>
      <c r="J40" s="8">
        <f>J38/J39</f>
        <v>3.66146904980292E-2</v>
      </c>
    </row>
    <row r="42" spans="8:13" x14ac:dyDescent="0.25">
      <c r="H42" s="9" t="s">
        <v>20</v>
      </c>
      <c r="I42" s="9">
        <f>I16</f>
        <v>897</v>
      </c>
      <c r="J42" s="9">
        <f>J16</f>
        <v>1233</v>
      </c>
      <c r="L42" s="16">
        <f>I15</f>
        <v>807</v>
      </c>
      <c r="M42" s="16">
        <f>J15</f>
        <v>1246</v>
      </c>
    </row>
    <row r="43" spans="8:13" x14ac:dyDescent="0.25">
      <c r="H43" s="9" t="s">
        <v>30</v>
      </c>
      <c r="I43" s="16">
        <v>39528</v>
      </c>
      <c r="J43" s="16">
        <v>40339</v>
      </c>
      <c r="L43" s="16">
        <f>I3</f>
        <v>39528</v>
      </c>
      <c r="M43" s="16">
        <f>J3</f>
        <v>40339</v>
      </c>
    </row>
    <row r="44" spans="8:13" x14ac:dyDescent="0.25">
      <c r="H44" s="17" t="s">
        <v>134</v>
      </c>
      <c r="I44" s="18">
        <f>I42/I43</f>
        <v>2.2692774741955069E-2</v>
      </c>
      <c r="J44" s="18">
        <f>J42/J43</f>
        <v>3.0565953543716998E-2</v>
      </c>
      <c r="L44" s="18">
        <f>L42/L43</f>
        <v>2.0415907710989677E-2</v>
      </c>
      <c r="M44" s="18">
        <f>M42/M43</f>
        <v>3.0888222315872977E-2</v>
      </c>
    </row>
    <row r="46" spans="8:13" x14ac:dyDescent="0.25">
      <c r="H46" t="s">
        <v>27</v>
      </c>
      <c r="I46" s="1">
        <f>I26</f>
        <v>2248</v>
      </c>
      <c r="J46" s="1">
        <f>J26</f>
        <v>2156</v>
      </c>
    </row>
    <row r="47" spans="8:13" x14ac:dyDescent="0.25">
      <c r="H47" t="s">
        <v>30</v>
      </c>
      <c r="I47" s="1">
        <f>I3</f>
        <v>39528</v>
      </c>
      <c r="J47" s="1">
        <f>J3</f>
        <v>40339</v>
      </c>
    </row>
    <row r="48" spans="8:13" x14ac:dyDescent="0.25">
      <c r="H48" s="3" t="s">
        <v>135</v>
      </c>
      <c r="I48" s="8">
        <f>I46/I47</f>
        <v>5.6871078729002225E-2</v>
      </c>
      <c r="J48" s="8">
        <f>J46/J47</f>
        <v>5.3447036366791441E-2</v>
      </c>
    </row>
    <row r="50" spans="8:10" x14ac:dyDescent="0.25">
      <c r="H50" t="s">
        <v>5</v>
      </c>
      <c r="I50" s="1">
        <f>I23</f>
        <v>1390</v>
      </c>
      <c r="J50" s="1">
        <f>J23</f>
        <v>1477</v>
      </c>
    </row>
    <row r="51" spans="8:10" x14ac:dyDescent="0.25">
      <c r="H51" t="s">
        <v>19</v>
      </c>
      <c r="I51" s="1">
        <f>I14</f>
        <v>80</v>
      </c>
      <c r="J51" s="1">
        <f>J14</f>
        <v>90</v>
      </c>
    </row>
    <row r="52" spans="8:10" x14ac:dyDescent="0.25">
      <c r="H52" s="3" t="s">
        <v>136</v>
      </c>
      <c r="I52" s="10">
        <f>I50/I51</f>
        <v>17.375</v>
      </c>
      <c r="J52" s="10">
        <f>J50/J51</f>
        <v>16.411111111111111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workbookViewId="0">
      <selection activeCell="C9" sqref="C9"/>
    </sheetView>
  </sheetViews>
  <sheetFormatPr defaultRowHeight="15" x14ac:dyDescent="0.25"/>
  <cols>
    <col min="2" max="2" width="64.5703125" bestFit="1" customWidth="1"/>
    <col min="7" max="7" width="22.42578125" bestFit="1" customWidth="1"/>
    <col min="8" max="10" width="6.42578125" bestFit="1" customWidth="1"/>
    <col min="11" max="11" width="22.42578125" bestFit="1" customWidth="1"/>
    <col min="12" max="12" width="15.28515625" customWidth="1"/>
  </cols>
  <sheetData>
    <row r="2" spans="2:12" x14ac:dyDescent="0.25">
      <c r="B2" s="93" t="s">
        <v>36</v>
      </c>
      <c r="C2" s="93"/>
      <c r="D2" s="93"/>
    </row>
    <row r="3" spans="2:12" x14ac:dyDescent="0.25">
      <c r="B3" s="36" t="s">
        <v>76</v>
      </c>
      <c r="C3" s="36">
        <v>2016</v>
      </c>
      <c r="D3" s="36">
        <v>2015</v>
      </c>
      <c r="E3" s="3"/>
    </row>
    <row r="4" spans="2:12" x14ac:dyDescent="0.25">
      <c r="B4" s="24" t="s">
        <v>20</v>
      </c>
      <c r="C4" s="24">
        <v>897</v>
      </c>
      <c r="D4" s="28">
        <v>1233</v>
      </c>
      <c r="E4" s="1"/>
    </row>
    <row r="5" spans="2:12" x14ac:dyDescent="0.25">
      <c r="B5" s="24" t="s">
        <v>30</v>
      </c>
      <c r="C5" s="28">
        <v>39528</v>
      </c>
      <c r="D5" s="28">
        <v>40339</v>
      </c>
      <c r="E5" s="1"/>
    </row>
    <row r="6" spans="2:12" x14ac:dyDescent="0.25">
      <c r="B6" s="19" t="s">
        <v>37</v>
      </c>
      <c r="C6" s="31">
        <f>C4/C5</f>
        <v>2.2692774741955069E-2</v>
      </c>
      <c r="D6" s="31">
        <f>D4/D5</f>
        <v>3.0565953543716998E-2</v>
      </c>
      <c r="E6" s="2"/>
      <c r="F6" t="s">
        <v>44</v>
      </c>
      <c r="L6" s="7">
        <f>(C6-D6)/D6</f>
        <v>-0.25758001596453728</v>
      </c>
    </row>
    <row r="7" spans="2:12" x14ac:dyDescent="0.25">
      <c r="B7" s="24"/>
      <c r="C7" s="24"/>
      <c r="D7" s="24"/>
    </row>
    <row r="8" spans="2:12" x14ac:dyDescent="0.25">
      <c r="B8" s="24" t="s">
        <v>30</v>
      </c>
      <c r="C8" s="28">
        <v>39528</v>
      </c>
      <c r="D8" s="28">
        <v>40339</v>
      </c>
      <c r="E8" s="1"/>
      <c r="H8">
        <v>2016</v>
      </c>
      <c r="I8">
        <v>2015</v>
      </c>
      <c r="J8">
        <v>2014</v>
      </c>
    </row>
    <row r="9" spans="2:12" x14ac:dyDescent="0.25">
      <c r="B9" s="24" t="s">
        <v>38</v>
      </c>
      <c r="C9" s="28">
        <v>14382</v>
      </c>
      <c r="D9" s="28">
        <v>14617.5</v>
      </c>
      <c r="E9" s="1"/>
      <c r="F9" t="s">
        <v>45</v>
      </c>
      <c r="G9" t="s">
        <v>3</v>
      </c>
      <c r="H9" s="1">
        <v>13519</v>
      </c>
      <c r="I9" s="1">
        <v>15245</v>
      </c>
      <c r="J9" s="1">
        <v>13990</v>
      </c>
    </row>
    <row r="10" spans="2:12" x14ac:dyDescent="0.25">
      <c r="B10" s="19" t="s">
        <v>39</v>
      </c>
      <c r="C10" s="42">
        <f>C8/C9</f>
        <v>2.7484355444305382</v>
      </c>
      <c r="D10" s="42">
        <f>D8/D9</f>
        <v>2.7596374208996068</v>
      </c>
      <c r="E10" s="2"/>
      <c r="G10" t="s">
        <v>43</v>
      </c>
      <c r="H10" s="1">
        <f>AVERAGE(H9:I9)</f>
        <v>14382</v>
      </c>
      <c r="I10" s="1">
        <f>AVERAGE(I9:J9)</f>
        <v>14617.5</v>
      </c>
      <c r="L10" s="7">
        <f>(C10-D10)/D10</f>
        <v>-4.059184146523496E-3</v>
      </c>
    </row>
    <row r="11" spans="2:12" x14ac:dyDescent="0.25">
      <c r="B11" s="24"/>
      <c r="C11" s="24"/>
      <c r="D11" s="24"/>
    </row>
    <row r="12" spans="2:12" x14ac:dyDescent="0.25">
      <c r="B12" s="24" t="s">
        <v>38</v>
      </c>
      <c r="C12" s="28">
        <v>14382</v>
      </c>
      <c r="D12" s="28">
        <v>14617.5</v>
      </c>
      <c r="E12" s="1"/>
      <c r="F12" t="s">
        <v>46</v>
      </c>
      <c r="G12" t="s">
        <v>42</v>
      </c>
      <c r="H12" s="1">
        <v>4378</v>
      </c>
      <c r="I12" s="1">
        <v>5000</v>
      </c>
      <c r="J12" s="1">
        <v>3989</v>
      </c>
    </row>
    <row r="13" spans="2:12" x14ac:dyDescent="0.25">
      <c r="B13" s="24" t="s">
        <v>40</v>
      </c>
      <c r="C13" s="28">
        <v>4689</v>
      </c>
      <c r="D13" s="28">
        <v>4494.5</v>
      </c>
      <c r="E13" s="1"/>
      <c r="G13" t="s">
        <v>43</v>
      </c>
      <c r="H13" s="1">
        <f>AVERAGE(H12:I12)</f>
        <v>4689</v>
      </c>
      <c r="I13" s="1">
        <f>AVERAGE(I12:J12)</f>
        <v>4494.5</v>
      </c>
    </row>
    <row r="14" spans="2:12" x14ac:dyDescent="0.25">
      <c r="B14" s="19" t="s">
        <v>41</v>
      </c>
      <c r="C14" s="42">
        <f>C12/C13</f>
        <v>3.0671785028790786</v>
      </c>
      <c r="D14" s="42">
        <f>D12/D13</f>
        <v>3.2523083769051064</v>
      </c>
      <c r="E14" s="2"/>
      <c r="L14" s="7">
        <f>(C14-D14)/D14</f>
        <v>-5.6922607751666306E-2</v>
      </c>
    </row>
    <row r="15" spans="2:12" x14ac:dyDescent="0.25">
      <c r="B15" s="24"/>
      <c r="C15" s="24"/>
      <c r="D15" s="24"/>
    </row>
    <row r="16" spans="2:12" x14ac:dyDescent="0.25">
      <c r="B16" s="19" t="s">
        <v>139</v>
      </c>
      <c r="C16" s="31">
        <f>C6*C10*C14</f>
        <v>0.1912987843889955</v>
      </c>
      <c r="D16" s="31">
        <f>D6*D10*D14</f>
        <v>0.27433529869840922</v>
      </c>
      <c r="E16" s="8"/>
    </row>
    <row r="17" spans="17:18" x14ac:dyDescent="0.25">
      <c r="R17" s="1"/>
    </row>
    <row r="18" spans="17:18" x14ac:dyDescent="0.25">
      <c r="Q18" s="1"/>
      <c r="R18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topLeftCell="A19" workbookViewId="0">
      <selection activeCell="B49" sqref="B49"/>
    </sheetView>
  </sheetViews>
  <sheetFormatPr defaultRowHeight="15" x14ac:dyDescent="0.25"/>
  <cols>
    <col min="2" max="2" width="63" bestFit="1" customWidth="1"/>
    <col min="3" max="3" width="10.42578125" customWidth="1"/>
    <col min="4" max="4" width="11.5703125" bestFit="1" customWidth="1"/>
    <col min="9" max="9" width="16.5703125" bestFit="1" customWidth="1"/>
  </cols>
  <sheetData>
    <row r="2" spans="2:10" x14ac:dyDescent="0.25">
      <c r="B2" s="94" t="s">
        <v>145</v>
      </c>
      <c r="C2" s="94"/>
      <c r="D2" s="94"/>
    </row>
    <row r="3" spans="2:10" x14ac:dyDescent="0.25">
      <c r="B3" s="19" t="s">
        <v>76</v>
      </c>
      <c r="C3" s="19">
        <v>2016</v>
      </c>
      <c r="D3" s="19">
        <v>2015</v>
      </c>
    </row>
    <row r="4" spans="2:10" x14ac:dyDescent="0.25">
      <c r="B4" s="24" t="s">
        <v>1</v>
      </c>
      <c r="C4" s="28">
        <v>9886</v>
      </c>
      <c r="D4" s="28">
        <v>11472</v>
      </c>
      <c r="J4" s="1">
        <f>C4-C5</f>
        <v>2961</v>
      </c>
    </row>
    <row r="5" spans="2:10" x14ac:dyDescent="0.25">
      <c r="B5" s="24" t="s">
        <v>140</v>
      </c>
      <c r="C5" s="28">
        <v>6925</v>
      </c>
      <c r="D5" s="28">
        <v>7777</v>
      </c>
    </row>
    <row r="6" spans="2:10" x14ac:dyDescent="0.25">
      <c r="B6" s="19" t="s">
        <v>141</v>
      </c>
      <c r="C6" s="42">
        <f>C4/C5</f>
        <v>1.4275812274368231</v>
      </c>
      <c r="D6" s="42">
        <f>D4/D5</f>
        <v>1.4751189404654752</v>
      </c>
      <c r="F6" t="s">
        <v>52</v>
      </c>
    </row>
    <row r="7" spans="2:10" x14ac:dyDescent="0.25">
      <c r="B7" s="24"/>
      <c r="C7" s="24"/>
      <c r="D7" s="24"/>
    </row>
    <row r="8" spans="2:10" x14ac:dyDescent="0.25">
      <c r="B8" s="24" t="s">
        <v>47</v>
      </c>
      <c r="C8" s="28">
        <v>1976</v>
      </c>
      <c r="D8" s="28">
        <v>2432</v>
      </c>
    </row>
    <row r="9" spans="2:10" x14ac:dyDescent="0.25">
      <c r="B9" s="24" t="s">
        <v>48</v>
      </c>
      <c r="C9" s="28">
        <v>1162</v>
      </c>
      <c r="D9" s="28">
        <v>1280</v>
      </c>
    </row>
    <row r="10" spans="2:10" x14ac:dyDescent="0.25">
      <c r="B10" s="24" t="s">
        <v>142</v>
      </c>
      <c r="C10" s="28">
        <v>6925</v>
      </c>
      <c r="D10" s="28">
        <v>7777</v>
      </c>
    </row>
    <row r="11" spans="2:10" x14ac:dyDescent="0.25">
      <c r="B11" s="19" t="s">
        <v>143</v>
      </c>
      <c r="C11" s="42">
        <f>(C8+C9)/C10</f>
        <v>0.45314079422382669</v>
      </c>
      <c r="D11" s="42">
        <f>(D8+D9)/D10</f>
        <v>0.4773048733444773</v>
      </c>
    </row>
    <row r="12" spans="2:10" x14ac:dyDescent="0.25">
      <c r="B12" s="24"/>
      <c r="C12" s="24"/>
      <c r="D12" s="24"/>
    </row>
    <row r="13" spans="2:10" x14ac:dyDescent="0.25">
      <c r="B13" s="24" t="s">
        <v>50</v>
      </c>
      <c r="C13" s="28">
        <v>1322</v>
      </c>
      <c r="D13" s="28">
        <v>1935</v>
      </c>
    </row>
    <row r="14" spans="2:10" x14ac:dyDescent="0.25">
      <c r="B14" s="24" t="s">
        <v>49</v>
      </c>
      <c r="C14" s="28">
        <v>6925</v>
      </c>
      <c r="D14" s="28">
        <v>7777</v>
      </c>
    </row>
    <row r="15" spans="2:10" x14ac:dyDescent="0.25">
      <c r="B15" s="19" t="s">
        <v>144</v>
      </c>
      <c r="C15" s="42">
        <f>C13/C14</f>
        <v>0.19090252707581226</v>
      </c>
      <c r="D15" s="42">
        <f>D13/D14</f>
        <v>0.2488105953452488</v>
      </c>
      <c r="F15" t="s">
        <v>51</v>
      </c>
    </row>
    <row r="18" spans="2:18" x14ac:dyDescent="0.25">
      <c r="I18" t="s">
        <v>73</v>
      </c>
      <c r="J18">
        <v>2016</v>
      </c>
      <c r="K18">
        <v>2015</v>
      </c>
      <c r="L18">
        <v>2014</v>
      </c>
    </row>
    <row r="19" spans="2:18" x14ac:dyDescent="0.25">
      <c r="I19" t="s">
        <v>14</v>
      </c>
      <c r="J19" s="1">
        <v>30334</v>
      </c>
      <c r="K19" s="1">
        <v>31292</v>
      </c>
      <c r="L19" s="1">
        <v>31212</v>
      </c>
      <c r="R19">
        <v>134.96</v>
      </c>
    </row>
    <row r="20" spans="2:18" x14ac:dyDescent="0.25">
      <c r="B20" s="34" t="s">
        <v>76</v>
      </c>
      <c r="C20" s="34">
        <v>2016</v>
      </c>
      <c r="D20" s="34">
        <v>2015</v>
      </c>
      <c r="I20" t="s">
        <v>96</v>
      </c>
      <c r="J20" s="1">
        <v>5051</v>
      </c>
      <c r="K20" s="1">
        <v>5174</v>
      </c>
      <c r="L20" s="1">
        <v>5376</v>
      </c>
      <c r="R20">
        <v>-108.7</v>
      </c>
    </row>
    <row r="21" spans="2:18" x14ac:dyDescent="0.25">
      <c r="B21" s="24" t="s">
        <v>14</v>
      </c>
      <c r="C21" s="28">
        <v>30334</v>
      </c>
      <c r="D21" s="28">
        <v>31292</v>
      </c>
      <c r="E21" s="1"/>
      <c r="I21" t="s">
        <v>97</v>
      </c>
      <c r="J21" s="1">
        <f>AVERAGE(J20:K20)</f>
        <v>5112.5</v>
      </c>
      <c r="K21" s="1">
        <f>AVERAGE(K20:L20)</f>
        <v>5275</v>
      </c>
      <c r="R21">
        <f>SUM(R19:R20)</f>
        <v>26.260000000000005</v>
      </c>
    </row>
    <row r="22" spans="2:18" x14ac:dyDescent="0.25">
      <c r="B22" s="24" t="s">
        <v>97</v>
      </c>
      <c r="C22" s="41">
        <v>5112.5</v>
      </c>
      <c r="D22" s="41">
        <v>5275</v>
      </c>
    </row>
    <row r="23" spans="2:18" x14ac:dyDescent="0.25">
      <c r="B23" s="24" t="s">
        <v>150</v>
      </c>
      <c r="C23" s="41">
        <f>C21/C22</f>
        <v>5.9333007334963321</v>
      </c>
      <c r="D23" s="41">
        <f>D21/D22</f>
        <v>5.9321327014218008</v>
      </c>
    </row>
    <row r="24" spans="2:18" x14ac:dyDescent="0.25">
      <c r="B24" s="19" t="s">
        <v>146</v>
      </c>
      <c r="C24" s="42">
        <f>365/C23</f>
        <v>61.517191929847698</v>
      </c>
      <c r="D24" s="42">
        <f>365/D23</f>
        <v>61.529304614597983</v>
      </c>
    </row>
    <row r="25" spans="2:18" x14ac:dyDescent="0.25">
      <c r="B25" s="24"/>
      <c r="C25" s="24"/>
      <c r="D25" s="24"/>
    </row>
    <row r="26" spans="2:18" x14ac:dyDescent="0.25">
      <c r="B26" s="24" t="s">
        <v>30</v>
      </c>
      <c r="C26" s="28">
        <v>39528</v>
      </c>
      <c r="D26" s="28">
        <v>40339</v>
      </c>
    </row>
    <row r="27" spans="2:18" x14ac:dyDescent="0.25">
      <c r="B27" s="24" t="s">
        <v>98</v>
      </c>
      <c r="C27" s="28">
        <v>1221</v>
      </c>
      <c r="D27" s="28">
        <v>1294</v>
      </c>
      <c r="I27" t="s">
        <v>99</v>
      </c>
      <c r="J27" s="1">
        <v>1162</v>
      </c>
      <c r="K27" s="1">
        <v>1280</v>
      </c>
      <c r="L27" s="1">
        <v>1308</v>
      </c>
    </row>
    <row r="28" spans="2:18" x14ac:dyDescent="0.25">
      <c r="B28" s="24" t="s">
        <v>148</v>
      </c>
      <c r="C28" s="41">
        <f>C26/C27</f>
        <v>32.373464373464373</v>
      </c>
      <c r="D28" s="41">
        <f>D26/D27</f>
        <v>31.173879443585779</v>
      </c>
      <c r="I28" t="s">
        <v>43</v>
      </c>
      <c r="J28" s="1">
        <f>AVERAGE(J27:K27)</f>
        <v>1221</v>
      </c>
      <c r="K28" s="1">
        <f>AVERAGE(K27:L27)</f>
        <v>1294</v>
      </c>
    </row>
    <row r="29" spans="2:18" x14ac:dyDescent="0.25">
      <c r="B29" s="19" t="s">
        <v>147</v>
      </c>
      <c r="C29" s="42">
        <f>365/C28</f>
        <v>11.274666059502126</v>
      </c>
      <c r="D29" s="42">
        <f>365/D28</f>
        <v>11.708520290537693</v>
      </c>
    </row>
    <row r="30" spans="2:18" x14ac:dyDescent="0.25">
      <c r="B30" s="24"/>
      <c r="C30" s="24"/>
      <c r="D30" s="24"/>
    </row>
    <row r="31" spans="2:18" x14ac:dyDescent="0.25">
      <c r="B31" s="24" t="s">
        <v>14</v>
      </c>
      <c r="C31" s="28">
        <v>30334</v>
      </c>
      <c r="D31" s="28">
        <v>31292</v>
      </c>
      <c r="I31" t="s">
        <v>101</v>
      </c>
      <c r="J31" s="1">
        <v>4450</v>
      </c>
      <c r="K31" s="1">
        <v>5030</v>
      </c>
      <c r="L31" s="1">
        <v>5122</v>
      </c>
    </row>
    <row r="32" spans="2:18" x14ac:dyDescent="0.25">
      <c r="B32" s="24" t="s">
        <v>100</v>
      </c>
      <c r="C32" s="28">
        <v>4740</v>
      </c>
      <c r="D32" s="28">
        <v>5076</v>
      </c>
      <c r="I32" t="s">
        <v>43</v>
      </c>
      <c r="J32" s="1">
        <f>AVERAGE(J31:K31)</f>
        <v>4740</v>
      </c>
      <c r="K32" s="1">
        <f>AVERAGE(K31:L31)</f>
        <v>5076</v>
      </c>
    </row>
    <row r="33" spans="2:6" x14ac:dyDescent="0.25">
      <c r="B33" s="24" t="s">
        <v>149</v>
      </c>
      <c r="C33" s="41">
        <f>C31/C32</f>
        <v>6.3995780590717297</v>
      </c>
      <c r="D33" s="41">
        <f>D31/D32</f>
        <v>6.1646966115051223</v>
      </c>
    </row>
    <row r="34" spans="2:6" x14ac:dyDescent="0.25">
      <c r="B34" s="19" t="s">
        <v>151</v>
      </c>
      <c r="C34" s="42">
        <f>365/C33</f>
        <v>57.035010219555616</v>
      </c>
      <c r="D34" s="42">
        <f>365/D33</f>
        <v>59.208104307810302</v>
      </c>
    </row>
    <row r="35" spans="2:6" x14ac:dyDescent="0.25">
      <c r="B35" s="24"/>
      <c r="C35" s="24"/>
      <c r="D35" s="24"/>
    </row>
    <row r="36" spans="2:6" x14ac:dyDescent="0.25">
      <c r="B36" s="94" t="s">
        <v>94</v>
      </c>
      <c r="C36" s="94"/>
      <c r="D36" s="94"/>
    </row>
    <row r="37" spans="2:6" x14ac:dyDescent="0.25">
      <c r="B37" s="21" t="s">
        <v>95</v>
      </c>
      <c r="C37" s="41">
        <f>C24</f>
        <v>61.517191929847698</v>
      </c>
      <c r="D37" s="41">
        <f>D24</f>
        <v>61.529304614597983</v>
      </c>
    </row>
    <row r="38" spans="2:6" x14ac:dyDescent="0.25">
      <c r="B38" s="24" t="s">
        <v>152</v>
      </c>
      <c r="C38" s="41">
        <f>C29</f>
        <v>11.274666059502126</v>
      </c>
      <c r="D38" s="41">
        <f>D29</f>
        <v>11.708520290537693</v>
      </c>
    </row>
    <row r="39" spans="2:6" x14ac:dyDescent="0.25">
      <c r="B39" s="19" t="s">
        <v>102</v>
      </c>
      <c r="C39" s="41">
        <f>SUM(C37:C38)</f>
        <v>72.791857989349822</v>
      </c>
      <c r="D39" s="41">
        <f>SUM(D37:D38)</f>
        <v>73.237824905135682</v>
      </c>
    </row>
    <row r="40" spans="2:6" x14ac:dyDescent="0.25">
      <c r="B40" s="24" t="s">
        <v>103</v>
      </c>
      <c r="C40" s="41">
        <f>C34</f>
        <v>57.035010219555616</v>
      </c>
      <c r="D40" s="41">
        <f>D34</f>
        <v>59.208104307810302</v>
      </c>
    </row>
    <row r="41" spans="2:6" x14ac:dyDescent="0.25">
      <c r="B41" s="19" t="s">
        <v>104</v>
      </c>
      <c r="C41" s="42">
        <f>C39-C40</f>
        <v>15.756847769794206</v>
      </c>
      <c r="D41" s="42">
        <f>D39-D40</f>
        <v>14.02972059732538</v>
      </c>
      <c r="F41" s="2"/>
    </row>
  </sheetData>
  <mergeCells count="2">
    <mergeCell ref="B2:D2"/>
    <mergeCell ref="B36:D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C8" sqref="C8"/>
    </sheetView>
  </sheetViews>
  <sheetFormatPr defaultRowHeight="15" x14ac:dyDescent="0.25"/>
  <cols>
    <col min="2" max="2" width="28.28515625" bestFit="1" customWidth="1"/>
  </cols>
  <sheetData>
    <row r="2" spans="2:4" x14ac:dyDescent="0.25">
      <c r="B2" s="45" t="s">
        <v>76</v>
      </c>
      <c r="C2" s="34">
        <v>2016</v>
      </c>
      <c r="D2" s="34">
        <v>2015</v>
      </c>
    </row>
    <row r="3" spans="2:4" x14ac:dyDescent="0.25">
      <c r="B3" s="24" t="s">
        <v>53</v>
      </c>
      <c r="C3" s="28">
        <f>1339+395</f>
        <v>1734</v>
      </c>
      <c r="D3" s="28">
        <f>1572+41</f>
        <v>1613</v>
      </c>
    </row>
    <row r="4" spans="2:4" x14ac:dyDescent="0.25">
      <c r="B4" s="24" t="s">
        <v>55</v>
      </c>
      <c r="C4" s="28">
        <f>4378+C3</f>
        <v>6112</v>
      </c>
      <c r="D4" s="28">
        <f>5000+D3</f>
        <v>6613</v>
      </c>
    </row>
    <row r="5" spans="2:4" x14ac:dyDescent="0.25">
      <c r="B5" s="19" t="s">
        <v>54</v>
      </c>
      <c r="C5" s="31">
        <f>C3/C4</f>
        <v>0.28370418848167539</v>
      </c>
      <c r="D5" s="31">
        <f>D3/D4</f>
        <v>0.24391350370482384</v>
      </c>
    </row>
    <row r="7" spans="2:4" x14ac:dyDescent="0.25">
      <c r="B7" s="45" t="s">
        <v>76</v>
      </c>
      <c r="C7" s="34">
        <v>2016</v>
      </c>
      <c r="D7" s="34">
        <v>2015</v>
      </c>
    </row>
    <row r="8" spans="2:4" x14ac:dyDescent="0.25">
      <c r="B8" s="24" t="s">
        <v>53</v>
      </c>
      <c r="C8" s="28">
        <f>1339+395</f>
        <v>1734</v>
      </c>
      <c r="D8" s="28">
        <f>1572+41</f>
        <v>1613</v>
      </c>
    </row>
    <row r="9" spans="2:4" x14ac:dyDescent="0.25">
      <c r="B9" s="24" t="s">
        <v>56</v>
      </c>
      <c r="C9" s="28">
        <f>'Historical Performance'!I26</f>
        <v>2248</v>
      </c>
      <c r="D9" s="28">
        <f>'Historical Performance'!J26</f>
        <v>2156</v>
      </c>
    </row>
    <row r="10" spans="2:4" x14ac:dyDescent="0.25">
      <c r="B10" s="19" t="s">
        <v>57</v>
      </c>
      <c r="C10" s="42">
        <f>C8/C9</f>
        <v>0.77135231316725983</v>
      </c>
      <c r="D10" s="42">
        <f>D8/D9</f>
        <v>0.74814471243042668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G20" sqref="G20"/>
    </sheetView>
  </sheetViews>
  <sheetFormatPr defaultRowHeight="15" x14ac:dyDescent="0.25"/>
  <cols>
    <col min="2" max="2" width="56.85546875" bestFit="1" customWidth="1"/>
    <col min="3" max="3" width="9" bestFit="1" customWidth="1"/>
  </cols>
  <sheetData>
    <row r="2" spans="2:3" x14ac:dyDescent="0.25">
      <c r="B2" s="94" t="s">
        <v>153</v>
      </c>
      <c r="C2" s="94"/>
    </row>
    <row r="3" spans="2:3" x14ac:dyDescent="0.25">
      <c r="B3" s="19" t="s">
        <v>76</v>
      </c>
      <c r="C3" s="19">
        <v>2016</v>
      </c>
    </row>
    <row r="4" spans="2:3" x14ac:dyDescent="0.25">
      <c r="B4" s="24" t="s">
        <v>155</v>
      </c>
      <c r="C4" s="24">
        <v>324</v>
      </c>
    </row>
    <row r="5" spans="2:3" x14ac:dyDescent="0.25">
      <c r="B5" s="24" t="s">
        <v>59</v>
      </c>
      <c r="C5" s="24">
        <v>27.93</v>
      </c>
    </row>
    <row r="6" spans="2:3" x14ac:dyDescent="0.25">
      <c r="B6" s="24" t="s">
        <v>7</v>
      </c>
      <c r="C6" s="46">
        <f>C4*C5</f>
        <v>9049.32</v>
      </c>
    </row>
    <row r="7" spans="2:3" x14ac:dyDescent="0.25">
      <c r="B7" s="24"/>
      <c r="C7" s="24"/>
    </row>
    <row r="8" spans="2:3" x14ac:dyDescent="0.25">
      <c r="B8" s="24" t="s">
        <v>60</v>
      </c>
      <c r="C8" s="28">
        <f>1339+395</f>
        <v>1734</v>
      </c>
    </row>
    <row r="9" spans="2:3" x14ac:dyDescent="0.25">
      <c r="B9" s="24" t="s">
        <v>61</v>
      </c>
      <c r="C9" s="24">
        <v>0.96</v>
      </c>
    </row>
    <row r="10" spans="2:3" x14ac:dyDescent="0.25">
      <c r="B10" s="24" t="s">
        <v>62</v>
      </c>
      <c r="C10" s="46">
        <f>C8*C9</f>
        <v>1664.6399999999999</v>
      </c>
    </row>
    <row r="11" spans="2:3" x14ac:dyDescent="0.25">
      <c r="B11" s="24"/>
      <c r="C11" s="24"/>
    </row>
    <row r="12" spans="2:3" x14ac:dyDescent="0.25">
      <c r="B12" s="19" t="s">
        <v>154</v>
      </c>
      <c r="C12" s="19">
        <f>C6+C10</f>
        <v>10713.96</v>
      </c>
    </row>
    <row r="14" spans="2:3" x14ac:dyDescent="0.25">
      <c r="B14" t="s">
        <v>156</v>
      </c>
      <c r="C14" s="6">
        <f>C10</f>
        <v>1664.6399999999999</v>
      </c>
    </row>
    <row r="15" spans="2:3" x14ac:dyDescent="0.25">
      <c r="B15" t="s">
        <v>58</v>
      </c>
      <c r="C15">
        <f>C12</f>
        <v>10713.96</v>
      </c>
    </row>
    <row r="16" spans="2:3" x14ac:dyDescent="0.25">
      <c r="B16" t="s">
        <v>157</v>
      </c>
      <c r="C16" s="7">
        <f>C14/C15</f>
        <v>0.15537112328214778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C22" sqref="C22"/>
    </sheetView>
  </sheetViews>
  <sheetFormatPr defaultRowHeight="15" x14ac:dyDescent="0.25"/>
  <cols>
    <col min="2" max="2" width="53.28515625" bestFit="1" customWidth="1"/>
  </cols>
  <sheetData>
    <row r="2" spans="2:8" x14ac:dyDescent="0.25">
      <c r="B2" s="34" t="s">
        <v>64</v>
      </c>
      <c r="C2" s="34">
        <v>2016</v>
      </c>
    </row>
    <row r="3" spans="2:8" x14ac:dyDescent="0.25">
      <c r="B3" s="24" t="s">
        <v>63</v>
      </c>
      <c r="C3" s="28">
        <v>8107</v>
      </c>
    </row>
    <row r="4" spans="2:8" x14ac:dyDescent="0.25">
      <c r="B4" s="24" t="s">
        <v>65</v>
      </c>
      <c r="C4" s="24">
        <v>657</v>
      </c>
    </row>
    <row r="5" spans="2:8" x14ac:dyDescent="0.25">
      <c r="B5" s="19" t="s">
        <v>69</v>
      </c>
      <c r="C5" s="42">
        <f>C3/C4</f>
        <v>12.339421613394217</v>
      </c>
    </row>
    <row r="9" spans="2:8" x14ac:dyDescent="0.25">
      <c r="B9" s="34" t="s">
        <v>68</v>
      </c>
      <c r="C9" s="34">
        <v>2016</v>
      </c>
    </row>
    <row r="10" spans="2:8" x14ac:dyDescent="0.25">
      <c r="B10" s="24" t="s">
        <v>66</v>
      </c>
      <c r="C10" s="28">
        <v>5761</v>
      </c>
    </row>
    <row r="11" spans="2:8" x14ac:dyDescent="0.25">
      <c r="B11" s="24" t="s">
        <v>67</v>
      </c>
      <c r="C11" s="24">
        <v>657</v>
      </c>
    </row>
    <row r="12" spans="2:8" x14ac:dyDescent="0.25">
      <c r="B12" s="19" t="s">
        <v>68</v>
      </c>
      <c r="C12" s="42">
        <f>C10/C11</f>
        <v>8.768645357686454</v>
      </c>
    </row>
    <row r="14" spans="2:8" x14ac:dyDescent="0.25">
      <c r="C14" s="2">
        <f>C5-C12</f>
        <v>3.5707762557077629</v>
      </c>
    </row>
    <row r="16" spans="2:8" x14ac:dyDescent="0.25">
      <c r="H16">
        <v>107</v>
      </c>
    </row>
    <row r="17" spans="8:8" x14ac:dyDescent="0.25">
      <c r="H17">
        <v>75</v>
      </c>
    </row>
    <row r="18" spans="8:8" x14ac:dyDescent="0.25">
      <c r="H18">
        <f>SUM(H16:H17)</f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4"/>
  <sheetViews>
    <sheetView workbookViewId="0">
      <selection activeCell="B11" sqref="B11"/>
    </sheetView>
  </sheetViews>
  <sheetFormatPr defaultRowHeight="15" x14ac:dyDescent="0.25"/>
  <cols>
    <col min="2" max="2" width="57.7109375" bestFit="1" customWidth="1"/>
    <col min="3" max="3" width="9" bestFit="1" customWidth="1"/>
    <col min="4" max="5" width="10.7109375" bestFit="1" customWidth="1"/>
    <col min="6" max="6" width="12" bestFit="1" customWidth="1"/>
    <col min="7" max="7" width="9" bestFit="1" customWidth="1"/>
    <col min="10" max="10" width="23.140625" bestFit="1" customWidth="1"/>
    <col min="11" max="11" width="7" bestFit="1" customWidth="1"/>
    <col min="12" max="14" width="7.5703125" bestFit="1" customWidth="1"/>
    <col min="15" max="15" width="7" bestFit="1" customWidth="1"/>
    <col min="16" max="16" width="6" bestFit="1" customWidth="1"/>
  </cols>
  <sheetData>
    <row r="2" spans="2:18" x14ac:dyDescent="0.25">
      <c r="B2" s="52" t="s">
        <v>80</v>
      </c>
      <c r="C2" s="34">
        <v>2016</v>
      </c>
      <c r="D2" s="34">
        <v>2017</v>
      </c>
      <c r="E2" s="34">
        <v>2018</v>
      </c>
      <c r="F2" s="34">
        <v>2019</v>
      </c>
      <c r="J2" s="3" t="s">
        <v>73</v>
      </c>
      <c r="K2">
        <v>2016</v>
      </c>
      <c r="L2">
        <v>2017</v>
      </c>
      <c r="M2">
        <v>2018</v>
      </c>
      <c r="N2">
        <v>2019</v>
      </c>
    </row>
    <row r="3" spans="2:18" x14ac:dyDescent="0.25">
      <c r="B3" s="21" t="s">
        <v>11</v>
      </c>
      <c r="C3" s="48">
        <v>39528</v>
      </c>
      <c r="D3" s="48">
        <f>C3*1.023</f>
        <v>40437.143999999993</v>
      </c>
      <c r="E3" s="48">
        <f>D3*1.031</f>
        <v>41690.695463999989</v>
      </c>
      <c r="F3" s="48">
        <f>E3*1.035</f>
        <v>43149.869805239985</v>
      </c>
      <c r="J3" t="s">
        <v>16</v>
      </c>
      <c r="K3" s="1">
        <v>9191</v>
      </c>
    </row>
    <row r="4" spans="2:18" x14ac:dyDescent="0.25">
      <c r="B4" s="21" t="s">
        <v>14</v>
      </c>
      <c r="C4" s="48">
        <f>C3-C5</f>
        <v>30337</v>
      </c>
      <c r="D4" s="48">
        <f t="shared" ref="D4:F4" si="0">D3-D5</f>
        <v>30946.546303199997</v>
      </c>
      <c r="E4" s="48">
        <f t="shared" si="0"/>
        <v>31814.169708578393</v>
      </c>
      <c r="F4" s="48">
        <f t="shared" si="0"/>
        <v>32832.735934807104</v>
      </c>
      <c r="H4" s="6">
        <f>AVERAGE(C3:F3)</f>
        <v>41201.427317309994</v>
      </c>
      <c r="J4" t="s">
        <v>30</v>
      </c>
      <c r="K4" s="1">
        <v>39528</v>
      </c>
    </row>
    <row r="5" spans="2:18" x14ac:dyDescent="0.25">
      <c r="B5" s="21" t="s">
        <v>16</v>
      </c>
      <c r="C5" s="48">
        <v>9191</v>
      </c>
      <c r="D5" s="48">
        <f>D3*0.2347</f>
        <v>9490.5976967999977</v>
      </c>
      <c r="E5" s="48">
        <f>E3*0.2369</f>
        <v>9876.5257554215968</v>
      </c>
      <c r="F5" s="48">
        <f>F3*0.2391</f>
        <v>10317.133870432881</v>
      </c>
      <c r="H5" s="6">
        <f>H4/C3</f>
        <v>1.0423352387499998</v>
      </c>
      <c r="J5" t="s">
        <v>29</v>
      </c>
      <c r="K5" s="7">
        <f>K3/K4</f>
        <v>0.23251872090669906</v>
      </c>
    </row>
    <row r="6" spans="2:18" x14ac:dyDescent="0.25">
      <c r="B6" s="21" t="s">
        <v>72</v>
      </c>
      <c r="C6" s="27">
        <v>7618</v>
      </c>
      <c r="D6" s="49">
        <f>D3*0.1935</f>
        <v>7824.5873639999991</v>
      </c>
      <c r="E6" s="49">
        <f>E3*0.1935</f>
        <v>8067.1495722839982</v>
      </c>
      <c r="F6" s="49">
        <f>F3*0.1935</f>
        <v>8349.4998073139377</v>
      </c>
      <c r="J6" t="s">
        <v>93</v>
      </c>
      <c r="K6" s="2">
        <v>0.22</v>
      </c>
      <c r="L6" s="2">
        <f>23.25+0.22</f>
        <v>23.47</v>
      </c>
      <c r="M6" s="2">
        <f>L6+0.22</f>
        <v>23.689999999999998</v>
      </c>
      <c r="N6" s="2">
        <f>M6+0.22</f>
        <v>23.909999999999997</v>
      </c>
      <c r="P6">
        <v>23.25</v>
      </c>
    </row>
    <row r="7" spans="2:18" x14ac:dyDescent="0.25">
      <c r="B7" s="21" t="s">
        <v>75</v>
      </c>
      <c r="C7" s="48">
        <v>198</v>
      </c>
      <c r="D7" s="49">
        <v>30</v>
      </c>
      <c r="E7" s="49">
        <v>25</v>
      </c>
      <c r="F7" s="49">
        <v>20</v>
      </c>
      <c r="P7">
        <v>0.22</v>
      </c>
    </row>
    <row r="8" spans="2:18" x14ac:dyDescent="0.25">
      <c r="B8" s="21" t="s">
        <v>6</v>
      </c>
      <c r="C8" s="48">
        <f>C5-C6-C7</f>
        <v>1375</v>
      </c>
      <c r="D8" s="48">
        <f t="shared" ref="D8:F8" si="1">D5-D6-D7</f>
        <v>1636.0103327999987</v>
      </c>
      <c r="E8" s="48">
        <f t="shared" si="1"/>
        <v>1784.3761831375987</v>
      </c>
      <c r="F8" s="48">
        <f t="shared" si="1"/>
        <v>1947.6340631189432</v>
      </c>
      <c r="K8">
        <v>2016</v>
      </c>
      <c r="L8">
        <v>2015</v>
      </c>
      <c r="M8">
        <v>2014</v>
      </c>
      <c r="P8">
        <f>SUM(P6:P7)</f>
        <v>23.47</v>
      </c>
      <c r="Q8">
        <f>P8+0.22</f>
        <v>23.689999999999998</v>
      </c>
      <c r="R8">
        <f>Q8+0.22</f>
        <v>23.909999999999997</v>
      </c>
    </row>
    <row r="9" spans="2:18" x14ac:dyDescent="0.25">
      <c r="B9" s="21" t="s">
        <v>19</v>
      </c>
      <c r="C9" s="21">
        <v>-80</v>
      </c>
      <c r="D9" s="21">
        <f>C9*1.024</f>
        <v>-81.92</v>
      </c>
      <c r="E9" s="49">
        <f>D9*1.024</f>
        <v>-83.886080000000007</v>
      </c>
      <c r="F9" s="49">
        <f>E9*1.024</f>
        <v>-85.899345920000002</v>
      </c>
      <c r="J9" t="s">
        <v>70</v>
      </c>
      <c r="K9" s="1">
        <v>7618</v>
      </c>
      <c r="L9" s="1">
        <v>7592</v>
      </c>
      <c r="M9" s="1">
        <v>8106</v>
      </c>
    </row>
    <row r="10" spans="2:18" x14ac:dyDescent="0.25">
      <c r="B10" s="21" t="s">
        <v>158</v>
      </c>
      <c r="C10" s="21">
        <v>15</v>
      </c>
      <c r="D10" s="21">
        <v>14</v>
      </c>
      <c r="E10" s="21">
        <v>18</v>
      </c>
      <c r="F10" s="21">
        <v>12</v>
      </c>
      <c r="J10" t="s">
        <v>30</v>
      </c>
      <c r="K10" s="1">
        <v>39528</v>
      </c>
      <c r="L10" s="1">
        <v>40339</v>
      </c>
      <c r="M10" s="1">
        <v>40611</v>
      </c>
      <c r="O10" s="7">
        <f>K9/K10</f>
        <v>0.19272414490993725</v>
      </c>
    </row>
    <row r="11" spans="2:18" x14ac:dyDescent="0.25">
      <c r="B11" s="21" t="s">
        <v>77</v>
      </c>
      <c r="C11" s="48">
        <f>C8+C9+C10</f>
        <v>1310</v>
      </c>
      <c r="D11" s="48">
        <f t="shared" ref="D11:F11" si="2">D8+D9+D10</f>
        <v>1568.0903327999986</v>
      </c>
      <c r="E11" s="48">
        <f t="shared" si="2"/>
        <v>1718.4901031375987</v>
      </c>
      <c r="F11" s="48">
        <f t="shared" si="2"/>
        <v>1873.7347171989431</v>
      </c>
      <c r="J11" t="s">
        <v>71</v>
      </c>
      <c r="K11" s="7">
        <f>K9/K10</f>
        <v>0.19272414490993725</v>
      </c>
      <c r="L11" s="7">
        <f t="shared" ref="L11:M11" si="3">L9/L10</f>
        <v>0.1882049629390912</v>
      </c>
      <c r="M11" s="7">
        <f t="shared" si="3"/>
        <v>0.19960109329984488</v>
      </c>
    </row>
    <row r="12" spans="2:18" x14ac:dyDescent="0.25">
      <c r="B12" s="21" t="s">
        <v>78</v>
      </c>
      <c r="C12" s="21">
        <v>503</v>
      </c>
      <c r="D12" s="49">
        <f>D11*0.4</f>
        <v>627.23613311999952</v>
      </c>
      <c r="E12" s="49">
        <f>E11*0.4</f>
        <v>687.39604125503956</v>
      </c>
      <c r="F12" s="49">
        <f>F11*0.4</f>
        <v>749.4938868795773</v>
      </c>
      <c r="J12" t="s">
        <v>74</v>
      </c>
      <c r="K12" s="14">
        <f>AVERAGE(K11:M11)</f>
        <v>0.19351006704962445</v>
      </c>
    </row>
    <row r="13" spans="2:18" x14ac:dyDescent="0.25">
      <c r="B13" s="19" t="s">
        <v>79</v>
      </c>
      <c r="C13" s="47">
        <f>C11-C12</f>
        <v>807</v>
      </c>
      <c r="D13" s="47">
        <f t="shared" ref="D13:F13" si="4">D11-D12</f>
        <v>940.85419967999906</v>
      </c>
      <c r="E13" s="47">
        <f t="shared" si="4"/>
        <v>1031.0940618825591</v>
      </c>
      <c r="F13" s="47">
        <f t="shared" si="4"/>
        <v>1124.2408303193658</v>
      </c>
    </row>
    <row r="15" spans="2:18" x14ac:dyDescent="0.25">
      <c r="J15" s="13"/>
      <c r="K15" s="6"/>
      <c r="L15" s="11"/>
    </row>
    <row r="16" spans="2:18" x14ac:dyDescent="0.25">
      <c r="B16" s="34" t="s">
        <v>76</v>
      </c>
      <c r="C16" s="34">
        <v>2016</v>
      </c>
      <c r="D16" s="34">
        <v>2017</v>
      </c>
      <c r="E16" s="34">
        <v>2018</v>
      </c>
      <c r="F16" s="34">
        <v>2019</v>
      </c>
    </row>
    <row r="17" spans="2:13" x14ac:dyDescent="0.25">
      <c r="B17" s="21" t="s">
        <v>6</v>
      </c>
      <c r="C17" s="46">
        <f>C8</f>
        <v>1375</v>
      </c>
      <c r="D17" s="46">
        <f t="shared" ref="D17:F17" si="5">D8</f>
        <v>1636.0103327999987</v>
      </c>
      <c r="E17" s="46">
        <f t="shared" si="5"/>
        <v>1784.3761831375987</v>
      </c>
      <c r="F17" s="46">
        <f t="shared" si="5"/>
        <v>1947.6340631189432</v>
      </c>
    </row>
    <row r="18" spans="2:13" x14ac:dyDescent="0.25">
      <c r="B18" s="21" t="s">
        <v>159</v>
      </c>
      <c r="C18" s="21">
        <f>C10</f>
        <v>15</v>
      </c>
      <c r="D18" s="21">
        <f t="shared" ref="D18:F18" si="6">D10</f>
        <v>14</v>
      </c>
      <c r="E18" s="21">
        <f t="shared" si="6"/>
        <v>18</v>
      </c>
      <c r="F18" s="21">
        <f t="shared" si="6"/>
        <v>12</v>
      </c>
    </row>
    <row r="19" spans="2:13" s="5" customFormat="1" x14ac:dyDescent="0.25">
      <c r="B19" s="21" t="s">
        <v>5</v>
      </c>
      <c r="C19" s="48">
        <f>C17+C18</f>
        <v>1390</v>
      </c>
      <c r="D19" s="48">
        <f t="shared" ref="D19:F19" si="7">D17+D18</f>
        <v>1650.0103327999987</v>
      </c>
      <c r="E19" s="48">
        <f t="shared" si="7"/>
        <v>1802.3761831375987</v>
      </c>
      <c r="F19" s="48">
        <f t="shared" si="7"/>
        <v>1959.6340631189432</v>
      </c>
    </row>
    <row r="20" spans="2:13" s="5" customFormat="1" x14ac:dyDescent="0.25">
      <c r="B20" s="21" t="s">
        <v>84</v>
      </c>
      <c r="C20" s="21">
        <v>657</v>
      </c>
      <c r="D20" s="49">
        <f>C20*1.027</f>
        <v>674.73899999999992</v>
      </c>
      <c r="E20" s="49">
        <f t="shared" ref="E20:F20" si="8">D20*1.027</f>
        <v>692.95695299999988</v>
      </c>
      <c r="F20" s="49">
        <f t="shared" si="8"/>
        <v>711.66679073099988</v>
      </c>
    </row>
    <row r="21" spans="2:13" s="5" customFormat="1" x14ac:dyDescent="0.25">
      <c r="B21" s="21" t="s">
        <v>107</v>
      </c>
      <c r="C21" s="21">
        <v>201</v>
      </c>
      <c r="D21" s="49">
        <v>30</v>
      </c>
      <c r="E21" s="49">
        <v>25</v>
      </c>
      <c r="F21" s="49">
        <v>20</v>
      </c>
    </row>
    <row r="22" spans="2:13" s="5" customFormat="1" x14ac:dyDescent="0.25">
      <c r="B22" s="19" t="s">
        <v>27</v>
      </c>
      <c r="C22" s="47">
        <f>C19+C20+C21</f>
        <v>2248</v>
      </c>
      <c r="D22" s="47">
        <f t="shared" ref="D22:F22" si="9">D19+D20+D21</f>
        <v>2354.7493327999987</v>
      </c>
      <c r="E22" s="47">
        <f t="shared" si="9"/>
        <v>2520.3331361375986</v>
      </c>
      <c r="F22" s="47">
        <f t="shared" si="9"/>
        <v>2691.300853849943</v>
      </c>
    </row>
    <row r="23" spans="2:13" s="5" customFormat="1" x14ac:dyDescent="0.25">
      <c r="B23" s="50"/>
      <c r="C23" s="51"/>
      <c r="D23" s="51"/>
      <c r="E23" s="51"/>
      <c r="F23" s="51"/>
    </row>
    <row r="24" spans="2:13" s="5" customFormat="1" x14ac:dyDescent="0.25">
      <c r="B24" s="34" t="s">
        <v>83</v>
      </c>
      <c r="C24" s="45">
        <v>2016</v>
      </c>
      <c r="D24" s="34">
        <v>2017</v>
      </c>
      <c r="E24" s="34">
        <v>2018</v>
      </c>
      <c r="F24" s="34">
        <v>2019</v>
      </c>
    </row>
    <row r="25" spans="2:13" s="5" customFormat="1" x14ac:dyDescent="0.25">
      <c r="B25" s="21" t="s">
        <v>27</v>
      </c>
      <c r="C25" s="48"/>
      <c r="D25" s="48">
        <f>D22</f>
        <v>2354.7493327999987</v>
      </c>
      <c r="E25" s="48">
        <f>E22</f>
        <v>2520.3331361375986</v>
      </c>
      <c r="F25" s="48">
        <f>F22</f>
        <v>2691.300853849943</v>
      </c>
      <c r="K25" s="5">
        <v>2017</v>
      </c>
      <c r="L25" s="5">
        <v>2018</v>
      </c>
      <c r="M25" s="5">
        <v>2019</v>
      </c>
    </row>
    <row r="26" spans="2:13" s="5" customFormat="1" x14ac:dyDescent="0.25">
      <c r="B26" s="21" t="s">
        <v>85</v>
      </c>
      <c r="C26" s="21"/>
      <c r="D26" s="21">
        <f>K27</f>
        <v>236.24999999999997</v>
      </c>
      <c r="E26" s="21">
        <f>L27</f>
        <v>192.5</v>
      </c>
      <c r="F26" s="21">
        <f>M27</f>
        <v>201.25</v>
      </c>
      <c r="J26" s="5" t="s">
        <v>81</v>
      </c>
      <c r="K26" s="5">
        <v>675</v>
      </c>
      <c r="L26" s="5">
        <v>550</v>
      </c>
      <c r="M26" s="5">
        <v>575</v>
      </c>
    </row>
    <row r="27" spans="2:13" s="5" customFormat="1" x14ac:dyDescent="0.25">
      <c r="B27" s="21" t="s">
        <v>86</v>
      </c>
      <c r="C27" s="21"/>
      <c r="D27" s="49">
        <f>D13*0.02</f>
        <v>18.817083993599983</v>
      </c>
      <c r="E27" s="49">
        <f>E13*0.02</f>
        <v>20.621881237651184</v>
      </c>
      <c r="F27" s="49">
        <f>F13*0.02</f>
        <v>22.484816606387316</v>
      </c>
      <c r="J27" s="5" t="s">
        <v>82</v>
      </c>
      <c r="K27" s="5">
        <f>K26*0.35</f>
        <v>236.24999999999997</v>
      </c>
      <c r="L27" s="5">
        <f t="shared" ref="L27:M27" si="10">L26*0.35</f>
        <v>192.5</v>
      </c>
      <c r="M27" s="5">
        <f t="shared" si="10"/>
        <v>201.25</v>
      </c>
    </row>
    <row r="28" spans="2:13" s="5" customFormat="1" x14ac:dyDescent="0.25">
      <c r="B28" s="19" t="s">
        <v>87</v>
      </c>
      <c r="C28" s="21"/>
      <c r="D28" s="47">
        <f>D25-D26-D27</f>
        <v>2099.6822488063985</v>
      </c>
      <c r="E28" s="47">
        <f t="shared" ref="E28:F28" si="11">E25-E26-E27</f>
        <v>2307.2112548999476</v>
      </c>
      <c r="F28" s="47">
        <f t="shared" si="11"/>
        <v>2467.5660372435555</v>
      </c>
    </row>
    <row r="29" spans="2:13" s="5" customFormat="1" x14ac:dyDescent="0.25"/>
    <row r="30" spans="2:13" s="5" customFormat="1" x14ac:dyDescent="0.25">
      <c r="B30" s="9"/>
      <c r="C30" s="9"/>
      <c r="D30" s="9"/>
      <c r="E30" s="9"/>
      <c r="F30" s="9"/>
    </row>
    <row r="31" spans="2:13" s="5" customFormat="1" x14ac:dyDescent="0.25">
      <c r="C31" s="3"/>
      <c r="D31" s="12"/>
      <c r="E31" s="12"/>
      <c r="F31" s="12"/>
    </row>
    <row r="32" spans="2:13" s="5" customFormat="1" x14ac:dyDescent="0.25"/>
    <row r="33" spans="2:5" s="5" customFormat="1" x14ac:dyDescent="0.25"/>
    <row r="34" spans="2:5" s="5" customFormat="1" x14ac:dyDescent="0.25">
      <c r="B34" s="34" t="s">
        <v>76</v>
      </c>
      <c r="C34" s="34">
        <v>2017</v>
      </c>
      <c r="D34" s="34">
        <v>2018</v>
      </c>
      <c r="E34" s="34">
        <v>2019</v>
      </c>
    </row>
    <row r="35" spans="2:5" s="5" customFormat="1" x14ac:dyDescent="0.25">
      <c r="B35" s="21" t="s">
        <v>27</v>
      </c>
      <c r="C35" s="48">
        <f>D22</f>
        <v>2354.7493327999987</v>
      </c>
      <c r="D35" s="48">
        <f>E22</f>
        <v>2520.3331361375986</v>
      </c>
      <c r="E35" s="48">
        <f>F22</f>
        <v>2691.300853849943</v>
      </c>
    </row>
    <row r="36" spans="2:5" s="5" customFormat="1" x14ac:dyDescent="0.25">
      <c r="B36" s="24" t="s">
        <v>89</v>
      </c>
      <c r="C36" s="24">
        <v>813</v>
      </c>
      <c r="D36" s="24">
        <v>708</v>
      </c>
      <c r="E36" s="24">
        <v>572</v>
      </c>
    </row>
    <row r="37" spans="2:5" s="5" customFormat="1" x14ac:dyDescent="0.25">
      <c r="B37" s="19" t="s">
        <v>160</v>
      </c>
      <c r="C37" s="47">
        <f>SUM(C35:C36)</f>
        <v>3167.7493327999987</v>
      </c>
      <c r="D37" s="47">
        <f t="shared" ref="D37:E37" si="12">SUM(D35:D36)</f>
        <v>3228.3331361375986</v>
      </c>
      <c r="E37" s="47">
        <f t="shared" si="12"/>
        <v>3263.300853849943</v>
      </c>
    </row>
    <row r="38" spans="2:5" x14ac:dyDescent="0.25">
      <c r="B38" s="24" t="s">
        <v>90</v>
      </c>
      <c r="C38" s="24">
        <v>81.92</v>
      </c>
      <c r="D38" s="24">
        <v>83.89</v>
      </c>
      <c r="E38" s="24">
        <v>85.9</v>
      </c>
    </row>
    <row r="39" spans="2:5" x14ac:dyDescent="0.25">
      <c r="B39" s="24" t="s">
        <v>91</v>
      </c>
      <c r="C39" s="24">
        <v>350</v>
      </c>
      <c r="D39" s="24">
        <v>0</v>
      </c>
      <c r="E39" s="24">
        <v>517</v>
      </c>
    </row>
    <row r="40" spans="2:5" x14ac:dyDescent="0.25">
      <c r="B40" s="24" t="s">
        <v>82</v>
      </c>
      <c r="C40" s="24">
        <f>K27</f>
        <v>236.24999999999997</v>
      </c>
      <c r="D40" s="24">
        <f>L27</f>
        <v>192.5</v>
      </c>
      <c r="E40" s="24">
        <f>M27</f>
        <v>201.25</v>
      </c>
    </row>
    <row r="41" spans="2:5" x14ac:dyDescent="0.25">
      <c r="B41" s="24" t="s">
        <v>92</v>
      </c>
      <c r="C41" s="41">
        <f>D27</f>
        <v>18.817083993599983</v>
      </c>
      <c r="D41" s="41">
        <f>E27</f>
        <v>20.621881237651184</v>
      </c>
      <c r="E41" s="41">
        <f>F27</f>
        <v>22.484816606387316</v>
      </c>
    </row>
    <row r="42" spans="2:5" x14ac:dyDescent="0.25">
      <c r="B42" s="24" t="s">
        <v>89</v>
      </c>
      <c r="C42" s="24">
        <v>813</v>
      </c>
      <c r="D42" s="24">
        <v>708</v>
      </c>
      <c r="E42" s="24">
        <v>572</v>
      </c>
    </row>
    <row r="43" spans="2:5" x14ac:dyDescent="0.25">
      <c r="B43" s="19" t="s">
        <v>161</v>
      </c>
      <c r="C43" s="42">
        <f>C38+C39+C40+C41+C42</f>
        <v>1499.9870839936</v>
      </c>
      <c r="D43" s="42">
        <f t="shared" ref="D43:E43" si="13">D38+D39+D40+D41+D42</f>
        <v>1005.0118812376511</v>
      </c>
      <c r="E43" s="42">
        <f t="shared" si="13"/>
        <v>1398.6348166063872</v>
      </c>
    </row>
    <row r="44" spans="2:5" x14ac:dyDescent="0.25">
      <c r="B44" s="19" t="s">
        <v>88</v>
      </c>
      <c r="C44" s="42">
        <f>C37/C43</f>
        <v>2.111851072987982</v>
      </c>
      <c r="D44" s="42">
        <f t="shared" ref="D44:E44" si="14">D37/D43</f>
        <v>3.2122338018153318</v>
      </c>
      <c r="E44" s="42">
        <f t="shared" si="14"/>
        <v>2.3332043612126969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"/>
  <sheetViews>
    <sheetView workbookViewId="0"/>
  </sheetViews>
  <sheetFormatPr defaultRowHeight="15" x14ac:dyDescent="0.25"/>
  <cols>
    <col min="2" max="2" width="34.7109375" customWidth="1"/>
    <col min="3" max="3" width="34.7109375" hidden="1" customWidth="1"/>
    <col min="4" max="4" width="16.85546875" customWidth="1"/>
    <col min="5" max="5" width="12.5703125" customWidth="1"/>
    <col min="6" max="6" width="11.7109375" customWidth="1"/>
    <col min="7" max="7" width="8.5703125" style="60" customWidth="1"/>
    <col min="8" max="9" width="8.5703125" customWidth="1"/>
    <col min="10" max="10" width="98" bestFit="1" customWidth="1"/>
    <col min="12" max="12" width="16.28515625" bestFit="1" customWidth="1"/>
  </cols>
  <sheetData>
    <row r="2" spans="2:18" x14ac:dyDescent="0.25">
      <c r="B2" s="52" t="s">
        <v>76</v>
      </c>
      <c r="C2" s="34">
        <v>2016</v>
      </c>
      <c r="D2" s="35">
        <v>2017</v>
      </c>
      <c r="E2" s="62">
        <v>2018</v>
      </c>
      <c r="F2" s="35">
        <v>2019</v>
      </c>
      <c r="G2" s="89"/>
      <c r="H2" s="67"/>
      <c r="I2" s="34"/>
      <c r="J2" s="35" t="s">
        <v>170</v>
      </c>
      <c r="L2" t="s">
        <v>162</v>
      </c>
      <c r="M2" s="14">
        <v>3.2000000000000001E-2</v>
      </c>
      <c r="N2">
        <v>3.2</v>
      </c>
      <c r="O2">
        <v>1.04</v>
      </c>
    </row>
    <row r="3" spans="2:18" x14ac:dyDescent="0.25">
      <c r="B3" s="21" t="s">
        <v>11</v>
      </c>
      <c r="C3" s="48">
        <v>39528</v>
      </c>
      <c r="D3" s="44">
        <f>C3*1.032</f>
        <v>40792.896000000001</v>
      </c>
      <c r="E3" s="79">
        <f>D3*1.0295</f>
        <v>41996.286432000001</v>
      </c>
      <c r="F3" s="44">
        <f>E3*1.0104</f>
        <v>42433.0478108928</v>
      </c>
      <c r="G3" s="75"/>
      <c r="H3" s="68"/>
      <c r="I3" s="41"/>
      <c r="J3" s="24" t="s">
        <v>173</v>
      </c>
      <c r="L3" t="s">
        <v>29</v>
      </c>
      <c r="M3">
        <v>0.52</v>
      </c>
      <c r="N3">
        <v>0.52</v>
      </c>
      <c r="O3">
        <v>0.52</v>
      </c>
    </row>
    <row r="4" spans="2:18" x14ac:dyDescent="0.25">
      <c r="B4" s="21" t="s">
        <v>14</v>
      </c>
      <c r="C4" s="48">
        <f>C3-C5</f>
        <v>30337</v>
      </c>
      <c r="D4" s="44">
        <f>D3-D5</f>
        <v>31173.9311232</v>
      </c>
      <c r="E4" s="79">
        <f t="shared" ref="E4:F4" si="0">E3-E5</f>
        <v>31954.9743461088</v>
      </c>
      <c r="F4" s="44">
        <f t="shared" si="0"/>
        <v>32147.277021532384</v>
      </c>
      <c r="G4" s="75"/>
      <c r="H4" s="68"/>
      <c r="I4" s="41"/>
      <c r="J4" s="24"/>
      <c r="L4" t="s">
        <v>163</v>
      </c>
      <c r="M4">
        <v>5</v>
      </c>
      <c r="N4">
        <v>5</v>
      </c>
      <c r="O4">
        <v>2</v>
      </c>
    </row>
    <row r="5" spans="2:18" x14ac:dyDescent="0.25">
      <c r="B5" s="21" t="s">
        <v>16</v>
      </c>
      <c r="C5" s="48">
        <v>9191</v>
      </c>
      <c r="D5" s="44">
        <f>D3*0.2358</f>
        <v>9618.9648768000006</v>
      </c>
      <c r="E5" s="79">
        <f>E3*0.2391</f>
        <v>10041.312085891201</v>
      </c>
      <c r="F5" s="44">
        <f>F3*0.2424</f>
        <v>10285.770789360415</v>
      </c>
      <c r="H5" s="69"/>
      <c r="I5" s="24"/>
      <c r="J5" s="24" t="s">
        <v>164</v>
      </c>
      <c r="Q5" s="15">
        <f>C5/C3</f>
        <v>0.23251872090669906</v>
      </c>
      <c r="R5">
        <v>23.25</v>
      </c>
    </row>
    <row r="6" spans="2:18" x14ac:dyDescent="0.25">
      <c r="B6" s="21" t="s">
        <v>72</v>
      </c>
      <c r="C6" s="27">
        <v>7618</v>
      </c>
      <c r="D6" s="44">
        <f>D3*0.1935</f>
        <v>7893.4253760000001</v>
      </c>
      <c r="E6" s="79">
        <f>E3*0.1935</f>
        <v>8126.2814245920008</v>
      </c>
      <c r="F6" s="44">
        <f>F3*0.1935</f>
        <v>8210.7947514077568</v>
      </c>
      <c r="H6" s="69"/>
      <c r="I6" s="24"/>
      <c r="J6" s="24" t="s">
        <v>169</v>
      </c>
      <c r="R6">
        <v>0.33</v>
      </c>
    </row>
    <row r="7" spans="2:18" x14ac:dyDescent="0.25">
      <c r="B7" s="21" t="s">
        <v>75</v>
      </c>
      <c r="C7" s="48">
        <v>198</v>
      </c>
      <c r="D7" s="38">
        <v>30</v>
      </c>
      <c r="E7" s="64">
        <v>25</v>
      </c>
      <c r="F7" s="38">
        <v>12</v>
      </c>
      <c r="H7" s="69"/>
      <c r="I7" s="24"/>
      <c r="J7" s="24" t="s">
        <v>165</v>
      </c>
      <c r="Q7">
        <v>2017</v>
      </c>
      <c r="R7">
        <f>SUM(R5:R6)</f>
        <v>23.58</v>
      </c>
    </row>
    <row r="8" spans="2:18" x14ac:dyDescent="0.25">
      <c r="B8" s="21" t="s">
        <v>6</v>
      </c>
      <c r="C8" s="48">
        <f>C5-C6-C7</f>
        <v>1375</v>
      </c>
      <c r="D8" s="44">
        <f>D5-D6-D7</f>
        <v>1695.5395008000005</v>
      </c>
      <c r="E8" s="79">
        <f t="shared" ref="E8:F8" si="1">E5-E6-E7</f>
        <v>1890.0306612991999</v>
      </c>
      <c r="F8" s="44">
        <f t="shared" si="1"/>
        <v>2062.9760379526579</v>
      </c>
      <c r="H8" s="69"/>
      <c r="I8" s="24"/>
      <c r="J8" s="24"/>
      <c r="Q8">
        <v>2018</v>
      </c>
      <c r="R8">
        <f>R7+0.33</f>
        <v>23.909999999999997</v>
      </c>
    </row>
    <row r="9" spans="2:18" x14ac:dyDescent="0.25">
      <c r="B9" s="21" t="s">
        <v>19</v>
      </c>
      <c r="C9" s="21">
        <v>-80</v>
      </c>
      <c r="D9" s="38">
        <f>C9*1.01</f>
        <v>-80.8</v>
      </c>
      <c r="E9" s="79">
        <f>D9*1.032</f>
        <v>-83.385599999999997</v>
      </c>
      <c r="F9" s="44">
        <f>E9*1.032</f>
        <v>-86.053939200000002</v>
      </c>
      <c r="G9" s="75"/>
      <c r="H9" s="68"/>
      <c r="I9" s="41"/>
      <c r="J9" s="24" t="s">
        <v>166</v>
      </c>
      <c r="Q9">
        <v>2019</v>
      </c>
      <c r="R9">
        <f>R8+0.33</f>
        <v>24.239999999999995</v>
      </c>
    </row>
    <row r="10" spans="2:18" x14ac:dyDescent="0.25">
      <c r="B10" s="21" t="s">
        <v>158</v>
      </c>
      <c r="C10" s="21">
        <v>15</v>
      </c>
      <c r="D10" s="38">
        <v>14</v>
      </c>
      <c r="E10" s="64">
        <v>18</v>
      </c>
      <c r="F10" s="38">
        <v>12</v>
      </c>
      <c r="H10" s="69"/>
      <c r="I10" s="24"/>
      <c r="J10" s="24" t="s">
        <v>167</v>
      </c>
    </row>
    <row r="11" spans="2:18" x14ac:dyDescent="0.25">
      <c r="B11" s="21" t="s">
        <v>77</v>
      </c>
      <c r="C11" s="48">
        <f>C8+C9+C10</f>
        <v>1310</v>
      </c>
      <c r="D11" s="44">
        <f>D8+D9+D10</f>
        <v>1628.7395008000005</v>
      </c>
      <c r="E11" s="79">
        <f t="shared" ref="E11:F11" si="2">E8+E9+E10</f>
        <v>1824.6450612991998</v>
      </c>
      <c r="F11" s="44">
        <f t="shared" si="2"/>
        <v>1988.9220987526578</v>
      </c>
      <c r="H11" s="69"/>
      <c r="I11" s="24"/>
      <c r="J11" s="24"/>
    </row>
    <row r="12" spans="2:18" x14ac:dyDescent="0.25">
      <c r="B12" s="21" t="s">
        <v>78</v>
      </c>
      <c r="C12" s="21">
        <v>503</v>
      </c>
      <c r="D12" s="44">
        <f>D11*0.4</f>
        <v>651.49580032000028</v>
      </c>
      <c r="E12" s="79">
        <f t="shared" ref="E12:F12" si="3">E11*0.4</f>
        <v>729.85802451967993</v>
      </c>
      <c r="F12" s="44">
        <f t="shared" si="3"/>
        <v>795.56883950106317</v>
      </c>
      <c r="G12" s="75"/>
      <c r="H12" s="68"/>
      <c r="I12" s="41"/>
      <c r="J12" s="24" t="s">
        <v>168</v>
      </c>
    </row>
    <row r="13" spans="2:18" x14ac:dyDescent="0.25">
      <c r="B13" s="19" t="s">
        <v>79</v>
      </c>
      <c r="C13" s="47">
        <f>C11-C12</f>
        <v>807</v>
      </c>
      <c r="D13" s="80">
        <f>D11-D12</f>
        <v>977.24370048000026</v>
      </c>
      <c r="E13" s="81">
        <f t="shared" ref="E13:F13" si="4">E11-E12</f>
        <v>1094.7870367795199</v>
      </c>
      <c r="F13" s="80">
        <f t="shared" si="4"/>
        <v>1193.3532592515946</v>
      </c>
      <c r="G13" s="50"/>
      <c r="H13" s="70"/>
      <c r="I13" s="19"/>
      <c r="J13" s="24"/>
    </row>
    <row r="14" spans="2:18" x14ac:dyDescent="0.25">
      <c r="F14" s="60"/>
    </row>
    <row r="15" spans="2:18" x14ac:dyDescent="0.25">
      <c r="F15" s="78"/>
    </row>
    <row r="16" spans="2:18" x14ac:dyDescent="0.25">
      <c r="B16" s="34" t="s">
        <v>76</v>
      </c>
      <c r="C16" s="34">
        <v>2016</v>
      </c>
      <c r="D16" s="35">
        <v>2017</v>
      </c>
      <c r="E16" s="62">
        <v>2018</v>
      </c>
      <c r="F16" s="82">
        <v>2019</v>
      </c>
      <c r="G16" s="74"/>
      <c r="H16" s="67"/>
      <c r="I16" s="34"/>
      <c r="J16" s="35" t="s">
        <v>170</v>
      </c>
    </row>
    <row r="17" spans="2:10" x14ac:dyDescent="0.25">
      <c r="B17" s="21" t="s">
        <v>6</v>
      </c>
      <c r="C17" s="46">
        <f>C8</f>
        <v>1375</v>
      </c>
      <c r="D17" s="44">
        <f>D8</f>
        <v>1695.5395008000005</v>
      </c>
      <c r="E17" s="79">
        <f t="shared" ref="E17:F17" si="5">E8</f>
        <v>1890.0306612991999</v>
      </c>
      <c r="F17" s="44">
        <f t="shared" si="5"/>
        <v>2062.9760379526579</v>
      </c>
      <c r="H17" s="69"/>
      <c r="I17" s="24"/>
      <c r="J17" s="24"/>
    </row>
    <row r="18" spans="2:10" x14ac:dyDescent="0.25">
      <c r="B18" s="21" t="s">
        <v>159</v>
      </c>
      <c r="C18" s="21">
        <f>C10</f>
        <v>15</v>
      </c>
      <c r="D18" s="38">
        <f>D10</f>
        <v>14</v>
      </c>
      <c r="E18" s="64">
        <f t="shared" ref="E18:F18" si="6">E10</f>
        <v>18</v>
      </c>
      <c r="F18" s="38">
        <f t="shared" si="6"/>
        <v>12</v>
      </c>
      <c r="H18" s="69"/>
      <c r="I18" s="24"/>
      <c r="J18" s="24"/>
    </row>
    <row r="19" spans="2:10" x14ac:dyDescent="0.25">
      <c r="B19" s="21" t="s">
        <v>5</v>
      </c>
      <c r="C19" s="48">
        <f>C17+C18</f>
        <v>1390</v>
      </c>
      <c r="D19" s="83">
        <f t="shared" ref="D19:F19" si="7">D17+D18</f>
        <v>1709.5395008000005</v>
      </c>
      <c r="E19" s="84">
        <f t="shared" si="7"/>
        <v>1908.0306612991999</v>
      </c>
      <c r="F19" s="83">
        <f t="shared" si="7"/>
        <v>2074.9760379526579</v>
      </c>
      <c r="G19" s="76"/>
      <c r="H19" s="71"/>
      <c r="I19" s="48"/>
      <c r="J19" s="24"/>
    </row>
    <row r="20" spans="2:10" x14ac:dyDescent="0.25">
      <c r="B20" s="21" t="s">
        <v>84</v>
      </c>
      <c r="C20" s="21">
        <v>657</v>
      </c>
      <c r="D20" s="44">
        <f>C20*1.027</f>
        <v>674.73899999999992</v>
      </c>
      <c r="E20" s="79">
        <f t="shared" ref="E20:F20" si="8">D20*1.027</f>
        <v>692.95695299999988</v>
      </c>
      <c r="F20" s="44">
        <f t="shared" si="8"/>
        <v>711.66679073099988</v>
      </c>
      <c r="G20" s="75"/>
      <c r="H20" s="68"/>
      <c r="I20" s="41"/>
      <c r="J20" s="24" t="s">
        <v>177</v>
      </c>
    </row>
    <row r="21" spans="2:10" x14ac:dyDescent="0.25">
      <c r="B21" s="21" t="s">
        <v>107</v>
      </c>
      <c r="C21" s="21">
        <v>201</v>
      </c>
      <c r="D21" s="38">
        <v>30</v>
      </c>
      <c r="E21" s="64">
        <v>25</v>
      </c>
      <c r="F21" s="38">
        <v>12</v>
      </c>
      <c r="H21" s="69"/>
      <c r="I21" s="24"/>
      <c r="J21" s="24"/>
    </row>
    <row r="22" spans="2:10" x14ac:dyDescent="0.25">
      <c r="B22" s="19" t="s">
        <v>27</v>
      </c>
      <c r="C22" s="47">
        <f>C19+C20+C21</f>
        <v>2248</v>
      </c>
      <c r="D22" s="85">
        <f>D19+D20+D21</f>
        <v>2414.2785008000005</v>
      </c>
      <c r="E22" s="86">
        <f t="shared" ref="E22:F22" si="9">E19+E20+E21</f>
        <v>2625.9876142991998</v>
      </c>
      <c r="F22" s="85">
        <f t="shared" si="9"/>
        <v>2798.6428286836576</v>
      </c>
      <c r="G22" s="51"/>
      <c r="H22" s="72"/>
      <c r="I22" s="47"/>
      <c r="J22" s="24"/>
    </row>
    <row r="23" spans="2:10" x14ac:dyDescent="0.25">
      <c r="B23" s="50"/>
      <c r="C23" s="51"/>
      <c r="F23" s="24"/>
    </row>
    <row r="24" spans="2:10" x14ac:dyDescent="0.25">
      <c r="B24" s="34" t="s">
        <v>83</v>
      </c>
      <c r="C24" s="34">
        <v>2016</v>
      </c>
      <c r="D24" s="35">
        <v>2017</v>
      </c>
      <c r="E24" s="62">
        <v>2018</v>
      </c>
      <c r="F24" s="35">
        <v>2019</v>
      </c>
      <c r="G24" s="74"/>
      <c r="H24" s="67"/>
      <c r="I24" s="34"/>
      <c r="J24" s="35" t="s">
        <v>170</v>
      </c>
    </row>
    <row r="25" spans="2:10" x14ac:dyDescent="0.25">
      <c r="B25" s="21" t="s">
        <v>27</v>
      </c>
      <c r="C25" s="48"/>
      <c r="D25" s="87">
        <f>D22</f>
        <v>2414.2785008000005</v>
      </c>
      <c r="E25" s="88">
        <f t="shared" ref="E25:F25" si="10">E22</f>
        <v>2625.9876142991998</v>
      </c>
      <c r="F25" s="87">
        <f t="shared" si="10"/>
        <v>2798.6428286836576</v>
      </c>
      <c r="G25" s="77"/>
      <c r="H25" s="73"/>
      <c r="I25" s="46"/>
      <c r="J25" s="24"/>
    </row>
    <row r="26" spans="2:10" x14ac:dyDescent="0.25">
      <c r="B26" s="21" t="s">
        <v>85</v>
      </c>
      <c r="C26" s="21"/>
      <c r="D26" s="38">
        <v>236.24999999999997</v>
      </c>
      <c r="E26" s="64">
        <v>192.5</v>
      </c>
      <c r="F26" s="38">
        <v>201.25</v>
      </c>
      <c r="H26" s="69"/>
      <c r="I26" s="24"/>
      <c r="J26" s="24" t="s">
        <v>171</v>
      </c>
    </row>
    <row r="27" spans="2:10" x14ac:dyDescent="0.25">
      <c r="B27" s="21" t="s">
        <v>86</v>
      </c>
      <c r="C27" s="21"/>
      <c r="D27" s="44">
        <f>D13*0.02</f>
        <v>19.544874009600004</v>
      </c>
      <c r="E27" s="79">
        <f t="shared" ref="E27:F27" si="11">E13*0.02</f>
        <v>21.895740735590397</v>
      </c>
      <c r="F27" s="44">
        <f t="shared" si="11"/>
        <v>23.867065185031894</v>
      </c>
      <c r="G27" s="75"/>
      <c r="H27" s="68"/>
      <c r="I27" s="41"/>
      <c r="J27" s="24" t="s">
        <v>172</v>
      </c>
    </row>
    <row r="28" spans="2:10" x14ac:dyDescent="0.25">
      <c r="B28" s="19" t="s">
        <v>87</v>
      </c>
      <c r="C28" s="21"/>
      <c r="D28" s="85">
        <f>D25-D26-D27</f>
        <v>2158.4836267904006</v>
      </c>
      <c r="E28" s="86">
        <f t="shared" ref="E28:F28" si="12">E25-E26-E27</f>
        <v>2411.5918735636092</v>
      </c>
      <c r="F28" s="85">
        <f t="shared" si="12"/>
        <v>2573.5257634986256</v>
      </c>
      <c r="G28" s="77"/>
      <c r="H28" s="73"/>
      <c r="I28" s="46"/>
      <c r="J28" s="24"/>
    </row>
    <row r="31" spans="2:10" x14ac:dyDescent="0.25">
      <c r="B31" s="35" t="s">
        <v>76</v>
      </c>
      <c r="D31" s="35">
        <v>2017</v>
      </c>
      <c r="E31" s="35">
        <v>2018</v>
      </c>
      <c r="F31" s="62">
        <v>2019</v>
      </c>
      <c r="G31" s="55"/>
      <c r="H31" s="55"/>
      <c r="I31" s="55"/>
    </row>
    <row r="32" spans="2:10" x14ac:dyDescent="0.25">
      <c r="B32" s="24" t="s">
        <v>174</v>
      </c>
      <c r="D32" s="43">
        <v>3.2000000000000001E-2</v>
      </c>
      <c r="E32" s="43">
        <v>2.9499999999999998E-2</v>
      </c>
      <c r="F32" s="63">
        <v>1.04E-2</v>
      </c>
      <c r="G32" s="56"/>
      <c r="H32" s="56"/>
      <c r="I32" s="56"/>
    </row>
    <row r="33" spans="2:10" x14ac:dyDescent="0.25">
      <c r="B33" s="24" t="s">
        <v>182</v>
      </c>
      <c r="D33" s="38">
        <v>0.33</v>
      </c>
      <c r="E33" s="38">
        <v>0.33</v>
      </c>
      <c r="F33" s="64">
        <v>0.33</v>
      </c>
      <c r="G33" s="57"/>
      <c r="H33" s="57"/>
      <c r="I33" s="57"/>
    </row>
    <row r="34" spans="2:10" x14ac:dyDescent="0.25">
      <c r="B34" s="24" t="s">
        <v>175</v>
      </c>
      <c r="D34" s="43">
        <v>0.19350000000000001</v>
      </c>
      <c r="E34" s="43">
        <v>0.19350000000000001</v>
      </c>
      <c r="F34" s="64">
        <v>19.350000000000001</v>
      </c>
      <c r="G34" s="57"/>
      <c r="H34" s="57"/>
      <c r="I34" s="57"/>
    </row>
    <row r="35" spans="2:10" x14ac:dyDescent="0.25">
      <c r="B35" s="24" t="s">
        <v>176</v>
      </c>
      <c r="D35" s="53">
        <v>0.01</v>
      </c>
      <c r="E35" s="43">
        <v>3.2000000000000001E-2</v>
      </c>
      <c r="F35" s="63">
        <v>3.2000000000000001E-2</v>
      </c>
      <c r="G35" s="56"/>
      <c r="H35" s="56"/>
      <c r="I35" s="56"/>
    </row>
    <row r="36" spans="2:10" x14ac:dyDescent="0.25">
      <c r="B36" s="24" t="s">
        <v>178</v>
      </c>
      <c r="D36" s="54">
        <v>14</v>
      </c>
      <c r="E36" s="54">
        <v>18</v>
      </c>
      <c r="F36" s="65">
        <v>12</v>
      </c>
      <c r="G36" s="58"/>
      <c r="H36" s="58"/>
      <c r="I36" s="58"/>
    </row>
    <row r="37" spans="2:10" x14ac:dyDescent="0.25">
      <c r="B37" s="24" t="s">
        <v>78</v>
      </c>
      <c r="D37" s="53">
        <v>0.4</v>
      </c>
      <c r="E37" s="53">
        <v>0.4</v>
      </c>
      <c r="F37" s="66">
        <v>0.4</v>
      </c>
      <c r="G37" s="59"/>
      <c r="H37" s="59"/>
      <c r="I37" s="59"/>
      <c r="J37">
        <v>0</v>
      </c>
    </row>
    <row r="38" spans="2:10" x14ac:dyDescent="0.25">
      <c r="B38" s="24" t="s">
        <v>67</v>
      </c>
      <c r="D38" s="43">
        <v>2.7E-2</v>
      </c>
      <c r="E38" s="43">
        <v>2.7E-2</v>
      </c>
      <c r="F38" s="63">
        <v>2.7E-2</v>
      </c>
      <c r="G38" s="56"/>
      <c r="H38" s="56"/>
      <c r="I38" s="56"/>
    </row>
    <row r="39" spans="2:10" x14ac:dyDescent="0.25">
      <c r="B39" s="24" t="s">
        <v>82</v>
      </c>
      <c r="D39" s="24" t="s">
        <v>181</v>
      </c>
      <c r="E39" s="24" t="s">
        <v>180</v>
      </c>
      <c r="F39" s="61" t="s">
        <v>179</v>
      </c>
      <c r="H39" s="60"/>
      <c r="I39" s="60"/>
    </row>
    <row r="40" spans="2:10" x14ac:dyDescent="0.25">
      <c r="B40" s="24" t="s">
        <v>183</v>
      </c>
      <c r="D40" s="53">
        <v>0.02</v>
      </c>
      <c r="E40" s="53">
        <v>0.02</v>
      </c>
      <c r="F40" s="66">
        <v>0.02</v>
      </c>
      <c r="G40" s="59"/>
      <c r="H40" s="59"/>
      <c r="I40" s="5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7AD3789-AC3D-4180-A8C8-26CACE7433A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Altman Z score</vt:lpstr>
      <vt:lpstr>Historical Performance</vt:lpstr>
      <vt:lpstr>DuPont Model</vt:lpstr>
      <vt:lpstr>Liquidity Ratio</vt:lpstr>
      <vt:lpstr>Financial Leverage Ratio</vt:lpstr>
      <vt:lpstr>Enterprise Value</vt:lpstr>
      <vt:lpstr>Depreciation Ratio</vt:lpstr>
      <vt:lpstr>Forecasting</vt:lpstr>
      <vt:lpstr>Student Case Forecasting</vt:lpstr>
      <vt:lpstr>Adjusted Financial Analysis</vt:lpstr>
      <vt:lpstr>Sustainable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 Ghodawat</dc:creator>
  <cp:lastModifiedBy>Niks</cp:lastModifiedBy>
  <dcterms:created xsi:type="dcterms:W3CDTF">2016-11-16T04:07:07Z</dcterms:created>
  <dcterms:modified xsi:type="dcterms:W3CDTF">2016-11-26T00:44:25Z</dcterms:modified>
</cp:coreProperties>
</file>