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ad Drive\Niks\IIT\Spring 2016\VPM\Project\"/>
    </mc:Choice>
  </mc:AlternateContent>
  <bookViews>
    <workbookView xWindow="0" yWindow="0" windowWidth="20490" windowHeight="8115" activeTab="1"/>
  </bookViews>
  <sheets>
    <sheet name="Sheet1" sheetId="1" r:id="rId1"/>
    <sheet name="DDM" sheetId="3" r:id="rId2"/>
    <sheet name="FCFF" sheetId="4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4" l="1"/>
  <c r="B6" i="4"/>
  <c r="B21" i="4" s="1"/>
  <c r="B23" i="4" s="1"/>
  <c r="B24" i="4" s="1"/>
  <c r="B4" i="4"/>
  <c r="B14" i="4" l="1"/>
  <c r="B19" i="4" s="1"/>
  <c r="F4" i="4"/>
  <c r="B5" i="4"/>
  <c r="E4" i="4" s="1"/>
  <c r="E9" i="1"/>
  <c r="E5" i="1"/>
  <c r="L6" i="1"/>
  <c r="C3" i="3"/>
  <c r="C5" i="3"/>
  <c r="E33" i="1" a="1"/>
  <c r="E33" i="1" s="1"/>
  <c r="D32" i="1"/>
  <c r="E28" i="1"/>
  <c r="E29" i="1"/>
  <c r="E30" i="1"/>
  <c r="E27" i="1"/>
  <c r="K25" i="1" l="1"/>
  <c r="E19" i="1" l="1"/>
  <c r="E20" i="1" s="1"/>
  <c r="E15" i="1"/>
  <c r="O14" i="1"/>
  <c r="L5" i="1"/>
  <c r="N5" i="1" s="1"/>
  <c r="N6" i="1" l="1"/>
  <c r="O6" i="1" s="1"/>
  <c r="N7" i="1" l="1"/>
  <c r="O7" i="1" s="1"/>
  <c r="N8" i="1" l="1"/>
  <c r="O8" i="1" s="1"/>
  <c r="N9" i="1" l="1"/>
  <c r="O9" i="1" s="1"/>
  <c r="N10" i="1" l="1"/>
  <c r="O10" i="1" s="1"/>
  <c r="M11" i="1" l="1"/>
  <c r="N11" i="1" s="1"/>
  <c r="O11" i="1" s="1"/>
  <c r="O13" i="1" s="1"/>
  <c r="O15" i="1" s="1"/>
  <c r="O18" i="1" s="1"/>
</calcChain>
</file>

<file path=xl/sharedStrings.xml><?xml version="1.0" encoding="utf-8"?>
<sst xmlns="http://schemas.openxmlformats.org/spreadsheetml/2006/main" count="88" uniqueCount="86">
  <si>
    <t>Discounted Cash flow analysis</t>
  </si>
  <si>
    <t>Market Values/Assumptions</t>
  </si>
  <si>
    <t>Market Risk premium</t>
  </si>
  <si>
    <t>Equity Assumptions</t>
  </si>
  <si>
    <t>Beta (β)</t>
  </si>
  <si>
    <t xml:space="preserve">Market value of Equity </t>
  </si>
  <si>
    <t>Debt Values</t>
  </si>
  <si>
    <t>Pre-tax Cost of Debt</t>
  </si>
  <si>
    <t>Effective cost Rate</t>
  </si>
  <si>
    <t xml:space="preserve">After-Tax cost of Debt </t>
  </si>
  <si>
    <t>Market Value of debt Estimation</t>
  </si>
  <si>
    <t>Firm assumptions</t>
  </si>
  <si>
    <t>Firm value</t>
  </si>
  <si>
    <t>Debt to MV ratio</t>
  </si>
  <si>
    <t>WACC</t>
  </si>
  <si>
    <t>Initial cash flow</t>
  </si>
  <si>
    <t xml:space="preserve">Long term Growth rate </t>
  </si>
  <si>
    <t xml:space="preserve">RiskFree Rate </t>
  </si>
  <si>
    <t xml:space="preserve">Valuation Model </t>
  </si>
  <si>
    <t>Calender years</t>
  </si>
  <si>
    <t>Year</t>
  </si>
  <si>
    <t>Growth Rate</t>
  </si>
  <si>
    <t>FCF</t>
  </si>
  <si>
    <t xml:space="preserve">Term value </t>
  </si>
  <si>
    <t>Total</t>
  </si>
  <si>
    <t>PV</t>
  </si>
  <si>
    <t>Firm Value</t>
  </si>
  <si>
    <t xml:space="preserve">debt value </t>
  </si>
  <si>
    <t>shares outstanding</t>
  </si>
  <si>
    <t>YTM</t>
  </si>
  <si>
    <t xml:space="preserve">Instrinsic value </t>
  </si>
  <si>
    <t>Equity Value</t>
  </si>
  <si>
    <t>Market Value of a stock</t>
  </si>
  <si>
    <t>http://finance.yahoo.com/q?s=^TNX</t>
  </si>
  <si>
    <t>Us t bills rate ( Risk free rate of return) =</t>
  </si>
  <si>
    <t>Expected market rate of return( S&amp; p 500) =</t>
  </si>
  <si>
    <t>http://pages.stern.nyu.edu/~adamodar/New_Home_Page/datafile/histretSP.html</t>
  </si>
  <si>
    <t xml:space="preserve">Million </t>
  </si>
  <si>
    <t>morningstar</t>
  </si>
  <si>
    <t>http://finance.yahoo.com/q/ks?s=LYB+Key+Statistics</t>
  </si>
  <si>
    <t>http://csimarket.com/stocks/singleProfitabilityRatios.php?code=LYB&amp;itx</t>
  </si>
  <si>
    <t>Expected rate of Return (CAPM)</t>
  </si>
  <si>
    <t>Analysis of Historical FCF</t>
  </si>
  <si>
    <t>M</t>
  </si>
  <si>
    <t xml:space="preserve">% change </t>
  </si>
  <si>
    <t>Average cash flow</t>
  </si>
  <si>
    <t>Geometric mean</t>
  </si>
  <si>
    <t>Annual Required Rate of Return =</t>
  </si>
  <si>
    <t>g</t>
  </si>
  <si>
    <t>Constant Growth Rate =</t>
  </si>
  <si>
    <r>
      <t>D</t>
    </r>
    <r>
      <rPr>
        <vertAlign val="subscript"/>
        <sz val="11"/>
        <color indexed="8"/>
        <rFont val="Calibri"/>
        <family val="2"/>
      </rPr>
      <t>1</t>
    </r>
  </si>
  <si>
    <t>Dividend in 1 year =</t>
  </si>
  <si>
    <r>
      <t>D</t>
    </r>
    <r>
      <rPr>
        <vertAlign val="subscript"/>
        <sz val="11"/>
        <color indexed="8"/>
        <rFont val="Calibri"/>
        <family val="2"/>
      </rPr>
      <t>0</t>
    </r>
  </si>
  <si>
    <t>Current Dividend (now) =</t>
  </si>
  <si>
    <r>
      <t>P</t>
    </r>
    <r>
      <rPr>
        <vertAlign val="subscript"/>
        <sz val="11"/>
        <color indexed="8"/>
        <rFont val="Calibri"/>
        <family val="2"/>
      </rPr>
      <t>0</t>
    </r>
  </si>
  <si>
    <t>Current Stock Price =</t>
  </si>
  <si>
    <t>K</t>
  </si>
  <si>
    <t>http://www.dividend.com/dividend-stocks/basic-materials/specialty-chemicals/lyb-lyondellbasell-industries/</t>
  </si>
  <si>
    <t>*Note ==&gt; g &lt; K, or stock price infinite</t>
  </si>
  <si>
    <t xml:space="preserve">Dividend Growth Model ==&gt; </t>
  </si>
  <si>
    <t>P0 = D0*(1+g)/(K-g) = D1/(K-g)</t>
  </si>
  <si>
    <t>ASSUMPTIONS</t>
  </si>
  <si>
    <t>Target D/E</t>
  </si>
  <si>
    <t>Actual D/E</t>
  </si>
  <si>
    <t>Current FCFF</t>
  </si>
  <si>
    <t>these should probably not be too different (but note WACC is based on target values so can be a slightly different)</t>
  </si>
  <si>
    <t>Target debt to Firm value (D/V)</t>
  </si>
  <si>
    <t>Market value of debt</t>
  </si>
  <si>
    <t>https://finance.yahoo.com/q/ks?s=LYB</t>
  </si>
  <si>
    <t>Shares outstanding</t>
  </si>
  <si>
    <t>Required return on equity (Ke)</t>
  </si>
  <si>
    <t>ROUND((B8*B18)+((1-B8)*B11),4</t>
  </si>
  <si>
    <t>Cost of debt ( kd)</t>
  </si>
  <si>
    <t>Long-term growth in FCFF(g)</t>
  </si>
  <si>
    <t>Tax rate (t)</t>
  </si>
  <si>
    <t xml:space="preserve">Current Stock pice </t>
  </si>
  <si>
    <t>Market value of Equity</t>
  </si>
  <si>
    <t>E/V</t>
  </si>
  <si>
    <t>OUTPUT - WACC, Value of firm and common stock</t>
  </si>
  <si>
    <t>Calculation of WACC</t>
  </si>
  <si>
    <t>After-tax cost of debt</t>
  </si>
  <si>
    <t>ROUND((B8*B18)+((1-B8)*B11),4)</t>
  </si>
  <si>
    <t>Value of the firm</t>
  </si>
  <si>
    <t>(B7*(1+B13))/(B19-B13)</t>
  </si>
  <si>
    <t>Value of equity</t>
  </si>
  <si>
    <t>Per share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</si>
</sst>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0.0%"/>
    <numFmt numFmtId="166" formatCode="_(* #,##0_);_(* \(#,##0\);_(* &quot;-&quot;??_);_(@_)"/>
    <numFmt numFmtId="167" formatCode="&quot;$&quot;#,##0.00"/>
    <numFmt numFmtId="168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Calibri"/>
      <family val="2"/>
      <scheme val="minor"/>
    </font>
    <font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i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1" fillId="3" borderId="0" xfId="2"/>
    <xf numFmtId="0" fontId="2" fillId="2" borderId="0" xfId="1" applyFont="1"/>
    <xf numFmtId="0" fontId="2" fillId="2" borderId="0" xfId="1" applyFont="1" applyAlignment="1">
      <alignment horizontal="center"/>
    </xf>
    <xf numFmtId="0" fontId="3" fillId="3" borderId="0" xfId="2" applyFont="1"/>
    <xf numFmtId="0" fontId="2" fillId="3" borderId="0" xfId="2" applyFont="1"/>
    <xf numFmtId="0" fontId="2" fillId="0" borderId="0" xfId="0" applyFont="1"/>
    <xf numFmtId="0" fontId="3" fillId="3" borderId="0" xfId="2" applyFont="1" applyBorder="1"/>
    <xf numFmtId="0" fontId="2" fillId="3" borderId="0" xfId="2" applyFont="1" applyBorder="1"/>
    <xf numFmtId="0" fontId="2" fillId="3" borderId="1" xfId="2" applyFont="1" applyBorder="1"/>
    <xf numFmtId="0" fontId="2" fillId="3" borderId="4" xfId="2" applyFont="1" applyBorder="1"/>
    <xf numFmtId="0" fontId="2" fillId="3" borderId="5" xfId="2" applyFont="1" applyBorder="1"/>
    <xf numFmtId="0" fontId="2" fillId="3" borderId="9" xfId="2" applyFont="1" applyBorder="1"/>
    <xf numFmtId="0" fontId="2" fillId="3" borderId="10" xfId="2" applyFont="1" applyBorder="1"/>
    <xf numFmtId="0" fontId="2" fillId="3" borderId="7" xfId="2" applyFont="1" applyBorder="1"/>
    <xf numFmtId="1" fontId="2" fillId="2" borderId="0" xfId="1" applyNumberFormat="1" applyFont="1"/>
    <xf numFmtId="0" fontId="2" fillId="2" borderId="3" xfId="1" applyFont="1" applyBorder="1" applyAlignment="1">
      <alignment horizontal="center"/>
    </xf>
    <xf numFmtId="1" fontId="2" fillId="2" borderId="3" xfId="1" applyNumberFormat="1" applyFont="1" applyBorder="1" applyAlignment="1">
      <alignment horizontal="center"/>
    </xf>
    <xf numFmtId="0" fontId="2" fillId="2" borderId="7" xfId="1" applyFont="1" applyBorder="1" applyAlignment="1">
      <alignment horizontal="left"/>
    </xf>
    <xf numFmtId="0" fontId="2" fillId="2" borderId="7" xfId="1" applyFont="1" applyBorder="1"/>
    <xf numFmtId="0" fontId="2" fillId="2" borderId="12" xfId="1" applyFont="1" applyBorder="1" applyAlignment="1">
      <alignment horizontal="left"/>
    </xf>
    <xf numFmtId="0" fontId="2" fillId="2" borderId="12" xfId="1" applyFont="1" applyBorder="1"/>
    <xf numFmtId="1" fontId="2" fillId="2" borderId="2" xfId="1" applyNumberFormat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13" xfId="1" applyFont="1" applyBorder="1" applyAlignment="1">
      <alignment horizontal="center"/>
    </xf>
    <xf numFmtId="2" fontId="2" fillId="2" borderId="2" xfId="1" applyNumberFormat="1" applyFont="1" applyBorder="1" applyAlignment="1">
      <alignment horizontal="center"/>
    </xf>
    <xf numFmtId="10" fontId="2" fillId="3" borderId="6" xfId="2" applyNumberFormat="1" applyFont="1" applyBorder="1" applyAlignment="1">
      <alignment horizontal="center"/>
    </xf>
    <xf numFmtId="0" fontId="2" fillId="3" borderId="0" xfId="2" applyFont="1" applyAlignment="1">
      <alignment horizontal="center"/>
    </xf>
    <xf numFmtId="0" fontId="2" fillId="3" borderId="0" xfId="2" applyFont="1" applyBorder="1" applyAlignment="1">
      <alignment horizontal="center"/>
    </xf>
    <xf numFmtId="0" fontId="2" fillId="3" borderId="6" xfId="2" applyFont="1" applyBorder="1" applyAlignment="1">
      <alignment horizontal="center"/>
    </xf>
    <xf numFmtId="10" fontId="2" fillId="3" borderId="8" xfId="2" applyNumberFormat="1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43" fontId="2" fillId="3" borderId="6" xfId="2" applyNumberFormat="1" applyFont="1" applyBorder="1" applyAlignment="1">
      <alignment horizontal="center"/>
    </xf>
    <xf numFmtId="0" fontId="2" fillId="3" borderId="8" xfId="2" applyFont="1" applyBorder="1" applyAlignment="1">
      <alignment horizontal="center"/>
    </xf>
    <xf numFmtId="9" fontId="2" fillId="3" borderId="11" xfId="2" applyNumberFormat="1" applyFont="1" applyBorder="1" applyAlignment="1">
      <alignment horizontal="center"/>
    </xf>
    <xf numFmtId="0" fontId="2" fillId="2" borderId="14" xfId="1" applyFont="1" applyBorder="1" applyAlignment="1">
      <alignment horizontal="center"/>
    </xf>
    <xf numFmtId="0" fontId="2" fillId="2" borderId="14" xfId="1" applyFont="1" applyBorder="1" applyAlignment="1">
      <alignment horizontal="center" vertical="center"/>
    </xf>
    <xf numFmtId="10" fontId="2" fillId="2" borderId="14" xfId="1" applyNumberFormat="1" applyFont="1" applyBorder="1" applyAlignment="1">
      <alignment horizontal="center"/>
    </xf>
    <xf numFmtId="1" fontId="2" fillId="2" borderId="14" xfId="1" applyNumberFormat="1" applyFont="1" applyBorder="1" applyAlignment="1">
      <alignment horizontal="center"/>
    </xf>
    <xf numFmtId="0" fontId="2" fillId="2" borderId="15" xfId="1" applyFont="1" applyBorder="1"/>
    <xf numFmtId="0" fontId="2" fillId="2" borderId="16" xfId="1" applyFont="1" applyBorder="1"/>
    <xf numFmtId="0" fontId="2" fillId="2" borderId="16" xfId="1" applyFont="1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4" fillId="2" borderId="0" xfId="1" applyFont="1"/>
    <xf numFmtId="0" fontId="2" fillId="2" borderId="18" xfId="1" applyFont="1" applyBorder="1" applyAlignment="1">
      <alignment horizontal="center"/>
    </xf>
    <xf numFmtId="0" fontId="2" fillId="2" borderId="19" xfId="1" applyFont="1" applyBorder="1" applyAlignment="1">
      <alignment horizontal="center"/>
    </xf>
    <xf numFmtId="1" fontId="2" fillId="2" borderId="8" xfId="1" applyNumberFormat="1" applyFont="1" applyBorder="1" applyAlignment="1">
      <alignment horizontal="center"/>
    </xf>
    <xf numFmtId="1" fontId="2" fillId="2" borderId="22" xfId="1" applyNumberFormat="1" applyFont="1" applyBorder="1" applyAlignment="1">
      <alignment horizontal="center"/>
    </xf>
    <xf numFmtId="1" fontId="2" fillId="2" borderId="11" xfId="1" applyNumberFormat="1" applyFont="1" applyBorder="1" applyAlignment="1">
      <alignment horizontal="center"/>
    </xf>
    <xf numFmtId="0" fontId="5" fillId="0" borderId="0" xfId="5"/>
    <xf numFmtId="10" fontId="1" fillId="5" borderId="0" xfId="4" applyNumberFormat="1" applyFill="1" applyAlignment="1">
      <alignment vertical="center" wrapText="1"/>
    </xf>
    <xf numFmtId="164" fontId="2" fillId="3" borderId="11" xfId="2" applyNumberFormat="1" applyFont="1" applyBorder="1" applyAlignment="1">
      <alignment horizontal="center"/>
    </xf>
    <xf numFmtId="165" fontId="0" fillId="0" borderId="0" xfId="0" applyNumberFormat="1"/>
    <xf numFmtId="0" fontId="2" fillId="3" borderId="12" xfId="2" applyFont="1" applyBorder="1"/>
    <xf numFmtId="0" fontId="2" fillId="3" borderId="23" xfId="2" applyFont="1" applyBorder="1"/>
    <xf numFmtId="0" fontId="1" fillId="3" borderId="24" xfId="2" applyBorder="1"/>
    <xf numFmtId="0" fontId="1" fillId="3" borderId="25" xfId="2" applyBorder="1"/>
    <xf numFmtId="10" fontId="2" fillId="3" borderId="7" xfId="2" applyNumberFormat="1" applyFont="1" applyBorder="1"/>
    <xf numFmtId="10" fontId="2" fillId="3" borderId="9" xfId="2" applyNumberFormat="1" applyFont="1" applyBorder="1"/>
    <xf numFmtId="0" fontId="1" fillId="3" borderId="26" xfId="2" applyBorder="1"/>
    <xf numFmtId="0" fontId="2" fillId="3" borderId="2" xfId="2" applyFont="1" applyBorder="1"/>
    <xf numFmtId="3" fontId="2" fillId="3" borderId="13" xfId="2" applyNumberFormat="1" applyFont="1" applyBorder="1" applyAlignment="1">
      <alignment vertical="center"/>
    </xf>
    <xf numFmtId="3" fontId="2" fillId="3" borderId="27" xfId="2" applyNumberFormat="1" applyFont="1" applyBorder="1" applyAlignment="1">
      <alignment vertical="center"/>
    </xf>
    <xf numFmtId="0" fontId="2" fillId="7" borderId="29" xfId="0" applyFont="1" applyFill="1" applyBorder="1"/>
    <xf numFmtId="0" fontId="2" fillId="7" borderId="30" xfId="0" applyFont="1" applyFill="1" applyBorder="1"/>
    <xf numFmtId="3" fontId="0" fillId="7" borderId="30" xfId="0" applyNumberFormat="1" applyFill="1" applyBorder="1"/>
    <xf numFmtId="0" fontId="0" fillId="7" borderId="6" xfId="0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0" fillId="7" borderId="22" xfId="0" applyFill="1" applyBorder="1"/>
    <xf numFmtId="10" fontId="0" fillId="7" borderId="11" xfId="3" applyNumberFormat="1" applyFont="1" applyFill="1" applyBorder="1"/>
    <xf numFmtId="0" fontId="0" fillId="0" borderId="3" xfId="0" applyBorder="1"/>
    <xf numFmtId="0" fontId="0" fillId="0" borderId="20" xfId="0" applyBorder="1" applyAlignment="1">
      <alignment wrapText="1"/>
    </xf>
    <xf numFmtId="0" fontId="0" fillId="0" borderId="25" xfId="0" applyBorder="1"/>
    <xf numFmtId="0" fontId="0" fillId="0" borderId="8" xfId="0" applyBorder="1"/>
    <xf numFmtId="0" fontId="0" fillId="0" borderId="10" xfId="0" applyBorder="1"/>
    <xf numFmtId="0" fontId="0" fillId="0" borderId="26" xfId="0" applyBorder="1"/>
    <xf numFmtId="0" fontId="7" fillId="8" borderId="31" xfId="0" applyFont="1" applyFill="1" applyBorder="1"/>
    <xf numFmtId="0" fontId="0" fillId="0" borderId="28" xfId="0" applyBorder="1"/>
    <xf numFmtId="0" fontId="0" fillId="0" borderId="32" xfId="0" applyBorder="1" applyAlignment="1">
      <alignment wrapText="1"/>
    </xf>
    <xf numFmtId="0" fontId="0" fillId="0" borderId="14" xfId="0" applyBorder="1"/>
    <xf numFmtId="0" fontId="0" fillId="5" borderId="2" xfId="0" applyFill="1" applyBorder="1"/>
    <xf numFmtId="0" fontId="0" fillId="9" borderId="9" xfId="0" applyFont="1" applyFill="1" applyBorder="1"/>
    <xf numFmtId="10" fontId="0" fillId="0" borderId="25" xfId="0" applyNumberFormat="1" applyBorder="1"/>
    <xf numFmtId="0" fontId="0" fillId="6" borderId="24" xfId="0" applyFill="1" applyBorder="1"/>
    <xf numFmtId="0" fontId="0" fillId="0" borderId="5" xfId="0" applyBorder="1"/>
    <xf numFmtId="8" fontId="0" fillId="0" borderId="25" xfId="0" applyNumberFormat="1" applyBorder="1"/>
    <xf numFmtId="0" fontId="0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Font="1" applyBorder="1"/>
    <xf numFmtId="0" fontId="9" fillId="0" borderId="0" xfId="0" applyFont="1" applyBorder="1"/>
    <xf numFmtId="0" fontId="10" fillId="0" borderId="0" xfId="0" applyFont="1"/>
    <xf numFmtId="3" fontId="0" fillId="0" borderId="0" xfId="0" applyNumberFormat="1" applyAlignment="1">
      <alignment vertical="center"/>
    </xf>
    <xf numFmtId="8" fontId="0" fillId="0" borderId="0" xfId="0" applyNumberFormat="1" applyBorder="1"/>
    <xf numFmtId="10" fontId="11" fillId="0" borderId="0" xfId="3" applyNumberFormat="1" applyFont="1"/>
    <xf numFmtId="0" fontId="11" fillId="0" borderId="0" xfId="0" applyFont="1"/>
    <xf numFmtId="43" fontId="11" fillId="0" borderId="0" xfId="6" applyFont="1"/>
    <xf numFmtId="6" fontId="11" fillId="0" borderId="0" xfId="0" applyNumberFormat="1" applyFont="1"/>
    <xf numFmtId="166" fontId="11" fillId="0" borderId="0" xfId="6" applyNumberFormat="1" applyFont="1"/>
    <xf numFmtId="0" fontId="0" fillId="0" borderId="0" xfId="0" applyBorder="1" applyAlignment="1">
      <alignment horizontal="right"/>
    </xf>
    <xf numFmtId="10" fontId="11" fillId="0" borderId="0" xfId="0" applyNumberFormat="1" applyFont="1"/>
    <xf numFmtId="165" fontId="11" fillId="0" borderId="0" xfId="0" applyNumberFormat="1" applyFont="1"/>
    <xf numFmtId="9" fontId="11" fillId="0" borderId="0" xfId="0" applyNumberFormat="1" applyFont="1"/>
    <xf numFmtId="167" fontId="1" fillId="0" borderId="0" xfId="7" applyNumberFormat="1" applyFont="1"/>
    <xf numFmtId="8" fontId="11" fillId="0" borderId="0" xfId="3" applyNumberFormat="1" applyFont="1"/>
    <xf numFmtId="0" fontId="11" fillId="0" borderId="0" xfId="0" applyFont="1" applyBorder="1"/>
    <xf numFmtId="44" fontId="1" fillId="0" borderId="0" xfId="7" applyFont="1" applyBorder="1"/>
    <xf numFmtId="0" fontId="11" fillId="0" borderId="0" xfId="0" applyFont="1" applyFill="1" applyBorder="1"/>
    <xf numFmtId="0" fontId="12" fillId="0" borderId="0" xfId="0" applyFont="1" applyBorder="1"/>
    <xf numFmtId="9" fontId="0" fillId="0" borderId="0" xfId="0" applyNumberFormat="1" applyFont="1"/>
    <xf numFmtId="44" fontId="11" fillId="0" borderId="0" xfId="7" applyFont="1"/>
    <xf numFmtId="0" fontId="13" fillId="0" borderId="0" xfId="0" applyFont="1"/>
    <xf numFmtId="167" fontId="0" fillId="0" borderId="0" xfId="0" applyNumberFormat="1" applyBorder="1"/>
    <xf numFmtId="10" fontId="10" fillId="5" borderId="0" xfId="3" applyNumberFormat="1" applyFont="1" applyFill="1"/>
    <xf numFmtId="0" fontId="14" fillId="0" borderId="0" xfId="0" applyFont="1"/>
    <xf numFmtId="10" fontId="10" fillId="0" borderId="0" xfId="3" applyNumberFormat="1" applyFont="1"/>
    <xf numFmtId="168" fontId="10" fillId="0" borderId="0" xfId="7" applyNumberFormat="1" applyFont="1"/>
    <xf numFmtId="0" fontId="14" fillId="0" borderId="0" xfId="0" quotePrefix="1" applyFont="1"/>
    <xf numFmtId="168" fontId="10" fillId="0" borderId="0" xfId="0" applyNumberFormat="1" applyFont="1"/>
    <xf numFmtId="44" fontId="10" fillId="5" borderId="0" xfId="7" applyFont="1" applyFill="1"/>
    <xf numFmtId="4" fontId="0" fillId="0" borderId="0" xfId="0" applyNumberFormat="1" applyBorder="1"/>
    <xf numFmtId="0" fontId="15" fillId="0" borderId="0" xfId="0" applyFont="1" applyFill="1" applyBorder="1" applyAlignment="1">
      <alignment wrapText="1"/>
    </xf>
    <xf numFmtId="0" fontId="0" fillId="0" borderId="0" xfId="0" applyFont="1" applyFill="1" applyBorder="1"/>
  </cellXfs>
  <cellStyles count="8">
    <cellStyle name="20% - Accent1" xfId="1" builtinId="30"/>
    <cellStyle name="20% - Accent2" xfId="2" builtinId="34"/>
    <cellStyle name="40% - Accent2" xfId="4" builtinId="35"/>
    <cellStyle name="Comma" xfId="6" builtinId="3"/>
    <cellStyle name="Currency" xfId="7" builtinId="4"/>
    <cellStyle name="Hyperlink" xfId="5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e.yahoo.com/q?s=%5eT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22" workbookViewId="0">
      <selection activeCell="I35" sqref="I35"/>
    </sheetView>
  </sheetViews>
  <sheetFormatPr defaultRowHeight="15" x14ac:dyDescent="0.25"/>
  <cols>
    <col min="3" max="3" width="10.7109375" customWidth="1"/>
    <col min="5" max="5" width="15.42578125" customWidth="1"/>
    <col min="6" max="6" width="3.85546875" customWidth="1"/>
    <col min="9" max="9" width="5.28515625" customWidth="1"/>
    <col min="11" max="11" width="12.42578125" customWidth="1"/>
    <col min="13" max="13" width="12.7109375" customWidth="1"/>
    <col min="14" max="14" width="17.5703125" customWidth="1"/>
    <col min="15" max="15" width="14.7109375" customWidth="1"/>
  </cols>
  <sheetData>
    <row r="1" spans="1:15" s="6" customFormat="1" ht="23.25" customHeight="1" x14ac:dyDescent="0.25">
      <c r="A1" s="4" t="s">
        <v>0</v>
      </c>
      <c r="B1" s="5"/>
      <c r="C1" s="5"/>
      <c r="D1" s="5"/>
      <c r="E1" s="5"/>
      <c r="F1" s="5"/>
    </row>
    <row r="2" spans="1:15" s="6" customFormat="1" x14ac:dyDescent="0.25">
      <c r="A2" s="5"/>
      <c r="B2" s="5"/>
      <c r="C2" s="5"/>
      <c r="D2" s="5"/>
      <c r="E2" s="5"/>
      <c r="F2" s="5"/>
      <c r="H2" s="2"/>
      <c r="I2" s="2"/>
      <c r="J2" s="2"/>
      <c r="K2" s="2"/>
      <c r="L2" s="2"/>
      <c r="M2" s="2"/>
      <c r="N2" s="2"/>
      <c r="O2" s="2"/>
    </row>
    <row r="3" spans="1:15" s="6" customFormat="1" ht="15.75" thickBot="1" x14ac:dyDescent="0.3">
      <c r="A3" s="7" t="s">
        <v>1</v>
      </c>
      <c r="B3" s="8"/>
      <c r="C3" s="8"/>
      <c r="D3" s="8"/>
      <c r="E3" s="8"/>
      <c r="F3" s="9"/>
      <c r="H3" s="2"/>
      <c r="I3" s="2"/>
      <c r="J3" s="43" t="s">
        <v>18</v>
      </c>
      <c r="K3" s="2"/>
      <c r="L3" s="2"/>
      <c r="M3" s="2"/>
      <c r="N3" s="2"/>
      <c r="O3" s="2"/>
    </row>
    <row r="4" spans="1:15" s="6" customFormat="1" ht="17.25" customHeight="1" thickBot="1" x14ac:dyDescent="0.3">
      <c r="A4" s="10" t="s">
        <v>17</v>
      </c>
      <c r="B4" s="11"/>
      <c r="C4" s="11"/>
      <c r="D4" s="11"/>
      <c r="E4" s="26">
        <v>1.78E-2</v>
      </c>
      <c r="F4" s="5"/>
      <c r="H4" s="39" t="s">
        <v>19</v>
      </c>
      <c r="I4" s="40"/>
      <c r="J4" s="40" t="s">
        <v>20</v>
      </c>
      <c r="K4" s="40" t="s">
        <v>21</v>
      </c>
      <c r="L4" s="40" t="s">
        <v>22</v>
      </c>
      <c r="M4" s="41" t="s">
        <v>23</v>
      </c>
      <c r="N4" s="41" t="s">
        <v>24</v>
      </c>
      <c r="O4" s="42" t="s">
        <v>25</v>
      </c>
    </row>
    <row r="5" spans="1:15" s="6" customFormat="1" ht="15.75" thickBot="1" x14ac:dyDescent="0.3">
      <c r="A5" s="12" t="s">
        <v>2</v>
      </c>
      <c r="B5" s="13"/>
      <c r="C5" s="13"/>
      <c r="D5" s="13"/>
      <c r="E5" s="51">
        <f>11.01%-E4</f>
        <v>9.2300000000000007E-2</v>
      </c>
      <c r="F5" s="5"/>
      <c r="H5" s="44">
        <v>2015</v>
      </c>
      <c r="I5" s="35"/>
      <c r="J5" s="36">
        <v>0</v>
      </c>
      <c r="K5" s="37">
        <v>0.12</v>
      </c>
      <c r="L5" s="38">
        <f>E22</f>
        <v>4402</v>
      </c>
      <c r="M5" s="35"/>
      <c r="N5" s="38">
        <f>L5+M5</f>
        <v>4402</v>
      </c>
      <c r="O5" s="45"/>
    </row>
    <row r="6" spans="1:15" s="6" customFormat="1" x14ac:dyDescent="0.25">
      <c r="A6" s="5"/>
      <c r="B6" s="5"/>
      <c r="C6" s="5"/>
      <c r="D6" s="5"/>
      <c r="E6" s="27"/>
      <c r="F6" s="5"/>
      <c r="H6">
        <v>2016</v>
      </c>
      <c r="I6"/>
      <c r="J6">
        <v>1</v>
      </c>
      <c r="K6"/>
      <c r="L6">
        <f>L5*(1+K5)</f>
        <v>4930.2400000000007</v>
      </c>
      <c r="M6" s="16"/>
      <c r="N6" s="17">
        <f t="shared" ref="N6:N11" si="0">L6+M6</f>
        <v>4930.2400000000007</v>
      </c>
      <c r="O6" s="46">
        <f t="shared" ref="O6:O11" si="1">N6/((1+$E$21)^J6)</f>
        <v>4546.0949746426932</v>
      </c>
    </row>
    <row r="7" spans="1:15" s="6" customFormat="1" ht="15.75" thickBot="1" x14ac:dyDescent="0.3">
      <c r="A7" s="7" t="s">
        <v>3</v>
      </c>
      <c r="B7" s="8"/>
      <c r="C7" s="8"/>
      <c r="D7" s="8"/>
      <c r="E7" s="28"/>
      <c r="F7" s="9"/>
      <c r="H7"/>
      <c r="I7"/>
      <c r="J7"/>
      <c r="K7"/>
      <c r="L7"/>
      <c r="M7" s="16"/>
      <c r="N7" s="17">
        <f t="shared" si="0"/>
        <v>0</v>
      </c>
      <c r="O7" s="46">
        <f t="shared" si="1"/>
        <v>0</v>
      </c>
    </row>
    <row r="8" spans="1:15" s="6" customFormat="1" x14ac:dyDescent="0.25">
      <c r="A8" s="10" t="s">
        <v>4</v>
      </c>
      <c r="B8" s="11"/>
      <c r="C8" s="11"/>
      <c r="D8" s="11"/>
      <c r="E8" s="29">
        <v>1.62</v>
      </c>
      <c r="F8" s="5"/>
      <c r="H8"/>
      <c r="I8"/>
      <c r="J8"/>
      <c r="K8"/>
      <c r="L8"/>
      <c r="M8" s="16"/>
      <c r="N8" s="17">
        <f t="shared" si="0"/>
        <v>0</v>
      </c>
      <c r="O8" s="46">
        <f t="shared" si="1"/>
        <v>0</v>
      </c>
    </row>
    <row r="9" spans="1:15" s="6" customFormat="1" x14ac:dyDescent="0.25">
      <c r="A9" s="14" t="s">
        <v>41</v>
      </c>
      <c r="B9" s="8"/>
      <c r="C9" s="8"/>
      <c r="D9" s="8" t="s">
        <v>56</v>
      </c>
      <c r="E9" s="30">
        <f>E4+E8*E5</f>
        <v>0.16732600000000003</v>
      </c>
      <c r="F9" s="5"/>
      <c r="H9"/>
      <c r="I9"/>
      <c r="J9"/>
      <c r="K9"/>
      <c r="L9"/>
      <c r="M9" s="16"/>
      <c r="N9" s="17">
        <f t="shared" si="0"/>
        <v>0</v>
      </c>
      <c r="O9" s="46">
        <f t="shared" si="1"/>
        <v>0</v>
      </c>
    </row>
    <row r="10" spans="1:15" s="6" customFormat="1" ht="15.75" thickBot="1" x14ac:dyDescent="0.3">
      <c r="A10" s="12" t="s">
        <v>5</v>
      </c>
      <c r="B10" s="13"/>
      <c r="C10" s="13"/>
      <c r="D10" s="13" t="s">
        <v>37</v>
      </c>
      <c r="E10" s="31">
        <v>39130</v>
      </c>
      <c r="F10" s="5" t="s">
        <v>38</v>
      </c>
      <c r="H10"/>
      <c r="I10"/>
      <c r="J10"/>
      <c r="K10"/>
      <c r="L10"/>
      <c r="M10" s="16"/>
      <c r="N10" s="17">
        <f t="shared" si="0"/>
        <v>0</v>
      </c>
      <c r="O10" s="46">
        <f t="shared" si="1"/>
        <v>0</v>
      </c>
    </row>
    <row r="11" spans="1:15" s="6" customFormat="1" ht="15.75" thickBot="1" x14ac:dyDescent="0.3">
      <c r="A11" s="5"/>
      <c r="B11" s="5"/>
      <c r="C11" s="5"/>
      <c r="D11" s="5"/>
      <c r="E11" s="27"/>
      <c r="F11" s="5"/>
      <c r="H11"/>
      <c r="I11"/>
      <c r="J11"/>
      <c r="K11"/>
      <c r="L11"/>
      <c r="M11" s="47">
        <f>L11*(1+K11)/(E21-K11)</f>
        <v>0</v>
      </c>
      <c r="N11" s="47">
        <f t="shared" si="0"/>
        <v>0</v>
      </c>
      <c r="O11" s="48">
        <f t="shared" si="1"/>
        <v>0</v>
      </c>
    </row>
    <row r="12" spans="1:15" s="6" customFormat="1" ht="15.75" thickBot="1" x14ac:dyDescent="0.3">
      <c r="A12" s="7" t="s">
        <v>6</v>
      </c>
      <c r="B12" s="8"/>
      <c r="C12" s="8"/>
      <c r="D12" s="8"/>
      <c r="E12" s="28"/>
      <c r="F12" s="5"/>
      <c r="H12" s="2"/>
      <c r="I12" s="2"/>
      <c r="J12" s="2"/>
      <c r="K12" s="2"/>
      <c r="L12" s="15"/>
      <c r="M12" s="3"/>
      <c r="N12" s="3"/>
      <c r="O12" s="3"/>
    </row>
    <row r="13" spans="1:15" s="6" customFormat="1" ht="15.75" thickBot="1" x14ac:dyDescent="0.3">
      <c r="A13" s="10" t="s">
        <v>7</v>
      </c>
      <c r="B13" s="11"/>
      <c r="C13" s="11" t="s">
        <v>29</v>
      </c>
      <c r="D13" s="11"/>
      <c r="E13" s="26">
        <v>2.6100000000000002E-2</v>
      </c>
      <c r="F13" s="5" t="s">
        <v>39</v>
      </c>
      <c r="H13" s="2"/>
      <c r="I13" s="2"/>
      <c r="J13" s="2"/>
      <c r="K13" s="2"/>
      <c r="L13" s="2"/>
      <c r="M13" s="3"/>
      <c r="N13" s="20" t="s">
        <v>26</v>
      </c>
      <c r="O13" s="22">
        <f>SUM(O6:O11)</f>
        <v>4546.0949746426932</v>
      </c>
    </row>
    <row r="14" spans="1:15" s="6" customFormat="1" ht="15.75" thickBot="1" x14ac:dyDescent="0.3">
      <c r="A14" s="14" t="s">
        <v>8</v>
      </c>
      <c r="B14" s="8"/>
      <c r="C14" s="8"/>
      <c r="D14" s="8"/>
      <c r="E14" s="30">
        <v>0.24740000000000001</v>
      </c>
      <c r="F14" s="5" t="s">
        <v>40</v>
      </c>
      <c r="H14" s="2"/>
      <c r="I14" s="2"/>
      <c r="J14" s="2"/>
      <c r="K14" s="2"/>
      <c r="L14" s="2"/>
      <c r="M14" s="3"/>
      <c r="N14" s="20" t="s">
        <v>27</v>
      </c>
      <c r="O14" s="23">
        <f>E16</f>
        <v>8030</v>
      </c>
    </row>
    <row r="15" spans="1:15" s="6" customFormat="1" ht="15.75" thickBot="1" x14ac:dyDescent="0.3">
      <c r="A15" s="14" t="s">
        <v>9</v>
      </c>
      <c r="B15" s="8"/>
      <c r="C15" s="8"/>
      <c r="D15" s="8"/>
      <c r="E15" s="30">
        <f>(1-E14)*E13</f>
        <v>1.9642859999999998E-2</v>
      </c>
      <c r="F15" s="5"/>
      <c r="H15" s="2"/>
      <c r="I15" s="2"/>
      <c r="J15" s="2"/>
      <c r="K15" s="2"/>
      <c r="L15" s="2"/>
      <c r="M15" s="3"/>
      <c r="N15" s="21" t="s">
        <v>31</v>
      </c>
      <c r="O15" s="22">
        <f>O13-O14</f>
        <v>-3483.9050253573068</v>
      </c>
    </row>
    <row r="16" spans="1:15" s="6" customFormat="1" ht="15.75" thickBot="1" x14ac:dyDescent="0.3">
      <c r="A16" s="12" t="s">
        <v>10</v>
      </c>
      <c r="B16" s="13"/>
      <c r="C16" s="13"/>
      <c r="D16" s="13"/>
      <c r="E16" s="31">
        <v>8030</v>
      </c>
      <c r="F16" s="5"/>
      <c r="H16" s="2"/>
      <c r="I16" s="2"/>
      <c r="J16" s="2"/>
      <c r="K16" s="2"/>
      <c r="L16" s="2"/>
      <c r="M16" s="3"/>
      <c r="N16" s="20" t="s">
        <v>28</v>
      </c>
      <c r="O16" s="22">
        <v>1000</v>
      </c>
    </row>
    <row r="17" spans="1:17" s="6" customFormat="1" ht="15.75" thickBot="1" x14ac:dyDescent="0.3">
      <c r="A17" s="5"/>
      <c r="B17" s="5"/>
      <c r="C17" s="5"/>
      <c r="D17" s="5"/>
      <c r="E17" s="27"/>
      <c r="F17" s="5"/>
      <c r="H17" s="2"/>
      <c r="I17" s="2"/>
      <c r="J17" s="2"/>
      <c r="K17" s="2"/>
      <c r="L17" s="2"/>
      <c r="M17" s="3"/>
      <c r="N17" s="18"/>
      <c r="O17" s="24"/>
    </row>
    <row r="18" spans="1:17" s="6" customFormat="1" ht="15.75" thickBot="1" x14ac:dyDescent="0.3">
      <c r="A18" s="7" t="s">
        <v>11</v>
      </c>
      <c r="B18" s="8"/>
      <c r="C18" s="8"/>
      <c r="D18" s="8"/>
      <c r="E18" s="28"/>
      <c r="F18" s="8"/>
      <c r="H18" s="2"/>
      <c r="I18" s="2"/>
      <c r="J18" s="2"/>
      <c r="K18" s="2"/>
      <c r="L18" s="2"/>
      <c r="M18" s="3"/>
      <c r="N18" s="20" t="s">
        <v>30</v>
      </c>
      <c r="O18" s="25">
        <f>O15/O16</f>
        <v>-3.483905025357307</v>
      </c>
    </row>
    <row r="19" spans="1:17" s="6" customFormat="1" ht="15.75" thickBot="1" x14ac:dyDescent="0.3">
      <c r="A19" s="10" t="s">
        <v>12</v>
      </c>
      <c r="B19" s="11"/>
      <c r="C19" s="11"/>
      <c r="D19" s="11"/>
      <c r="E19" s="32">
        <f>E16+E10</f>
        <v>47160</v>
      </c>
      <c r="F19" s="8"/>
      <c r="H19" s="2"/>
      <c r="I19" s="2"/>
      <c r="J19" s="2"/>
      <c r="K19" s="2"/>
      <c r="L19" s="2"/>
      <c r="M19" s="2"/>
      <c r="N19" s="19"/>
      <c r="O19" s="24"/>
    </row>
    <row r="20" spans="1:17" s="6" customFormat="1" ht="15.75" thickBot="1" x14ac:dyDescent="0.3">
      <c r="A20" s="14" t="s">
        <v>13</v>
      </c>
      <c r="B20" s="8"/>
      <c r="C20" s="8"/>
      <c r="D20" s="8"/>
      <c r="E20" s="30">
        <f>E16/E19</f>
        <v>0.17027141645462257</v>
      </c>
      <c r="F20" s="5"/>
      <c r="H20" s="2"/>
      <c r="I20" s="2"/>
      <c r="J20" s="2"/>
      <c r="K20" s="2"/>
      <c r="L20" s="2"/>
      <c r="M20" s="2"/>
      <c r="N20" s="21" t="s">
        <v>32</v>
      </c>
      <c r="O20" s="23"/>
    </row>
    <row r="21" spans="1:17" s="6" customFormat="1" x14ac:dyDescent="0.25">
      <c r="A21" s="14" t="s">
        <v>14</v>
      </c>
      <c r="B21" s="8"/>
      <c r="C21" s="8"/>
      <c r="D21" s="8"/>
      <c r="E21" s="30">
        <v>8.4500000000000006E-2</v>
      </c>
      <c r="F21" s="5"/>
      <c r="H21" s="2"/>
      <c r="I21" s="2"/>
      <c r="J21" s="2"/>
      <c r="K21" s="2"/>
      <c r="L21" s="2"/>
      <c r="M21" s="2"/>
      <c r="N21" s="2"/>
      <c r="O21" s="2"/>
    </row>
    <row r="22" spans="1:17" s="6" customFormat="1" x14ac:dyDescent="0.25">
      <c r="A22" s="14" t="s">
        <v>15</v>
      </c>
      <c r="B22" s="8"/>
      <c r="C22" s="8"/>
      <c r="D22" s="8"/>
      <c r="E22" s="33">
        <v>4402</v>
      </c>
      <c r="F22" s="5"/>
    </row>
    <row r="23" spans="1:17" s="6" customFormat="1" ht="15.75" thickBot="1" x14ac:dyDescent="0.3">
      <c r="A23" s="12" t="s">
        <v>16</v>
      </c>
      <c r="B23" s="13"/>
      <c r="C23" s="13"/>
      <c r="D23" s="13"/>
      <c r="E23" s="34">
        <v>0.03</v>
      </c>
      <c r="F23" s="5"/>
    </row>
    <row r="24" spans="1:17" ht="15.75" thickBot="1" x14ac:dyDescent="0.3">
      <c r="A24" s="1"/>
      <c r="B24" s="1"/>
      <c r="C24" s="1"/>
      <c r="D24" s="1"/>
      <c r="E24" s="1"/>
      <c r="F24" s="1"/>
    </row>
    <row r="25" spans="1:17" ht="15.75" thickBot="1" x14ac:dyDescent="0.3">
      <c r="A25" s="53" t="s">
        <v>42</v>
      </c>
      <c r="B25" s="54"/>
      <c r="C25" s="54"/>
      <c r="D25" s="60" t="s">
        <v>43</v>
      </c>
      <c r="E25" s="53" t="s">
        <v>44</v>
      </c>
      <c r="F25" s="55"/>
      <c r="K25">
        <f>(2058.9-1848.36)/1848.36</f>
        <v>0.11390638187366109</v>
      </c>
    </row>
    <row r="26" spans="1:17" x14ac:dyDescent="0.25">
      <c r="A26" s="5">
        <v>2011</v>
      </c>
      <c r="B26" s="5"/>
      <c r="C26" s="5"/>
      <c r="D26" s="61">
        <v>1819</v>
      </c>
      <c r="E26" s="14"/>
      <c r="F26" s="56"/>
    </row>
    <row r="27" spans="1:17" x14ac:dyDescent="0.25">
      <c r="A27" s="5">
        <v>2012</v>
      </c>
      <c r="B27" s="5"/>
      <c r="C27" s="5"/>
      <c r="D27" s="61">
        <v>3727</v>
      </c>
      <c r="E27" s="57">
        <f>D27/D26 - 1</f>
        <v>1.0489279824079163</v>
      </c>
      <c r="F27" s="56"/>
    </row>
    <row r="28" spans="1:17" x14ac:dyDescent="0.25">
      <c r="A28" s="5">
        <v>2013</v>
      </c>
      <c r="B28" s="5"/>
      <c r="C28" s="5"/>
      <c r="D28" s="61">
        <v>3274</v>
      </c>
      <c r="E28" s="57">
        <f t="shared" ref="E28:E30" si="2">D28/D27 - 1</f>
        <v>-0.12154547893748324</v>
      </c>
      <c r="F28" s="56"/>
    </row>
    <row r="29" spans="1:17" x14ac:dyDescent="0.25">
      <c r="A29" s="5">
        <v>2014</v>
      </c>
      <c r="B29" s="5"/>
      <c r="C29" s="5"/>
      <c r="D29" s="61">
        <v>4549</v>
      </c>
      <c r="E29" s="57">
        <f t="shared" si="2"/>
        <v>0.38943188759926706</v>
      </c>
      <c r="F29" s="56"/>
      <c r="K29" s="49" t="s">
        <v>33</v>
      </c>
      <c r="N29" t="s">
        <v>34</v>
      </c>
      <c r="Q29">
        <v>1.78</v>
      </c>
    </row>
    <row r="30" spans="1:17" ht="15.75" thickBot="1" x14ac:dyDescent="0.3">
      <c r="A30" s="5">
        <v>2015</v>
      </c>
      <c r="B30" s="5"/>
      <c r="C30" s="5"/>
      <c r="D30" s="62">
        <v>4402</v>
      </c>
      <c r="E30" s="58">
        <f t="shared" si="2"/>
        <v>-3.2314794460320928E-2</v>
      </c>
      <c r="F30" s="59"/>
      <c r="G30" s="52"/>
    </row>
    <row r="31" spans="1:17" ht="15.75" thickBot="1" x14ac:dyDescent="0.3">
      <c r="A31" s="6"/>
      <c r="B31" s="6"/>
      <c r="C31" s="6"/>
      <c r="D31" s="6"/>
      <c r="E31" s="6"/>
      <c r="N31" t="s">
        <v>35</v>
      </c>
      <c r="Q31" s="50">
        <v>9.0300000000000005E-2</v>
      </c>
    </row>
    <row r="32" spans="1:17" x14ac:dyDescent="0.25">
      <c r="B32" s="63" t="s">
        <v>45</v>
      </c>
      <c r="C32" s="64"/>
      <c r="D32" s="65">
        <f>AVERAGE(D26:D30)</f>
        <v>3554.2</v>
      </c>
      <c r="E32" s="66"/>
      <c r="K32" t="s">
        <v>36</v>
      </c>
    </row>
    <row r="33" spans="2:5" ht="15.75" thickBot="1" x14ac:dyDescent="0.3">
      <c r="B33" s="67" t="s">
        <v>46</v>
      </c>
      <c r="C33" s="68"/>
      <c r="D33" s="69"/>
      <c r="E33" s="70">
        <f t="array" ref="E33">GEOMEAN(1+E27:E30)-1</f>
        <v>0.24725236121244598</v>
      </c>
    </row>
  </sheetData>
  <hyperlinks>
    <hyperlink ref="K2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31" customWidth="1"/>
  </cols>
  <sheetData>
    <row r="1" spans="1:6" ht="15.75" thickBot="1" x14ac:dyDescent="0.3"/>
    <row r="2" spans="1:6" ht="15.75" thickBot="1" x14ac:dyDescent="0.3">
      <c r="A2" s="77" t="s">
        <v>59</v>
      </c>
      <c r="B2" s="85"/>
      <c r="C2" s="78"/>
    </row>
    <row r="3" spans="1:6" ht="19.5" customHeight="1" thickBot="1" x14ac:dyDescent="0.4">
      <c r="A3" s="79" t="s">
        <v>55</v>
      </c>
      <c r="B3" s="81" t="s">
        <v>54</v>
      </c>
      <c r="C3" s="81">
        <f>C5/(C7-C6)</f>
        <v>57.350572390572403</v>
      </c>
      <c r="D3" s="84" t="s">
        <v>60</v>
      </c>
      <c r="E3" s="84"/>
      <c r="F3" s="84"/>
    </row>
    <row r="4" spans="1:6" ht="21.75" customHeight="1" x14ac:dyDescent="0.35">
      <c r="A4" s="72" t="s">
        <v>53</v>
      </c>
      <c r="B4" s="80" t="s">
        <v>52</v>
      </c>
      <c r="C4" s="86">
        <v>3.04</v>
      </c>
    </row>
    <row r="5" spans="1:6" ht="23.25" customHeight="1" x14ac:dyDescent="0.35">
      <c r="A5" s="72" t="s">
        <v>51</v>
      </c>
      <c r="B5" s="71" t="s">
        <v>50</v>
      </c>
      <c r="C5" s="73">
        <f>C4*(1+C6)</f>
        <v>3.4066240000000003</v>
      </c>
    </row>
    <row r="6" spans="1:6" ht="21" customHeight="1" x14ac:dyDescent="0.25">
      <c r="A6" s="72" t="s">
        <v>49</v>
      </c>
      <c r="B6" s="71" t="s">
        <v>48</v>
      </c>
      <c r="C6" s="74">
        <v>0.1206</v>
      </c>
      <c r="E6" t="s">
        <v>57</v>
      </c>
    </row>
    <row r="7" spans="1:6" ht="18" customHeight="1" x14ac:dyDescent="0.25">
      <c r="A7" s="72" t="s">
        <v>47</v>
      </c>
      <c r="B7" s="71" t="s">
        <v>56</v>
      </c>
      <c r="C7" s="83">
        <v>0.18</v>
      </c>
    </row>
    <row r="8" spans="1:6" ht="15.75" thickBot="1" x14ac:dyDescent="0.3">
      <c r="A8" s="82" t="s">
        <v>58</v>
      </c>
      <c r="B8" s="75"/>
      <c r="C8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cols>
    <col min="1" max="1" width="20.7109375" customWidth="1"/>
    <col min="2" max="2" width="20" customWidth="1"/>
  </cols>
  <sheetData>
    <row r="1" spans="1:13" x14ac:dyDescent="0.25">
      <c r="A1" s="87"/>
      <c r="B1" s="6"/>
      <c r="F1" s="88"/>
      <c r="G1" s="88"/>
      <c r="H1" s="88"/>
      <c r="I1" s="88"/>
      <c r="J1" s="88"/>
      <c r="K1" s="88"/>
      <c r="L1" s="88"/>
      <c r="M1" s="88"/>
    </row>
    <row r="2" spans="1:13" x14ac:dyDescent="0.25">
      <c r="A2" s="6"/>
      <c r="B2" s="6"/>
      <c r="F2" s="88"/>
      <c r="G2" s="88"/>
      <c r="H2" s="88"/>
      <c r="I2" s="88"/>
      <c r="J2" s="88"/>
      <c r="K2" s="88"/>
      <c r="L2" s="88"/>
      <c r="M2" s="88"/>
    </row>
    <row r="3" spans="1:13" ht="15.75" x14ac:dyDescent="0.25">
      <c r="A3" s="89" t="s">
        <v>61</v>
      </c>
      <c r="B3" s="90"/>
      <c r="C3" s="91"/>
      <c r="D3" s="91"/>
      <c r="E3" s="92" t="s">
        <v>62</v>
      </c>
      <c r="F3" s="92" t="s">
        <v>63</v>
      </c>
      <c r="G3" s="92"/>
    </row>
    <row r="4" spans="1:13" ht="15.75" x14ac:dyDescent="0.25">
      <c r="A4" s="92" t="s">
        <v>64</v>
      </c>
      <c r="B4" s="93">
        <f>4402*10^6</f>
        <v>4402000000</v>
      </c>
      <c r="C4" s="92"/>
      <c r="D4" s="94"/>
      <c r="E4" s="95">
        <f>B5</f>
        <v>0.16515349660083045</v>
      </c>
      <c r="F4" s="95">
        <f>B6/(B6+B23)</f>
        <v>0.16515349660083045</v>
      </c>
      <c r="G4" s="96" t="s">
        <v>65</v>
      </c>
      <c r="H4" s="88"/>
      <c r="I4" s="88"/>
      <c r="J4" s="92"/>
      <c r="K4" s="92"/>
    </row>
    <row r="5" spans="1:13" ht="15.75" x14ac:dyDescent="0.25">
      <c r="A5" s="96" t="s">
        <v>66</v>
      </c>
      <c r="B5" s="97">
        <f>B6/B21</f>
        <v>0.16515349660083045</v>
      </c>
      <c r="C5" s="98"/>
      <c r="D5" s="88"/>
      <c r="E5" s="88"/>
      <c r="F5" s="94"/>
      <c r="G5" s="88"/>
      <c r="H5" s="88"/>
      <c r="I5" s="88"/>
      <c r="J5" s="96"/>
      <c r="K5" s="95"/>
    </row>
    <row r="6" spans="1:13" ht="15.75" x14ac:dyDescent="0.25">
      <c r="A6" s="96" t="s">
        <v>67</v>
      </c>
      <c r="B6" s="98">
        <f>8.03*10^9</f>
        <v>8029999999.999999</v>
      </c>
      <c r="C6" s="98"/>
      <c r="D6" s="88" t="s">
        <v>68</v>
      </c>
      <c r="E6" s="88"/>
      <c r="F6" s="88"/>
      <c r="G6" s="88"/>
      <c r="H6" s="88"/>
      <c r="I6" s="88"/>
      <c r="J6" s="96"/>
      <c r="K6" s="96"/>
    </row>
    <row r="7" spans="1:13" ht="15.75" x14ac:dyDescent="0.25">
      <c r="A7" s="96" t="s">
        <v>69</v>
      </c>
      <c r="B7" s="99">
        <v>430450000</v>
      </c>
      <c r="C7" s="98"/>
      <c r="D7" s="88"/>
      <c r="E7" s="100"/>
      <c r="F7" s="88"/>
      <c r="G7" s="88"/>
      <c r="H7" s="88"/>
      <c r="I7" s="88"/>
      <c r="J7" s="96"/>
      <c r="K7" s="96"/>
      <c r="L7" s="88"/>
      <c r="M7" s="88"/>
    </row>
    <row r="8" spans="1:13" ht="15.75" x14ac:dyDescent="0.25">
      <c r="A8" s="96" t="s">
        <v>70</v>
      </c>
      <c r="B8" s="101">
        <v>0.1673</v>
      </c>
      <c r="C8" s="98"/>
      <c r="D8" s="88"/>
      <c r="E8" s="88" t="s">
        <v>71</v>
      </c>
      <c r="F8" s="88"/>
      <c r="G8" s="88"/>
      <c r="H8" s="88"/>
      <c r="I8" s="88"/>
      <c r="J8" s="96"/>
      <c r="K8" s="96"/>
      <c r="L8" s="88"/>
      <c r="M8" s="88"/>
    </row>
    <row r="9" spans="1:13" ht="15.75" x14ac:dyDescent="0.25">
      <c r="A9" s="96" t="s">
        <v>72</v>
      </c>
      <c r="B9" s="102">
        <v>0.24</v>
      </c>
      <c r="C9" s="98"/>
      <c r="D9" s="87"/>
      <c r="E9" s="87"/>
      <c r="F9" s="88"/>
      <c r="G9" s="88"/>
      <c r="H9" s="88"/>
      <c r="I9" s="88"/>
      <c r="J9" s="96"/>
      <c r="K9" s="96"/>
      <c r="L9" s="88"/>
      <c r="M9" s="88"/>
    </row>
    <row r="10" spans="1:13" ht="15.75" x14ac:dyDescent="0.25">
      <c r="A10" s="96" t="s">
        <v>73</v>
      </c>
      <c r="B10" s="102">
        <v>0.1206</v>
      </c>
      <c r="C10" s="98"/>
      <c r="D10" s="87"/>
      <c r="E10" s="87"/>
      <c r="F10" s="88"/>
      <c r="G10" s="88"/>
      <c r="H10" s="88"/>
      <c r="I10" s="88"/>
      <c r="J10" s="96"/>
      <c r="K10" s="96"/>
      <c r="L10" s="88"/>
      <c r="M10" s="88"/>
    </row>
    <row r="11" spans="1:13" ht="15.75" x14ac:dyDescent="0.25">
      <c r="A11" s="96" t="s">
        <v>74</v>
      </c>
      <c r="B11" s="103">
        <v>0.25</v>
      </c>
      <c r="C11" s="98"/>
      <c r="D11" s="104"/>
      <c r="E11" s="104"/>
      <c r="F11" s="104"/>
      <c r="G11" s="88"/>
      <c r="H11" s="88"/>
      <c r="I11" s="88"/>
      <c r="J11" s="96"/>
      <c r="K11" s="96"/>
      <c r="L11" s="88"/>
      <c r="M11" s="88"/>
    </row>
    <row r="12" spans="1:13" ht="15.75" x14ac:dyDescent="0.25">
      <c r="A12" s="96" t="s">
        <v>75</v>
      </c>
      <c r="B12" s="105">
        <v>94.04</v>
      </c>
      <c r="C12" s="96"/>
      <c r="D12" s="87"/>
      <c r="E12" s="87"/>
      <c r="F12" s="104"/>
      <c r="G12" s="88"/>
      <c r="H12" s="88"/>
      <c r="I12" s="88"/>
      <c r="J12" s="96"/>
      <c r="K12" s="96"/>
      <c r="L12" s="88"/>
      <c r="M12" s="88"/>
    </row>
    <row r="13" spans="1:13" ht="15.75" x14ac:dyDescent="0.25">
      <c r="A13" s="106" t="s">
        <v>76</v>
      </c>
      <c r="B13" s="107">
        <f>B12*B7</f>
        <v>40479518000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</row>
    <row r="14" spans="1:13" ht="15.75" x14ac:dyDescent="0.25">
      <c r="A14" s="108" t="s">
        <v>77</v>
      </c>
      <c r="B14" s="88">
        <f>B13/B21</f>
        <v>0.83254469967823863</v>
      </c>
      <c r="C14" s="88"/>
      <c r="D14" s="88"/>
      <c r="E14" s="88"/>
      <c r="F14" s="88"/>
      <c r="G14" s="88"/>
      <c r="H14" s="88"/>
      <c r="I14" s="88"/>
      <c r="J14" s="96"/>
      <c r="K14" s="96"/>
      <c r="L14" s="88"/>
      <c r="M14" s="88"/>
    </row>
    <row r="15" spans="1:13" ht="15.75" x14ac:dyDescent="0.25">
      <c r="A15" s="88"/>
      <c r="B15" s="88"/>
      <c r="C15" s="88"/>
      <c r="D15" s="88"/>
      <c r="E15" s="88"/>
      <c r="F15" s="88"/>
      <c r="G15" s="88"/>
      <c r="H15" s="88"/>
      <c r="I15" s="88"/>
      <c r="J15" s="92"/>
      <c r="K15" s="92"/>
      <c r="L15" s="88"/>
      <c r="M15" s="88"/>
    </row>
    <row r="16" spans="1:13" ht="15.75" x14ac:dyDescent="0.25">
      <c r="A16" s="89" t="s">
        <v>78</v>
      </c>
      <c r="B16" s="109"/>
      <c r="C16" s="110"/>
      <c r="D16" s="87"/>
      <c r="E16" s="87"/>
      <c r="F16" s="104"/>
      <c r="G16" s="88"/>
      <c r="H16" s="88"/>
      <c r="I16" s="88"/>
      <c r="J16" s="92"/>
      <c r="K16" s="92"/>
      <c r="L16" s="88"/>
      <c r="M16" s="88"/>
    </row>
    <row r="17" spans="1:13" ht="15.75" x14ac:dyDescent="0.25">
      <c r="A17" s="96" t="s">
        <v>79</v>
      </c>
      <c r="B17" s="111"/>
      <c r="C17" s="112"/>
      <c r="D17" s="88"/>
      <c r="E17" s="88"/>
      <c r="F17" s="113"/>
      <c r="G17" s="88"/>
      <c r="H17" s="88"/>
      <c r="I17" s="88"/>
      <c r="J17" s="92"/>
      <c r="K17" s="92"/>
      <c r="L17" s="88"/>
      <c r="M17" s="88"/>
    </row>
    <row r="18" spans="1:13" ht="15.75" x14ac:dyDescent="0.25">
      <c r="A18" s="92" t="s">
        <v>80</v>
      </c>
      <c r="B18" s="114">
        <v>0.24</v>
      </c>
      <c r="C18" s="115"/>
      <c r="D18" s="88"/>
      <c r="E18" s="88"/>
      <c r="F18" s="113"/>
      <c r="G18" s="88"/>
      <c r="H18" s="88"/>
      <c r="I18" s="88"/>
      <c r="J18" s="92"/>
      <c r="K18" s="92"/>
      <c r="L18" s="88"/>
      <c r="M18" s="88"/>
    </row>
    <row r="19" spans="1:13" ht="15.75" x14ac:dyDescent="0.25">
      <c r="A19" s="92" t="s">
        <v>14</v>
      </c>
      <c r="B19" s="116">
        <f>ROUND((B8*B14)+((1-B11)*B9*B5),4)</f>
        <v>0.16900000000000001</v>
      </c>
      <c r="C19" s="115"/>
      <c r="D19" s="88" t="s">
        <v>81</v>
      </c>
      <c r="E19" s="88"/>
      <c r="F19" s="100"/>
      <c r="G19" s="88"/>
      <c r="H19" s="88"/>
      <c r="I19" s="88"/>
      <c r="J19" s="92"/>
      <c r="K19" s="92"/>
      <c r="L19" s="88"/>
      <c r="M19" s="88"/>
    </row>
    <row r="20" spans="1:13" ht="15.75" x14ac:dyDescent="0.25">
      <c r="A20" s="92"/>
      <c r="B20" s="92"/>
      <c r="C20" s="115"/>
      <c r="D20" s="87"/>
      <c r="E20" s="87"/>
      <c r="F20" s="88"/>
      <c r="G20" s="88"/>
      <c r="H20" s="88"/>
      <c r="I20" s="88"/>
      <c r="J20" s="92"/>
      <c r="K20" s="92"/>
      <c r="L20" s="88"/>
      <c r="M20" s="88"/>
    </row>
    <row r="21" spans="1:13" ht="15.75" x14ac:dyDescent="0.25">
      <c r="A21" s="92" t="s">
        <v>82</v>
      </c>
      <c r="B21" s="117">
        <f>B6+B7*94.3</f>
        <v>48621435000</v>
      </c>
      <c r="C21" s="115"/>
      <c r="D21" s="87"/>
      <c r="E21" s="88" t="s">
        <v>83</v>
      </c>
      <c r="F21" s="88"/>
      <c r="G21" s="88"/>
      <c r="H21" s="88"/>
      <c r="I21" s="88"/>
      <c r="J21" s="92"/>
      <c r="K21" s="92"/>
      <c r="L21" s="88"/>
      <c r="M21" s="88"/>
    </row>
    <row r="22" spans="1:13" ht="15.75" x14ac:dyDescent="0.25">
      <c r="A22" s="92"/>
      <c r="B22" s="92"/>
      <c r="C22" s="118"/>
      <c r="D22" s="87"/>
      <c r="E22" s="88"/>
      <c r="F22" s="88"/>
      <c r="G22" s="88"/>
      <c r="H22" s="88"/>
      <c r="I22" s="88"/>
      <c r="J22" s="88"/>
      <c r="K22" s="88"/>
      <c r="L22" s="88"/>
      <c r="M22" s="88"/>
    </row>
    <row r="23" spans="1:13" ht="15.75" x14ac:dyDescent="0.25">
      <c r="A23" s="92" t="s">
        <v>84</v>
      </c>
      <c r="B23" s="119">
        <f>B21-B6</f>
        <v>40591435000</v>
      </c>
      <c r="C23" s="115"/>
      <c r="D23" s="88"/>
      <c r="E23" s="88"/>
      <c r="F23" s="88"/>
      <c r="G23" s="88"/>
      <c r="H23" s="88"/>
      <c r="I23" s="88"/>
      <c r="J23" s="88"/>
      <c r="K23" s="88"/>
      <c r="L23" s="88"/>
      <c r="M23" s="88"/>
    </row>
    <row r="24" spans="1:13" ht="15.75" x14ac:dyDescent="0.25">
      <c r="A24" s="92" t="s">
        <v>85</v>
      </c>
      <c r="B24" s="120">
        <f>B23/B7</f>
        <v>94.3</v>
      </c>
      <c r="C24" s="115"/>
      <c r="D24" s="88"/>
      <c r="E24" s="88"/>
      <c r="F24" s="94"/>
      <c r="G24" s="121"/>
      <c r="H24" s="121"/>
      <c r="I24" s="121"/>
      <c r="J24" s="88"/>
      <c r="K24" s="88"/>
      <c r="L24" s="88"/>
      <c r="M24" s="88"/>
    </row>
    <row r="25" spans="1:13" x14ac:dyDescent="0.25">
      <c r="A25" s="122"/>
      <c r="B25" s="123"/>
      <c r="C25" s="88"/>
      <c r="D25" s="88"/>
      <c r="E25" s="88"/>
      <c r="F25" s="94"/>
      <c r="G25" s="121"/>
      <c r="H25" s="121"/>
      <c r="I25" s="121"/>
      <c r="J25" s="88"/>
      <c r="K25" s="88"/>
      <c r="L25" s="88"/>
      <c r="M25" s="88"/>
    </row>
    <row r="26" spans="1:13" x14ac:dyDescent="0.25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</row>
    <row r="27" spans="1:13" x14ac:dyDescent="0.25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DDM</vt:lpstr>
      <vt:lpstr>FCFF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wankhede</dc:creator>
  <cp:lastModifiedBy>Niks</cp:lastModifiedBy>
  <dcterms:created xsi:type="dcterms:W3CDTF">2016-04-13T01:32:06Z</dcterms:created>
  <dcterms:modified xsi:type="dcterms:W3CDTF">2016-04-22T01:15:49Z</dcterms:modified>
</cp:coreProperties>
</file>