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ad Drive\Niks\IIT\Spring 2016\VPM\Project\"/>
    </mc:Choice>
  </mc:AlternateContent>
  <bookViews>
    <workbookView xWindow="0" yWindow="0" windowWidth="20490" windowHeight="8115" activeTab="5"/>
  </bookViews>
  <sheets>
    <sheet name="Historical Market Data" sheetId="2" r:id="rId1"/>
    <sheet name="CAPM" sheetId="1" r:id="rId2"/>
    <sheet name="SGR" sheetId="3" r:id="rId3"/>
    <sheet name="DDM" sheetId="4" r:id="rId4"/>
    <sheet name="FCFF" sheetId="5" r:id="rId5"/>
    <sheet name="PE Ratio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F33" i="6"/>
  <c r="F35" i="6" s="1"/>
  <c r="E33" i="6"/>
  <c r="E35" i="6" s="1"/>
  <c r="D33" i="6"/>
  <c r="D35" i="6" s="1"/>
  <c r="F32" i="6"/>
  <c r="E32" i="6"/>
  <c r="D32" i="6"/>
  <c r="F31" i="6"/>
  <c r="E31" i="6"/>
  <c r="D31" i="6"/>
  <c r="F30" i="6"/>
  <c r="E30" i="6"/>
  <c r="D30" i="6"/>
  <c r="F29" i="6"/>
  <c r="E29" i="6"/>
  <c r="D29" i="6"/>
  <c r="F27" i="6"/>
  <c r="E27" i="6"/>
  <c r="D27" i="6"/>
  <c r="F24" i="6"/>
  <c r="F26" i="6" s="1"/>
  <c r="E26" i="6"/>
  <c r="D26" i="6"/>
  <c r="F25" i="6"/>
  <c r="E25" i="6"/>
  <c r="D25" i="6"/>
  <c r="H3" i="6"/>
  <c r="E24" i="6"/>
  <c r="D24" i="6"/>
  <c r="F23" i="6"/>
  <c r="E23" i="6"/>
  <c r="D23" i="6"/>
  <c r="F22" i="6"/>
  <c r="E22" i="6"/>
  <c r="D22" i="6"/>
  <c r="E3" i="6"/>
  <c r="D9" i="5"/>
  <c r="D7" i="5"/>
  <c r="C7" i="5"/>
  <c r="B7" i="5"/>
  <c r="D6" i="5"/>
  <c r="C6" i="5"/>
  <c r="B6" i="5"/>
  <c r="D4" i="5"/>
  <c r="C4" i="5"/>
  <c r="B4" i="5"/>
  <c r="H10" i="5" l="1"/>
  <c r="G10" i="5"/>
  <c r="F10" i="5"/>
  <c r="H5" i="6"/>
  <c r="I5" i="6" s="1"/>
  <c r="H4" i="6"/>
  <c r="I4" i="6" s="1"/>
  <c r="J4" i="6" s="1"/>
  <c r="G5" i="6"/>
  <c r="G4" i="6"/>
  <c r="G3" i="6"/>
  <c r="F5" i="6"/>
  <c r="E5" i="6"/>
  <c r="E4" i="6"/>
  <c r="F4" i="6"/>
  <c r="F3" i="6"/>
  <c r="B8" i="4"/>
  <c r="C7" i="3"/>
  <c r="D7" i="3"/>
  <c r="E9" i="1"/>
  <c r="E10" i="1"/>
  <c r="E8" i="1"/>
  <c r="F9" i="1"/>
  <c r="D9" i="1"/>
  <c r="D10" i="1"/>
  <c r="F10" i="1" s="1"/>
  <c r="D8" i="1"/>
  <c r="F8" i="1" s="1"/>
  <c r="C95" i="2"/>
  <c r="C94" i="2"/>
  <c r="I3" i="6" l="1"/>
  <c r="J3" i="6" s="1"/>
  <c r="J5" i="6"/>
  <c r="D13" i="5"/>
  <c r="D15" i="5" s="1"/>
  <c r="D14" i="5" s="1"/>
  <c r="D10" i="3"/>
  <c r="D11" i="3" s="1"/>
  <c r="D12" i="3" s="1"/>
  <c r="D8" i="4"/>
  <c r="D9" i="4"/>
  <c r="D5" i="5" l="1"/>
  <c r="D19" i="5" s="1"/>
  <c r="D21" i="5" s="1"/>
  <c r="D23" i="5" s="1"/>
  <c r="D24" i="5" s="1"/>
  <c r="D10" i="4"/>
  <c r="C13" i="5"/>
  <c r="C9" i="5"/>
  <c r="B9" i="5"/>
  <c r="C15" i="5" l="1"/>
  <c r="C5" i="5" s="1"/>
  <c r="B13" i="5"/>
  <c r="B15" i="5" s="1"/>
  <c r="B5" i="5" s="1"/>
  <c r="C14" i="5" l="1"/>
  <c r="B14" i="5"/>
  <c r="C10" i="3"/>
  <c r="C11" i="3" s="1"/>
  <c r="C8" i="4"/>
  <c r="C12" i="3" l="1"/>
  <c r="C9" i="4"/>
  <c r="C10" i="4" s="1"/>
  <c r="C8" i="5"/>
  <c r="C19" i="5" l="1"/>
  <c r="B10" i="3"/>
  <c r="B11" i="3" s="1"/>
  <c r="B7" i="3"/>
  <c r="C21" i="5" l="1"/>
  <c r="C23" i="5" s="1"/>
  <c r="C24" i="5" s="1"/>
  <c r="B12" i="3"/>
  <c r="B9" i="4"/>
  <c r="B10" i="4" s="1"/>
  <c r="B8" i="5"/>
  <c r="B19" i="5" s="1"/>
  <c r="B21" i="5" l="1"/>
  <c r="B23" i="5" s="1"/>
  <c r="B24" i="5" s="1"/>
</calcChain>
</file>

<file path=xl/sharedStrings.xml><?xml version="1.0" encoding="utf-8"?>
<sst xmlns="http://schemas.openxmlformats.org/spreadsheetml/2006/main" count="137" uniqueCount="105">
  <si>
    <t xml:space="preserve">LyondellBasell Industries N.V. </t>
  </si>
  <si>
    <t>Ticker</t>
  </si>
  <si>
    <t>LYB</t>
  </si>
  <si>
    <t>US-T Bill Rates 30 Yrs</t>
  </si>
  <si>
    <t>Source: US Department of Treasury</t>
  </si>
  <si>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</si>
  <si>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</si>
  <si>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</si>
  <si>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</si>
  <si>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</si>
  <si>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</si>
  <si>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</si>
  <si>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</si>
  <si>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</si>
  <si>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</si>
  <si>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</si>
  <si>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</si>
  <si>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Expected Market Return (rm)</t>
  </si>
  <si>
    <t>RiskFree Rate(RF)</t>
  </si>
  <si>
    <t>Beta (β)</t>
  </si>
  <si>
    <t>SGR = ROE * (1 - Dividend Payout Ratio)</t>
  </si>
  <si>
    <t>Dividend Payout Ratio = Dividends / Net Income</t>
  </si>
  <si>
    <t>Net Income</t>
  </si>
  <si>
    <t>Dividends Paid</t>
  </si>
  <si>
    <t>Dividend Payout Ratio</t>
  </si>
  <si>
    <t>ROE = Net Income / Average Stockholder's Equity</t>
  </si>
  <si>
    <t>Average Stockholder's Equity</t>
  </si>
  <si>
    <t>Stockholder's Equity - 2015</t>
  </si>
  <si>
    <t>Stockholder's Equity - 2014</t>
  </si>
  <si>
    <t>ROE</t>
  </si>
  <si>
    <t>SGR</t>
  </si>
  <si>
    <t>Current Price = Dividend * (1 + g) / (k-g)</t>
  </si>
  <si>
    <t>Dividend Paid per share - 2015</t>
  </si>
  <si>
    <t>Dividend Paid per share - 2014</t>
  </si>
  <si>
    <t>Dividend Growth Rate (g)</t>
  </si>
  <si>
    <t>Cost of Equity (k)</t>
  </si>
  <si>
    <t>GLT</t>
  </si>
  <si>
    <t>today( now)</t>
  </si>
  <si>
    <t>Current Price (P0)</t>
  </si>
  <si>
    <t>P H Glatfelter Co</t>
  </si>
  <si>
    <t>ASSUMPTIONS</t>
  </si>
  <si>
    <t>Current FCFF</t>
  </si>
  <si>
    <t>Target debt to Firm value (D/V)</t>
  </si>
  <si>
    <t>Shares outstanding</t>
  </si>
  <si>
    <t>Required return on equity (Ke)</t>
  </si>
  <si>
    <t>Cost of debt ( kd)</t>
  </si>
  <si>
    <t>Long-term growth in FCFF(g)</t>
  </si>
  <si>
    <t>Tax rate (t)</t>
  </si>
  <si>
    <t xml:space="preserve">Current Stock pice </t>
  </si>
  <si>
    <t>E/V</t>
  </si>
  <si>
    <t>OUTPUT - WACC, Value of firm and common stock</t>
  </si>
  <si>
    <t>Calculation of WACC</t>
  </si>
  <si>
    <t>WACC</t>
  </si>
  <si>
    <t>Value of the firm</t>
  </si>
  <si>
    <t>Value of equity</t>
  </si>
  <si>
    <t>Per share value</t>
  </si>
  <si>
    <t>Market value of debt(D)</t>
  </si>
  <si>
    <t>Market value of Equity  €</t>
  </si>
  <si>
    <t>https://www.stock-analysis-on.net/NYSE/Company/LyondellBasell-Industries-NV/DCF/Present-Value-of-FCFF#WACC</t>
  </si>
  <si>
    <t>imp</t>
  </si>
  <si>
    <t>E+D =V</t>
  </si>
  <si>
    <t>GLP</t>
  </si>
  <si>
    <t>FNV</t>
  </si>
  <si>
    <t>Franco-Nevada Corp</t>
  </si>
  <si>
    <t>Companies</t>
  </si>
  <si>
    <r>
      <t>k or r</t>
    </r>
    <r>
      <rPr>
        <b/>
        <vertAlign val="subscript"/>
        <sz val="10"/>
        <rFont val="Arial"/>
        <family val="2"/>
      </rPr>
      <t>e</t>
    </r>
    <r>
      <rPr>
        <b/>
        <sz val="10"/>
        <rFont val="Arial"/>
        <family val="2"/>
      </rPr>
      <t xml:space="preserve"> = r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+ β*(r</t>
    </r>
    <r>
      <rPr>
        <b/>
        <vertAlign val="subscript"/>
        <sz val="10"/>
        <rFont val="Arial"/>
        <family val="2"/>
      </rPr>
      <t>m</t>
    </r>
    <r>
      <rPr>
        <b/>
        <sz val="10"/>
        <rFont val="Arial"/>
        <family val="2"/>
      </rPr>
      <t xml:space="preserve"> - r</t>
    </r>
    <r>
      <rPr>
        <b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>)</t>
    </r>
  </si>
  <si>
    <t>Year</t>
  </si>
  <si>
    <t>S&amp;P 500</t>
  </si>
  <si>
    <t>3-month T.Bill</t>
  </si>
  <si>
    <t>10-year T. Bond</t>
  </si>
  <si>
    <t>T.Bills</t>
  </si>
  <si>
    <t>Arithmetic Average</t>
  </si>
  <si>
    <t>Stocks - T.Bills</t>
  </si>
  <si>
    <t>1928-2015</t>
  </si>
  <si>
    <t>1966-2015</t>
  </si>
  <si>
    <t>2006-2015</t>
  </si>
  <si>
    <t>S &amp; P 500</t>
  </si>
  <si>
    <t>Beta prices retrived from: https://ycharts.com/companies/FNV/chart/#/?zoom=5&amp;securities=id:FNV,include:true,,&amp;correlations=&amp;calcs=id:market_beta_60_month,include:true,,&amp;startDate=&amp;endDate=&amp;format=real&amp;recessions=false&amp;chartView=&amp;splitType=single&amp;scaleType=linear&amp;securitylistName=&amp;securitylistSecurityId=&amp;securityGroup=</t>
  </si>
  <si>
    <t>References</t>
  </si>
  <si>
    <t xml:space="preserve">US T bills 10 years rate </t>
  </si>
  <si>
    <t>https://ycharts.com/indicators/10_year_treasury_rate</t>
  </si>
  <si>
    <t>Beta</t>
  </si>
  <si>
    <t>https://ycharts.com/companies/FNV/chart/#/?calcs=id:market_beta_60_month,include:true,,&amp;zoom=5&amp;correlations=&amp;securities=id:FNV,include:true,,&amp;startDate=&amp;endDate=&amp;format=real&amp;recessions=false&amp;chartView=&amp;splitType=single&amp;scaleType=linear&amp;securitylistName=&amp;securitylistSecurityId=&amp;securityGroup=</t>
  </si>
  <si>
    <t>https://ycharts.com/companies/LYB/chart/#/?securities=id:LYB,include:true,,&amp;zoom=5&amp;calcs=id:market_beta_60_month,include:true,,&amp;correlations=&amp;startDate=&amp;endDate=&amp;format=real&amp;recessions=false&amp;chartView=&amp;splitType=single&amp;scaleType=linear&amp;securitylistName=&amp;securitylistSecurityId=&amp;securityGroup=</t>
  </si>
  <si>
    <t>https://ycharts.com/companies/GLT/chart/#/?calcs=id:market_beta_60_month,include:true,,&amp;zoom=5&amp;correlations=&amp;securities=id:GLT,include:true,,&amp;startDate=&amp;endDate=&amp;format=real&amp;recessions=false&amp;chartView=&amp;splitType=single&amp;scaleType=linear&amp;securitylistName=&amp;securitylistSecurityId=&amp;securityGroup=</t>
  </si>
  <si>
    <t>Current Stock price</t>
  </si>
  <si>
    <t>Earnings</t>
  </si>
  <si>
    <t>P/E</t>
  </si>
  <si>
    <t>Avg Shares outstanding</t>
  </si>
  <si>
    <t>EPS</t>
  </si>
  <si>
    <t xml:space="preserve">Dividend paid </t>
  </si>
  <si>
    <t>Free cash flow at Firm calculations</t>
  </si>
  <si>
    <t xml:space="preserve">Cash flow from Operation </t>
  </si>
  <si>
    <t>interest expence</t>
  </si>
  <si>
    <t>Tax Rate</t>
  </si>
  <si>
    <t>capital expenditures</t>
  </si>
  <si>
    <t>FCFF =</t>
  </si>
  <si>
    <t xml:space="preserve">Increse in net working capital </t>
  </si>
  <si>
    <t>Current Stock Price</t>
  </si>
  <si>
    <t>DDM Price</t>
  </si>
  <si>
    <t>FCFF Price</t>
  </si>
  <si>
    <t>DDM Weight</t>
  </si>
  <si>
    <t>FCFF Weight</t>
  </si>
  <si>
    <t>Intrinsic Price</t>
  </si>
  <si>
    <t>Market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</si>
</sst>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0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vertAlign val="subscript"/>
      <sz val="10"/>
      <name val="Arial"/>
      <family val="2"/>
    </font>
    <font>
      <b/>
      <sz val="11"/>
      <color theme="1"/>
      <name val="Calibri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0" fillId="0" borderId="0" xfId="0" applyNumberFormat="1"/>
    <xf numFmtId="0" fontId="0" fillId="4" borderId="0" xfId="0" applyFill="1"/>
    <xf numFmtId="10" fontId="0" fillId="0" borderId="0" xfId="0" applyNumberFormat="1"/>
    <xf numFmtId="0" fontId="0" fillId="0" borderId="9" xfId="0" applyBorder="1"/>
    <xf numFmtId="3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9" fillId="0" borderId="0" xfId="0" applyFont="1"/>
    <xf numFmtId="164" fontId="0" fillId="0" borderId="0" xfId="2" applyNumberFormat="1" applyFont="1"/>
    <xf numFmtId="43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6" fillId="5" borderId="11" xfId="0" applyFont="1" applyFill="1" applyBorder="1" applyAlignment="1">
      <alignment horizontal="center"/>
    </xf>
    <xf numFmtId="0" fontId="3" fillId="6" borderId="3" xfId="3" applyBorder="1"/>
    <xf numFmtId="0" fontId="3" fillId="6" borderId="5" xfId="3" applyBorder="1"/>
    <xf numFmtId="0" fontId="3" fillId="6" borderId="6" xfId="3" applyBorder="1"/>
    <xf numFmtId="0" fontId="3" fillId="6" borderId="8" xfId="3" applyBorder="1"/>
    <xf numFmtId="0" fontId="3" fillId="7" borderId="0" xfId="4"/>
    <xf numFmtId="0" fontId="0" fillId="0" borderId="10" xfId="0" applyBorder="1"/>
    <xf numFmtId="10" fontId="0" fillId="0" borderId="10" xfId="0" applyNumberFormat="1" applyBorder="1"/>
    <xf numFmtId="0" fontId="3" fillId="6" borderId="7" xfId="3" applyBorder="1"/>
    <xf numFmtId="10" fontId="0" fillId="0" borderId="0" xfId="0" applyNumberFormat="1" applyAlignment="1">
      <alignment vertical="center" wrapText="1"/>
    </xf>
    <xf numFmtId="43" fontId="0" fillId="0" borderId="0" xfId="2" applyNumberFormat="1" applyFont="1"/>
    <xf numFmtId="0" fontId="3" fillId="6" borderId="4" xfId="3" applyBorder="1"/>
    <xf numFmtId="0" fontId="0" fillId="9" borderId="2" xfId="0" applyFill="1" applyBorder="1"/>
    <xf numFmtId="0" fontId="0" fillId="4" borderId="15" xfId="0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0" fillId="4" borderId="11" xfId="0" applyFill="1" applyBorder="1"/>
    <xf numFmtId="164" fontId="0" fillId="0" borderId="0" xfId="2" applyNumberFormat="1" applyFont="1" applyAlignment="1"/>
    <xf numFmtId="0" fontId="0" fillId="5" borderId="11" xfId="0" applyFill="1" applyBorder="1" applyAlignment="1"/>
    <xf numFmtId="0" fontId="4" fillId="5" borderId="12" xfId="0" applyFont="1" applyFill="1" applyBorder="1" applyAlignment="1">
      <alignment horizontal="center"/>
    </xf>
    <xf numFmtId="0" fontId="4" fillId="10" borderId="1" xfId="0" applyFont="1" applyFill="1" applyBorder="1"/>
    <xf numFmtId="0" fontId="4" fillId="0" borderId="3" xfId="0" applyFont="1" applyBorder="1"/>
    <xf numFmtId="0" fontId="4" fillId="0" borderId="13" xfId="0" applyFont="1" applyBorder="1"/>
    <xf numFmtId="0" fontId="4" fillId="0" borderId="6" xfId="0" applyFont="1" applyBorder="1"/>
    <xf numFmtId="0" fontId="4" fillId="10" borderId="7" xfId="0" applyFont="1" applyFill="1" applyBorder="1"/>
    <xf numFmtId="0" fontId="0" fillId="10" borderId="1" xfId="0" applyFont="1" applyFill="1" applyBorder="1"/>
    <xf numFmtId="0" fontId="0" fillId="10" borderId="7" xfId="0" applyFont="1" applyFill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10" fontId="14" fillId="12" borderId="1" xfId="0" applyNumberFormat="1" applyFont="1" applyFill="1" applyBorder="1" applyAlignment="1">
      <alignment vertical="center" wrapText="1"/>
    </xf>
    <xf numFmtId="8" fontId="14" fillId="12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8" fontId="14" fillId="0" borderId="1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10" fontId="14" fillId="0" borderId="18" xfId="0" applyNumberFormat="1" applyFont="1" applyBorder="1" applyAlignment="1">
      <alignment vertical="center" wrapText="1"/>
    </xf>
    <xf numFmtId="0" fontId="3" fillId="7" borderId="0" xfId="4" applyAlignment="1">
      <alignment vertical="center" wrapText="1"/>
    </xf>
    <xf numFmtId="10" fontId="3" fillId="7" borderId="0" xfId="4" applyNumberFormat="1" applyAlignment="1">
      <alignment vertical="center" wrapText="1"/>
    </xf>
    <xf numFmtId="0" fontId="15" fillId="0" borderId="0" xfId="0" applyFont="1"/>
    <xf numFmtId="0" fontId="4" fillId="11" borderId="19" xfId="0" applyFont="1" applyFill="1" applyBorder="1"/>
    <xf numFmtId="0" fontId="4" fillId="11" borderId="20" xfId="0" applyFont="1" applyFill="1" applyBorder="1"/>
    <xf numFmtId="0" fontId="11" fillId="11" borderId="20" xfId="0" applyFont="1" applyFill="1" applyBorder="1"/>
    <xf numFmtId="0" fontId="6" fillId="11" borderId="21" xfId="0" applyFont="1" applyFill="1" applyBorder="1" applyAlignment="1">
      <alignment horizontal="center"/>
    </xf>
    <xf numFmtId="0" fontId="4" fillId="10" borderId="4" xfId="0" applyFont="1" applyFill="1" applyBorder="1"/>
    <xf numFmtId="0" fontId="0" fillId="10" borderId="4" xfId="0" applyFont="1" applyFill="1" applyBorder="1"/>
    <xf numFmtId="10" fontId="3" fillId="10" borderId="5" xfId="1" applyNumberFormat="1" applyFont="1" applyFill="1" applyBorder="1"/>
    <xf numFmtId="10" fontId="3" fillId="4" borderId="12" xfId="4" applyNumberFormat="1" applyFill="1" applyBorder="1" applyAlignment="1">
      <alignment vertical="center" wrapText="1"/>
    </xf>
    <xf numFmtId="10" fontId="3" fillId="8" borderId="0" xfId="4" applyNumberFormat="1" applyFill="1" applyAlignment="1">
      <alignment vertical="center" wrapText="1"/>
    </xf>
    <xf numFmtId="10" fontId="0" fillId="10" borderId="4" xfId="0" applyNumberFormat="1" applyFont="1" applyFill="1" applyBorder="1"/>
    <xf numFmtId="10" fontId="0" fillId="10" borderId="4" xfId="1" applyNumberFormat="1" applyFont="1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4" fontId="0" fillId="0" borderId="0" xfId="0" applyNumberFormat="1"/>
    <xf numFmtId="4" fontId="0" fillId="8" borderId="23" xfId="0" applyNumberFormat="1" applyFill="1" applyBorder="1"/>
    <xf numFmtId="4" fontId="0" fillId="0" borderId="0" xfId="2" applyNumberFormat="1" applyFont="1"/>
    <xf numFmtId="4" fontId="0" fillId="0" borderId="0" xfId="2" applyNumberFormat="1" applyFont="1" applyAlignment="1">
      <alignment horizont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4" fontId="0" fillId="8" borderId="23" xfId="0" applyNumberFormat="1" applyFill="1" applyBorder="1" applyAlignment="1">
      <alignment horizontal="center"/>
    </xf>
    <xf numFmtId="4" fontId="0" fillId="8" borderId="24" xfId="0" applyNumberFormat="1" applyFill="1" applyBorder="1"/>
    <xf numFmtId="4" fontId="0" fillId="4" borderId="12" xfId="0" applyNumberFormat="1" applyFill="1" applyBorder="1"/>
    <xf numFmtId="166" fontId="0" fillId="0" borderId="0" xfId="0" applyNumberFormat="1" applyBorder="1"/>
    <xf numFmtId="164" fontId="0" fillId="0" borderId="0" xfId="0" applyNumberFormat="1"/>
    <xf numFmtId="164" fontId="0" fillId="0" borderId="0" xfId="0" applyNumberFormat="1" applyAlignment="1"/>
    <xf numFmtId="164" fontId="0" fillId="0" borderId="0" xfId="1" applyNumberFormat="1" applyFont="1" applyAlignment="1"/>
    <xf numFmtId="164" fontId="0" fillId="4" borderId="0" xfId="2" applyNumberFormat="1" applyFont="1" applyFill="1"/>
    <xf numFmtId="164" fontId="0" fillId="4" borderId="0" xfId="0" applyNumberFormat="1" applyFill="1"/>
    <xf numFmtId="164" fontId="0" fillId="0" borderId="0" xfId="1" applyNumberFormat="1" applyFont="1"/>
    <xf numFmtId="0" fontId="0" fillId="10" borderId="0" xfId="0" applyFill="1"/>
    <xf numFmtId="0" fontId="3" fillId="10" borderId="1" xfId="3" applyFill="1" applyBorder="1"/>
    <xf numFmtId="0" fontId="0" fillId="0" borderId="1" xfId="0" applyBorder="1"/>
    <xf numFmtId="4" fontId="0" fillId="0" borderId="1" xfId="0" applyNumberFormat="1" applyBorder="1"/>
    <xf numFmtId="0" fontId="3" fillId="10" borderId="4" xfId="3" applyFill="1" applyBorder="1"/>
    <xf numFmtId="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10" borderId="7" xfId="0" applyFill="1" applyBorder="1"/>
    <xf numFmtId="4" fontId="0" fillId="0" borderId="7" xfId="0" applyNumberFormat="1" applyBorder="1"/>
    <xf numFmtId="0" fontId="0" fillId="0" borderId="7" xfId="0" applyBorder="1"/>
    <xf numFmtId="0" fontId="0" fillId="4" borderId="8" xfId="0" applyFill="1" applyBorder="1"/>
    <xf numFmtId="0" fontId="16" fillId="4" borderId="0" xfId="5" applyFill="1"/>
    <xf numFmtId="0" fontId="17" fillId="0" borderId="0" xfId="0" applyFont="1" applyAlignment="1">
      <alignment horizontal="left" vertical="center" readingOrder="1"/>
    </xf>
    <xf numFmtId="9" fontId="0" fillId="0" borderId="0" xfId="0" applyNumberFormat="1"/>
    <xf numFmtId="0" fontId="4" fillId="11" borderId="25" xfId="0" applyFont="1" applyFill="1" applyBorder="1"/>
  </cellXfs>
  <cellStyles count="6">
    <cellStyle name="20% - Accent2" xfId="3" builtinId="34"/>
    <cellStyle name="40% - Accent2" xfId="4" builtinId="35"/>
    <cellStyle name="Comma" xfId="2" builtinId="3"/>
    <cellStyle name="Hyperlink" xfId="5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171450</xdr:rowOff>
    </xdr:from>
    <xdr:to>
      <xdr:col>14</xdr:col>
      <xdr:colOff>390525</xdr:colOff>
      <xdr:row>16</xdr:row>
      <xdr:rowOff>180975</xdr:rowOff>
    </xdr:to>
    <xdr:sp macro="" textlink="">
      <xdr:nvSpPr>
        <xdr:cNvPr id="2" name="TextBox 1"/>
        <xdr:cNvSpPr txBox="1"/>
      </xdr:nvSpPr>
      <xdr:spPr>
        <a:xfrm>
          <a:off x="6334125" y="742950"/>
          <a:ext cx="58293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+mj-lt"/>
            </a:rPr>
            <a:t>The sustainable growth rate is a measure of how much a firm can grow without borrowing more money. After the firm has passed this rate, it must borrow funds from another source to facilitate growth.     </a:t>
          </a:r>
        </a:p>
        <a:p>
          <a:endParaRPr lang="en-US" sz="1400" b="1">
            <a:latin typeface="+mj-lt"/>
          </a:endParaRPr>
        </a:p>
        <a:p>
          <a:r>
            <a:rPr lang="en-US" sz="1400" b="1"/>
            <a:t>SGR = ROE x (1 - dividend-payout ratio)</a:t>
          </a:r>
        </a:p>
        <a:p>
          <a:endParaRPr lang="en-US" sz="1400" b="1">
            <a:latin typeface="+mj-lt"/>
          </a:endParaRPr>
        </a:p>
        <a:p>
          <a:r>
            <a:rPr lang="en-US" sz="1400" b="1">
              <a:latin typeface="+mj-lt"/>
            </a:rPr>
            <a:t>ROE = Net</a:t>
          </a:r>
          <a:r>
            <a:rPr lang="en-US" sz="1400" b="1" baseline="0">
              <a:latin typeface="+mj-lt"/>
            </a:rPr>
            <a:t> Income    ÷   </a:t>
          </a:r>
          <a:r>
            <a:rPr lang="en-US" sz="1400" b="1">
              <a:latin typeface="+mj-lt"/>
            </a:rPr>
            <a:t>Average shareholders equity</a:t>
          </a:r>
        </a:p>
        <a:p>
          <a:endParaRPr lang="en-US" sz="1400" b="1">
            <a:latin typeface="+mj-lt"/>
          </a:endParaRP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Dividend Payout Ratio = Dividends / Net Income</a:t>
          </a:r>
          <a:r>
            <a:rPr lang="en-US" sz="1800" b="1"/>
            <a:t> </a:t>
          </a:r>
          <a:endParaRPr lang="en-US" sz="1800" b="1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13</xdr:row>
      <xdr:rowOff>38100</xdr:rowOff>
    </xdr:from>
    <xdr:to>
      <xdr:col>10</xdr:col>
      <xdr:colOff>266700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9267825" y="2628900"/>
          <a:ext cx="3162300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FCFF = CF from operations +</a:t>
          </a:r>
          <a:r>
            <a:rPr lang="en-US" sz="1400" b="1" baseline="0"/>
            <a:t> interest (1-T) - cpital expenditure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28</xdr:row>
          <xdr:rowOff>142875</xdr:rowOff>
        </xdr:from>
        <xdr:to>
          <xdr:col>5</xdr:col>
          <xdr:colOff>447675</xdr:colOff>
          <xdr:row>32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171450</xdr:rowOff>
    </xdr:from>
    <xdr:to>
      <xdr:col>10</xdr:col>
      <xdr:colOff>285750</xdr:colOff>
      <xdr:row>18</xdr:row>
      <xdr:rowOff>57151</xdr:rowOff>
    </xdr:to>
    <xdr:sp macro="" textlink="">
      <xdr:nvSpPr>
        <xdr:cNvPr id="2" name="TextBox 1"/>
        <xdr:cNvSpPr txBox="1"/>
      </xdr:nvSpPr>
      <xdr:spPr>
        <a:xfrm>
          <a:off x="5572125" y="1333500"/>
          <a:ext cx="5934075" cy="2171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/>
            <a:t>The price-earnings ratio (P/E ratio) is a valuation measure that compares the level of stock prices to the level of corporate profits, providing investors with a sense of a stock’s value. To calculate a company’s P/E ratio, use the following formula:</a:t>
          </a:r>
        </a:p>
        <a:p>
          <a:r>
            <a:rPr lang="en-US" sz="1400" b="1"/>
            <a:t>P/E ratio =  cuurent stock price per share / earnings per share (EPS</a:t>
          </a:r>
          <a:r>
            <a:rPr lang="en-US" sz="1400" b="0"/>
            <a:t>)</a:t>
          </a:r>
        </a:p>
        <a:p>
          <a:r>
            <a:rPr lang="en-US" sz="1400" b="0" i="1"/>
            <a:t>Where</a:t>
          </a:r>
          <a:r>
            <a:rPr lang="en-US" sz="1400" b="0"/>
            <a:t> </a:t>
          </a:r>
          <a:r>
            <a:rPr lang="en-US" sz="1400" b="1"/>
            <a:t>EPS = (Net</a:t>
          </a:r>
          <a:r>
            <a:rPr lang="en-US" sz="1400" b="1" baseline="0"/>
            <a:t> income - Divident on preffered stocks)</a:t>
          </a:r>
          <a:r>
            <a:rPr lang="en-US" sz="1400" b="1"/>
            <a:t>/total shares outstanding 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stock-analysis-on.net/NYSE/Company/LyondellBasell-Industries-NV/DCF/Present-Value-of-FCFF" TargetMode="Externa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"/>
  <sheetViews>
    <sheetView topLeftCell="B1" workbookViewId="0">
      <selection activeCell="H2" sqref="H2"/>
    </sheetView>
  </sheetViews>
  <sheetFormatPr defaultRowHeight="15" x14ac:dyDescent="0.25"/>
  <cols>
    <col min="1" max="1" width="10.7109375" bestFit="1" customWidth="1"/>
    <col min="3" max="3" width="12.140625" customWidth="1"/>
    <col min="4" max="4" width="11.28515625" customWidth="1"/>
    <col min="5" max="5" width="12.42578125" customWidth="1"/>
    <col min="6" max="6" width="11" bestFit="1" customWidth="1"/>
    <col min="7" max="7" width="11.28515625" customWidth="1"/>
    <col min="8" max="8" width="12.7109375" bestFit="1" customWidth="1"/>
    <col min="10" max="10" width="12.7109375" customWidth="1"/>
    <col min="11" max="11" width="12" customWidth="1"/>
    <col min="17" max="17" width="12" bestFit="1" customWidth="1"/>
  </cols>
  <sheetData>
    <row r="1" spans="2:8" ht="23.25" x14ac:dyDescent="0.35">
      <c r="D1" s="61" t="s">
        <v>76</v>
      </c>
    </row>
    <row r="3" spans="2:8" ht="31.5" x14ac:dyDescent="0.25">
      <c r="B3" s="50" t="s">
        <v>66</v>
      </c>
      <c r="C3" s="50" t="s">
        <v>67</v>
      </c>
      <c r="D3" s="50" t="s">
        <v>68</v>
      </c>
      <c r="E3" s="50" t="s">
        <v>69</v>
      </c>
      <c r="F3" s="51" t="s">
        <v>70</v>
      </c>
    </row>
    <row r="4" spans="2:8" ht="15.75" x14ac:dyDescent="0.25">
      <c r="B4" s="52">
        <v>1928</v>
      </c>
      <c r="C4" s="53">
        <v>0.43809999999999999</v>
      </c>
      <c r="D4" s="53">
        <v>3.0800000000000001E-2</v>
      </c>
      <c r="E4" s="53">
        <v>8.3999999999999995E-3</v>
      </c>
      <c r="F4" s="54">
        <v>103.08</v>
      </c>
      <c r="H4" s="5" t="s">
        <v>77</v>
      </c>
    </row>
    <row r="5" spans="2:8" ht="15.75" x14ac:dyDescent="0.25">
      <c r="B5" s="55">
        <v>1929</v>
      </c>
      <c r="C5" s="32">
        <v>-8.3000000000000004E-2</v>
      </c>
      <c r="D5" s="32">
        <v>3.1600000000000003E-2</v>
      </c>
      <c r="E5" s="32">
        <v>4.2000000000000003E-2</v>
      </c>
      <c r="F5" s="56">
        <v>106.34</v>
      </c>
    </row>
    <row r="6" spans="2:8" ht="15.75" x14ac:dyDescent="0.25">
      <c r="B6" s="52">
        <v>1930</v>
      </c>
      <c r="C6" s="53">
        <v>-0.25119999999999998</v>
      </c>
      <c r="D6" s="53">
        <v>4.5499999999999999E-2</v>
      </c>
      <c r="E6" s="53">
        <v>4.5400000000000003E-2</v>
      </c>
      <c r="F6" s="54">
        <v>111.18</v>
      </c>
    </row>
    <row r="7" spans="2:8" ht="15.75" x14ac:dyDescent="0.25">
      <c r="B7" s="55">
        <v>1931</v>
      </c>
      <c r="C7" s="32">
        <v>-0.43840000000000001</v>
      </c>
      <c r="D7" s="32">
        <v>2.3099999999999999E-2</v>
      </c>
      <c r="E7" s="32">
        <v>-2.5600000000000001E-2</v>
      </c>
      <c r="F7" s="56">
        <v>113.74</v>
      </c>
    </row>
    <row r="8" spans="2:8" ht="15.75" x14ac:dyDescent="0.25">
      <c r="B8" s="52">
        <v>1932</v>
      </c>
      <c r="C8" s="53">
        <v>-8.6400000000000005E-2</v>
      </c>
      <c r="D8" s="53">
        <v>1.0699999999999999E-2</v>
      </c>
      <c r="E8" s="53">
        <v>8.7900000000000006E-2</v>
      </c>
      <c r="F8" s="54">
        <v>114.96</v>
      </c>
    </row>
    <row r="9" spans="2:8" ht="15.75" x14ac:dyDescent="0.25">
      <c r="B9" s="55">
        <v>1933</v>
      </c>
      <c r="C9" s="32">
        <v>0.49980000000000002</v>
      </c>
      <c r="D9" s="32">
        <v>9.5999999999999992E-3</v>
      </c>
      <c r="E9" s="32">
        <v>1.8599999999999998E-2</v>
      </c>
      <c r="F9" s="56">
        <v>116.06</v>
      </c>
    </row>
    <row r="10" spans="2:8" ht="15.75" x14ac:dyDescent="0.25">
      <c r="B10" s="52">
        <v>1934</v>
      </c>
      <c r="C10" s="53">
        <v>-1.1900000000000001E-2</v>
      </c>
      <c r="D10" s="53">
        <v>3.2000000000000002E-3</v>
      </c>
      <c r="E10" s="53">
        <v>7.9600000000000004E-2</v>
      </c>
      <c r="F10" s="54">
        <v>116.44</v>
      </c>
    </row>
    <row r="11" spans="2:8" ht="15.75" x14ac:dyDescent="0.25">
      <c r="B11" s="55">
        <v>1935</v>
      </c>
      <c r="C11" s="32">
        <v>0.46739999999999998</v>
      </c>
      <c r="D11" s="32">
        <v>1.8E-3</v>
      </c>
      <c r="E11" s="32">
        <v>4.4699999999999997E-2</v>
      </c>
      <c r="F11" s="56">
        <v>116.64</v>
      </c>
    </row>
    <row r="12" spans="2:8" ht="15.75" x14ac:dyDescent="0.25">
      <c r="B12" s="52">
        <v>1936</v>
      </c>
      <c r="C12" s="53">
        <v>0.31940000000000002</v>
      </c>
      <c r="D12" s="53">
        <v>1.6999999999999999E-3</v>
      </c>
      <c r="E12" s="53">
        <v>5.0200000000000002E-2</v>
      </c>
      <c r="F12" s="54">
        <v>116.84</v>
      </c>
    </row>
    <row r="13" spans="2:8" ht="15.75" x14ac:dyDescent="0.25">
      <c r="B13" s="55">
        <v>1937</v>
      </c>
      <c r="C13" s="32">
        <v>-0.35339999999999999</v>
      </c>
      <c r="D13" s="32">
        <v>3.0000000000000001E-3</v>
      </c>
      <c r="E13" s="32">
        <v>1.38E-2</v>
      </c>
      <c r="F13" s="56">
        <v>117.19</v>
      </c>
    </row>
    <row r="14" spans="2:8" ht="15.75" x14ac:dyDescent="0.25">
      <c r="B14" s="52">
        <v>1938</v>
      </c>
      <c r="C14" s="53">
        <v>0.2928</v>
      </c>
      <c r="D14" s="53">
        <v>8.0000000000000004E-4</v>
      </c>
      <c r="E14" s="53">
        <v>4.2099999999999999E-2</v>
      </c>
      <c r="F14" s="54">
        <v>117.29</v>
      </c>
    </row>
    <row r="15" spans="2:8" ht="15.75" x14ac:dyDescent="0.25">
      <c r="B15" s="55">
        <v>1939</v>
      </c>
      <c r="C15" s="32">
        <v>-1.0999999999999999E-2</v>
      </c>
      <c r="D15" s="32">
        <v>4.0000000000000002E-4</v>
      </c>
      <c r="E15" s="32">
        <v>4.41E-2</v>
      </c>
      <c r="F15" s="56">
        <v>117.33</v>
      </c>
    </row>
    <row r="16" spans="2:8" ht="15.75" x14ac:dyDescent="0.25">
      <c r="B16" s="52">
        <v>1940</v>
      </c>
      <c r="C16" s="53">
        <v>-0.1067</v>
      </c>
      <c r="D16" s="53">
        <v>2.9999999999999997E-4</v>
      </c>
      <c r="E16" s="53">
        <v>5.3999999999999999E-2</v>
      </c>
      <c r="F16" s="54">
        <v>117.36</v>
      </c>
    </row>
    <row r="17" spans="2:6" ht="15.75" x14ac:dyDescent="0.25">
      <c r="B17" s="55">
        <v>1941</v>
      </c>
      <c r="C17" s="32">
        <v>-0.12770000000000001</v>
      </c>
      <c r="D17" s="32">
        <v>8.0000000000000004E-4</v>
      </c>
      <c r="E17" s="32">
        <v>-2.0199999999999999E-2</v>
      </c>
      <c r="F17" s="56">
        <v>117.46</v>
      </c>
    </row>
    <row r="18" spans="2:6" ht="15.75" x14ac:dyDescent="0.25">
      <c r="B18" s="52">
        <v>1942</v>
      </c>
      <c r="C18" s="53">
        <v>0.19170000000000001</v>
      </c>
      <c r="D18" s="53">
        <v>3.3999999999999998E-3</v>
      </c>
      <c r="E18" s="53">
        <v>2.29E-2</v>
      </c>
      <c r="F18" s="54">
        <v>117.85</v>
      </c>
    </row>
    <row r="19" spans="2:6" ht="15.75" x14ac:dyDescent="0.25">
      <c r="B19" s="55">
        <v>1943</v>
      </c>
      <c r="C19" s="32">
        <v>0.25059999999999999</v>
      </c>
      <c r="D19" s="32">
        <v>3.8E-3</v>
      </c>
      <c r="E19" s="32">
        <v>2.4899999999999999E-2</v>
      </c>
      <c r="F19" s="56">
        <v>118.3</v>
      </c>
    </row>
    <row r="20" spans="2:6" ht="15.75" x14ac:dyDescent="0.25">
      <c r="B20" s="52">
        <v>1944</v>
      </c>
      <c r="C20" s="53">
        <v>0.1903</v>
      </c>
      <c r="D20" s="53">
        <v>3.8E-3</v>
      </c>
      <c r="E20" s="53">
        <v>2.58E-2</v>
      </c>
      <c r="F20" s="54">
        <v>118.75</v>
      </c>
    </row>
    <row r="21" spans="2:6" ht="15.75" x14ac:dyDescent="0.25">
      <c r="B21" s="55">
        <v>1945</v>
      </c>
      <c r="C21" s="32">
        <v>0.35820000000000002</v>
      </c>
      <c r="D21" s="32">
        <v>3.8E-3</v>
      </c>
      <c r="E21" s="32">
        <v>3.7999999999999999E-2</v>
      </c>
      <c r="F21" s="56">
        <v>119.2</v>
      </c>
    </row>
    <row r="22" spans="2:6" ht="15.75" x14ac:dyDescent="0.25">
      <c r="B22" s="52">
        <v>1946</v>
      </c>
      <c r="C22" s="53">
        <v>-8.43E-2</v>
      </c>
      <c r="D22" s="53">
        <v>3.8E-3</v>
      </c>
      <c r="E22" s="53">
        <v>3.1300000000000001E-2</v>
      </c>
      <c r="F22" s="54">
        <v>119.65</v>
      </c>
    </row>
    <row r="23" spans="2:6" ht="15.75" x14ac:dyDescent="0.25">
      <c r="B23" s="55">
        <v>1947</v>
      </c>
      <c r="C23" s="32">
        <v>5.1999999999999998E-2</v>
      </c>
      <c r="D23" s="32">
        <v>5.7000000000000002E-3</v>
      </c>
      <c r="E23" s="32">
        <v>9.1999999999999998E-3</v>
      </c>
      <c r="F23" s="56">
        <v>120.33</v>
      </c>
    </row>
    <row r="24" spans="2:6" ht="15.75" x14ac:dyDescent="0.25">
      <c r="B24" s="52">
        <v>1948</v>
      </c>
      <c r="C24" s="53">
        <v>5.7000000000000002E-2</v>
      </c>
      <c r="D24" s="53">
        <v>1.0200000000000001E-2</v>
      </c>
      <c r="E24" s="53">
        <v>1.95E-2</v>
      </c>
      <c r="F24" s="54">
        <v>121.56</v>
      </c>
    </row>
    <row r="25" spans="2:6" ht="15.75" x14ac:dyDescent="0.25">
      <c r="B25" s="55">
        <v>1949</v>
      </c>
      <c r="C25" s="32">
        <v>0.183</v>
      </c>
      <c r="D25" s="32">
        <v>1.0999999999999999E-2</v>
      </c>
      <c r="E25" s="32">
        <v>4.6600000000000003E-2</v>
      </c>
      <c r="F25" s="56">
        <v>122.9</v>
      </c>
    </row>
    <row r="26" spans="2:6" ht="15.75" x14ac:dyDescent="0.25">
      <c r="B26" s="52">
        <v>1950</v>
      </c>
      <c r="C26" s="53">
        <v>0.30809999999999998</v>
      </c>
      <c r="D26" s="53">
        <v>1.17E-2</v>
      </c>
      <c r="E26" s="53">
        <v>4.3E-3</v>
      </c>
      <c r="F26" s="54">
        <v>124.34</v>
      </c>
    </row>
    <row r="27" spans="2:6" ht="15.75" x14ac:dyDescent="0.25">
      <c r="B27" s="55">
        <v>1951</v>
      </c>
      <c r="C27" s="32">
        <v>0.23680000000000001</v>
      </c>
      <c r="D27" s="32">
        <v>1.4800000000000001E-2</v>
      </c>
      <c r="E27" s="32">
        <v>-3.0000000000000001E-3</v>
      </c>
      <c r="F27" s="56">
        <v>126.18</v>
      </c>
    </row>
    <row r="28" spans="2:6" ht="15.75" x14ac:dyDescent="0.25">
      <c r="B28" s="52">
        <v>1952</v>
      </c>
      <c r="C28" s="53">
        <v>0.18149999999999999</v>
      </c>
      <c r="D28" s="53">
        <v>1.67E-2</v>
      </c>
      <c r="E28" s="53">
        <v>2.2700000000000001E-2</v>
      </c>
      <c r="F28" s="54">
        <v>128.29</v>
      </c>
    </row>
    <row r="29" spans="2:6" ht="15.75" x14ac:dyDescent="0.25">
      <c r="B29" s="55">
        <v>1953</v>
      </c>
      <c r="C29" s="32">
        <v>-1.21E-2</v>
      </c>
      <c r="D29" s="32">
        <v>1.89E-2</v>
      </c>
      <c r="E29" s="32">
        <v>4.1399999999999999E-2</v>
      </c>
      <c r="F29" s="56">
        <v>130.72</v>
      </c>
    </row>
    <row r="30" spans="2:6" ht="15.75" x14ac:dyDescent="0.25">
      <c r="B30" s="52">
        <v>1954</v>
      </c>
      <c r="C30" s="53">
        <v>0.52559999999999996</v>
      </c>
      <c r="D30" s="53">
        <v>9.5999999999999992E-3</v>
      </c>
      <c r="E30" s="53">
        <v>3.2899999999999999E-2</v>
      </c>
      <c r="F30" s="54">
        <v>131.97999999999999</v>
      </c>
    </row>
    <row r="31" spans="2:6" ht="15.75" x14ac:dyDescent="0.25">
      <c r="B31" s="55">
        <v>1955</v>
      </c>
      <c r="C31" s="32">
        <v>0.32600000000000001</v>
      </c>
      <c r="D31" s="32">
        <v>1.66E-2</v>
      </c>
      <c r="E31" s="32">
        <v>-1.34E-2</v>
      </c>
      <c r="F31" s="56">
        <v>134.16999999999999</v>
      </c>
    </row>
    <row r="32" spans="2:6" ht="15.75" x14ac:dyDescent="0.25">
      <c r="B32" s="52">
        <v>1956</v>
      </c>
      <c r="C32" s="53">
        <v>7.4399999999999994E-2</v>
      </c>
      <c r="D32" s="53">
        <v>2.5600000000000001E-2</v>
      </c>
      <c r="E32" s="53">
        <v>-2.2599999999999999E-2</v>
      </c>
      <c r="F32" s="54">
        <v>137.6</v>
      </c>
    </row>
    <row r="33" spans="2:6" ht="15.75" x14ac:dyDescent="0.25">
      <c r="B33" s="55">
        <v>1957</v>
      </c>
      <c r="C33" s="32">
        <v>-0.1046</v>
      </c>
      <c r="D33" s="32">
        <v>3.2300000000000002E-2</v>
      </c>
      <c r="E33" s="32">
        <v>6.8000000000000005E-2</v>
      </c>
      <c r="F33" s="56">
        <v>142.04</v>
      </c>
    </row>
    <row r="34" spans="2:6" ht="15.75" x14ac:dyDescent="0.25">
      <c r="B34" s="52">
        <v>1958</v>
      </c>
      <c r="C34" s="53">
        <v>0.43719999999999998</v>
      </c>
      <c r="D34" s="53">
        <v>1.78E-2</v>
      </c>
      <c r="E34" s="53">
        <v>-2.1000000000000001E-2</v>
      </c>
      <c r="F34" s="54">
        <v>144.57</v>
      </c>
    </row>
    <row r="35" spans="2:6" ht="15.75" x14ac:dyDescent="0.25">
      <c r="B35" s="55">
        <v>1959</v>
      </c>
      <c r="C35" s="32">
        <v>0.1206</v>
      </c>
      <c r="D35" s="32">
        <v>3.2599999999999997E-2</v>
      </c>
      <c r="E35" s="32">
        <v>-2.6499999999999999E-2</v>
      </c>
      <c r="F35" s="56">
        <v>149.27000000000001</v>
      </c>
    </row>
    <row r="36" spans="2:6" ht="15.75" x14ac:dyDescent="0.25">
      <c r="B36" s="52">
        <v>1960</v>
      </c>
      <c r="C36" s="53">
        <v>3.3999999999999998E-3</v>
      </c>
      <c r="D36" s="53">
        <v>3.0499999999999999E-2</v>
      </c>
      <c r="E36" s="53">
        <v>0.1164</v>
      </c>
      <c r="F36" s="54">
        <v>153.82</v>
      </c>
    </row>
    <row r="37" spans="2:6" ht="15.75" x14ac:dyDescent="0.25">
      <c r="B37" s="55">
        <v>1961</v>
      </c>
      <c r="C37" s="32">
        <v>0.26640000000000003</v>
      </c>
      <c r="D37" s="32">
        <v>2.2700000000000001E-2</v>
      </c>
      <c r="E37" s="32">
        <v>2.06E-2</v>
      </c>
      <c r="F37" s="56">
        <v>157.30000000000001</v>
      </c>
    </row>
    <row r="38" spans="2:6" ht="15.75" x14ac:dyDescent="0.25">
      <c r="B38" s="52">
        <v>1962</v>
      </c>
      <c r="C38" s="53">
        <v>-8.8099999999999998E-2</v>
      </c>
      <c r="D38" s="53">
        <v>2.7799999999999998E-2</v>
      </c>
      <c r="E38" s="53">
        <v>5.6899999999999999E-2</v>
      </c>
      <c r="F38" s="54">
        <v>161.66999999999999</v>
      </c>
    </row>
    <row r="39" spans="2:6" ht="15.75" x14ac:dyDescent="0.25">
      <c r="B39" s="55">
        <v>1963</v>
      </c>
      <c r="C39" s="32">
        <v>0.2261</v>
      </c>
      <c r="D39" s="32">
        <v>3.1099999999999999E-2</v>
      </c>
      <c r="E39" s="32">
        <v>1.6799999999999999E-2</v>
      </c>
      <c r="F39" s="56">
        <v>166.7</v>
      </c>
    </row>
    <row r="40" spans="2:6" ht="15.75" x14ac:dyDescent="0.25">
      <c r="B40" s="52">
        <v>1964</v>
      </c>
      <c r="C40" s="53">
        <v>0.16420000000000001</v>
      </c>
      <c r="D40" s="53">
        <v>3.5099999999999999E-2</v>
      </c>
      <c r="E40" s="53">
        <v>3.73E-2</v>
      </c>
      <c r="F40" s="54">
        <v>172.54</v>
      </c>
    </row>
    <row r="41" spans="2:6" ht="15.75" x14ac:dyDescent="0.25">
      <c r="B41" s="55">
        <v>1965</v>
      </c>
      <c r="C41" s="32">
        <v>0.124</v>
      </c>
      <c r="D41" s="32">
        <v>3.9E-2</v>
      </c>
      <c r="E41" s="32">
        <v>7.1999999999999998E-3</v>
      </c>
      <c r="F41" s="56">
        <v>179.28</v>
      </c>
    </row>
    <row r="42" spans="2:6" ht="15.75" x14ac:dyDescent="0.25">
      <c r="B42" s="52">
        <v>1966</v>
      </c>
      <c r="C42" s="53">
        <v>-9.9699999999999997E-2</v>
      </c>
      <c r="D42" s="53">
        <v>4.8399999999999999E-2</v>
      </c>
      <c r="E42" s="53">
        <v>2.9100000000000001E-2</v>
      </c>
      <c r="F42" s="54">
        <v>187.95</v>
      </c>
    </row>
    <row r="43" spans="2:6" ht="15.75" x14ac:dyDescent="0.25">
      <c r="B43" s="55">
        <v>1967</v>
      </c>
      <c r="C43" s="32">
        <v>0.23799999999999999</v>
      </c>
      <c r="D43" s="32">
        <v>4.3299999999999998E-2</v>
      </c>
      <c r="E43" s="32">
        <v>-1.5800000000000002E-2</v>
      </c>
      <c r="F43" s="56">
        <v>196.1</v>
      </c>
    </row>
    <row r="44" spans="2:6" ht="15.75" x14ac:dyDescent="0.25">
      <c r="B44" s="52">
        <v>1968</v>
      </c>
      <c r="C44" s="53">
        <v>0.1081</v>
      </c>
      <c r="D44" s="53">
        <v>5.2600000000000001E-2</v>
      </c>
      <c r="E44" s="53">
        <v>3.27E-2</v>
      </c>
      <c r="F44" s="54">
        <v>206.41</v>
      </c>
    </row>
    <row r="45" spans="2:6" ht="15.75" x14ac:dyDescent="0.25">
      <c r="B45" s="55">
        <v>1969</v>
      </c>
      <c r="C45" s="32">
        <v>-8.2400000000000001E-2</v>
      </c>
      <c r="D45" s="32">
        <v>6.5600000000000006E-2</v>
      </c>
      <c r="E45" s="32">
        <v>-5.0099999999999999E-2</v>
      </c>
      <c r="F45" s="56">
        <v>219.96</v>
      </c>
    </row>
    <row r="46" spans="2:6" ht="15.75" x14ac:dyDescent="0.25">
      <c r="B46" s="52">
        <v>1970</v>
      </c>
      <c r="C46" s="53">
        <v>3.56E-2</v>
      </c>
      <c r="D46" s="53">
        <v>6.6900000000000001E-2</v>
      </c>
      <c r="E46" s="53">
        <v>0.16750000000000001</v>
      </c>
      <c r="F46" s="54">
        <v>234.66</v>
      </c>
    </row>
    <row r="47" spans="2:6" ht="15.75" x14ac:dyDescent="0.25">
      <c r="B47" s="55">
        <v>1971</v>
      </c>
      <c r="C47" s="32">
        <v>0.14219999999999999</v>
      </c>
      <c r="D47" s="32">
        <v>4.5400000000000003E-2</v>
      </c>
      <c r="E47" s="32">
        <v>9.7900000000000001E-2</v>
      </c>
      <c r="F47" s="56">
        <v>245.32</v>
      </c>
    </row>
    <row r="48" spans="2:6" ht="15.75" x14ac:dyDescent="0.25">
      <c r="B48" s="52">
        <v>1972</v>
      </c>
      <c r="C48" s="53">
        <v>0.18759999999999999</v>
      </c>
      <c r="D48" s="53">
        <v>3.95E-2</v>
      </c>
      <c r="E48" s="53">
        <v>2.8199999999999999E-2</v>
      </c>
      <c r="F48" s="54">
        <v>255.01</v>
      </c>
    </row>
    <row r="49" spans="2:6" ht="15.75" x14ac:dyDescent="0.25">
      <c r="B49" s="55">
        <v>1973</v>
      </c>
      <c r="C49" s="32">
        <v>-0.1431</v>
      </c>
      <c r="D49" s="32">
        <v>6.7299999999999999E-2</v>
      </c>
      <c r="E49" s="32">
        <v>3.6600000000000001E-2</v>
      </c>
      <c r="F49" s="56">
        <v>272.16000000000003</v>
      </c>
    </row>
    <row r="50" spans="2:6" ht="15.75" x14ac:dyDescent="0.25">
      <c r="B50" s="52">
        <v>1974</v>
      </c>
      <c r="C50" s="53">
        <v>-0.25900000000000001</v>
      </c>
      <c r="D50" s="53">
        <v>7.7799999999999994E-2</v>
      </c>
      <c r="E50" s="53">
        <v>1.9900000000000001E-2</v>
      </c>
      <c r="F50" s="54">
        <v>293.33</v>
      </c>
    </row>
    <row r="51" spans="2:6" ht="15.75" x14ac:dyDescent="0.25">
      <c r="B51" s="55">
        <v>1975</v>
      </c>
      <c r="C51" s="32">
        <v>0.37</v>
      </c>
      <c r="D51" s="32">
        <v>5.9900000000000002E-2</v>
      </c>
      <c r="E51" s="32">
        <v>3.61E-2</v>
      </c>
      <c r="F51" s="56">
        <v>310.89999999999998</v>
      </c>
    </row>
    <row r="52" spans="2:6" ht="15.75" x14ac:dyDescent="0.25">
      <c r="B52" s="52">
        <v>1976</v>
      </c>
      <c r="C52" s="53">
        <v>0.23830000000000001</v>
      </c>
      <c r="D52" s="53">
        <v>4.9700000000000001E-2</v>
      </c>
      <c r="E52" s="53">
        <v>0.1598</v>
      </c>
      <c r="F52" s="54">
        <v>326.35000000000002</v>
      </c>
    </row>
    <row r="53" spans="2:6" ht="15.75" x14ac:dyDescent="0.25">
      <c r="B53" s="55">
        <v>1977</v>
      </c>
      <c r="C53" s="32">
        <v>-6.9800000000000001E-2</v>
      </c>
      <c r="D53" s="32">
        <v>5.1299999999999998E-2</v>
      </c>
      <c r="E53" s="32">
        <v>1.29E-2</v>
      </c>
      <c r="F53" s="56">
        <v>343.09</v>
      </c>
    </row>
    <row r="54" spans="2:6" ht="15.75" x14ac:dyDescent="0.25">
      <c r="B54" s="52">
        <v>1978</v>
      </c>
      <c r="C54" s="53">
        <v>6.5100000000000005E-2</v>
      </c>
      <c r="D54" s="53">
        <v>6.93E-2</v>
      </c>
      <c r="E54" s="53">
        <v>-7.7999999999999996E-3</v>
      </c>
      <c r="F54" s="54">
        <v>366.87</v>
      </c>
    </row>
    <row r="55" spans="2:6" ht="15.75" x14ac:dyDescent="0.25">
      <c r="B55" s="55">
        <v>1979</v>
      </c>
      <c r="C55" s="32">
        <v>0.1852</v>
      </c>
      <c r="D55" s="32">
        <v>9.9400000000000002E-2</v>
      </c>
      <c r="E55" s="32">
        <v>6.7000000000000002E-3</v>
      </c>
      <c r="F55" s="56">
        <v>403.33</v>
      </c>
    </row>
    <row r="56" spans="2:6" ht="15.75" x14ac:dyDescent="0.25">
      <c r="B56" s="52">
        <v>1980</v>
      </c>
      <c r="C56" s="53">
        <v>0.31740000000000002</v>
      </c>
      <c r="D56" s="53">
        <v>0.11219999999999999</v>
      </c>
      <c r="E56" s="53">
        <v>-2.9899999999999999E-2</v>
      </c>
      <c r="F56" s="54">
        <v>448.58</v>
      </c>
    </row>
    <row r="57" spans="2:6" ht="15.75" x14ac:dyDescent="0.25">
      <c r="B57" s="55">
        <v>1981</v>
      </c>
      <c r="C57" s="32">
        <v>-4.7E-2</v>
      </c>
      <c r="D57" s="32">
        <v>0.14299999999999999</v>
      </c>
      <c r="E57" s="32">
        <v>8.2000000000000003E-2</v>
      </c>
      <c r="F57" s="56">
        <v>512.73</v>
      </c>
    </row>
    <row r="58" spans="2:6" ht="15.75" x14ac:dyDescent="0.25">
      <c r="B58" s="52">
        <v>1982</v>
      </c>
      <c r="C58" s="53">
        <v>0.20419999999999999</v>
      </c>
      <c r="D58" s="53">
        <v>0.1101</v>
      </c>
      <c r="E58" s="53">
        <v>0.3281</v>
      </c>
      <c r="F58" s="54">
        <v>569.17999999999995</v>
      </c>
    </row>
    <row r="59" spans="2:6" ht="15.75" x14ac:dyDescent="0.25">
      <c r="B59" s="55">
        <v>1983</v>
      </c>
      <c r="C59" s="32">
        <v>0.22339999999999999</v>
      </c>
      <c r="D59" s="32">
        <v>8.4500000000000006E-2</v>
      </c>
      <c r="E59" s="32">
        <v>3.2000000000000001E-2</v>
      </c>
      <c r="F59" s="56">
        <v>617.26</v>
      </c>
    </row>
    <row r="60" spans="2:6" ht="15.75" x14ac:dyDescent="0.25">
      <c r="B60" s="52">
        <v>1984</v>
      </c>
      <c r="C60" s="53">
        <v>6.1499999999999999E-2</v>
      </c>
      <c r="D60" s="53">
        <v>9.6100000000000005E-2</v>
      </c>
      <c r="E60" s="53">
        <v>0.13730000000000001</v>
      </c>
      <c r="F60" s="54">
        <v>676.6</v>
      </c>
    </row>
    <row r="61" spans="2:6" ht="15.75" x14ac:dyDescent="0.25">
      <c r="B61" s="55">
        <v>1985</v>
      </c>
      <c r="C61" s="32">
        <v>0.31240000000000001</v>
      </c>
      <c r="D61" s="32">
        <v>7.4899999999999994E-2</v>
      </c>
      <c r="E61" s="32">
        <v>0.2571</v>
      </c>
      <c r="F61" s="56">
        <v>727.26</v>
      </c>
    </row>
    <row r="62" spans="2:6" ht="15.75" x14ac:dyDescent="0.25">
      <c r="B62" s="52">
        <v>1986</v>
      </c>
      <c r="C62" s="53">
        <v>0.18490000000000001</v>
      </c>
      <c r="D62" s="53">
        <v>6.0400000000000002E-2</v>
      </c>
      <c r="E62" s="53">
        <v>0.24279999999999999</v>
      </c>
      <c r="F62" s="54">
        <v>771.15</v>
      </c>
    </row>
    <row r="63" spans="2:6" ht="15.75" x14ac:dyDescent="0.25">
      <c r="B63" s="55">
        <v>1987</v>
      </c>
      <c r="C63" s="32">
        <v>5.8099999999999999E-2</v>
      </c>
      <c r="D63" s="32">
        <v>5.7200000000000001E-2</v>
      </c>
      <c r="E63" s="32">
        <v>-4.9599999999999998E-2</v>
      </c>
      <c r="F63" s="56">
        <v>815.27</v>
      </c>
    </row>
    <row r="64" spans="2:6" ht="15.75" x14ac:dyDescent="0.25">
      <c r="B64" s="52">
        <v>1988</v>
      </c>
      <c r="C64" s="53">
        <v>0.16539999999999999</v>
      </c>
      <c r="D64" s="53">
        <v>6.4500000000000002E-2</v>
      </c>
      <c r="E64" s="53">
        <v>8.2199999999999995E-2</v>
      </c>
      <c r="F64" s="54">
        <v>867.86</v>
      </c>
    </row>
    <row r="65" spans="2:6" ht="15.75" x14ac:dyDescent="0.25">
      <c r="B65" s="55">
        <v>1989</v>
      </c>
      <c r="C65" s="32">
        <v>0.31480000000000002</v>
      </c>
      <c r="D65" s="32">
        <v>8.1100000000000005E-2</v>
      </c>
      <c r="E65" s="32">
        <v>0.1769</v>
      </c>
      <c r="F65" s="56">
        <v>938.24</v>
      </c>
    </row>
    <row r="66" spans="2:6" ht="15.75" x14ac:dyDescent="0.25">
      <c r="B66" s="52">
        <v>1990</v>
      </c>
      <c r="C66" s="53">
        <v>-3.0599999999999999E-2</v>
      </c>
      <c r="D66" s="53">
        <v>7.5499999999999998E-2</v>
      </c>
      <c r="E66" s="53">
        <v>6.2399999999999997E-2</v>
      </c>
      <c r="F66" s="54">
        <v>1009.08</v>
      </c>
    </row>
    <row r="67" spans="2:6" ht="15.75" x14ac:dyDescent="0.25">
      <c r="B67" s="55">
        <v>1991</v>
      </c>
      <c r="C67" s="32">
        <v>0.30230000000000001</v>
      </c>
      <c r="D67" s="32">
        <v>5.6099999999999997E-2</v>
      </c>
      <c r="E67" s="32">
        <v>0.15</v>
      </c>
      <c r="F67" s="56">
        <v>1065.69</v>
      </c>
    </row>
    <row r="68" spans="2:6" ht="15.75" x14ac:dyDescent="0.25">
      <c r="B68" s="52">
        <v>1992</v>
      </c>
      <c r="C68" s="53">
        <v>7.4899999999999994E-2</v>
      </c>
      <c r="D68" s="53">
        <v>3.4099999999999998E-2</v>
      </c>
      <c r="E68" s="53">
        <v>9.3600000000000003E-2</v>
      </c>
      <c r="F68" s="54">
        <v>1101.98</v>
      </c>
    </row>
    <row r="69" spans="2:6" ht="15.75" x14ac:dyDescent="0.25">
      <c r="B69" s="55">
        <v>1993</v>
      </c>
      <c r="C69" s="32">
        <v>9.9699999999999997E-2</v>
      </c>
      <c r="D69" s="32">
        <v>2.98E-2</v>
      </c>
      <c r="E69" s="32">
        <v>0.1421</v>
      </c>
      <c r="F69" s="56">
        <v>1134.8399999999999</v>
      </c>
    </row>
    <row r="70" spans="2:6" ht="15.75" x14ac:dyDescent="0.25">
      <c r="B70" s="52">
        <v>1994</v>
      </c>
      <c r="C70" s="53">
        <v>1.3299999999999999E-2</v>
      </c>
      <c r="D70" s="53">
        <v>3.9899999999999998E-2</v>
      </c>
      <c r="E70" s="53">
        <v>-8.0399999999999999E-2</v>
      </c>
      <c r="F70" s="54">
        <v>1180.07</v>
      </c>
    </row>
    <row r="71" spans="2:6" ht="15.75" x14ac:dyDescent="0.25">
      <c r="B71" s="55">
        <v>1995</v>
      </c>
      <c r="C71" s="32">
        <v>0.372</v>
      </c>
      <c r="D71" s="32">
        <v>5.5199999999999999E-2</v>
      </c>
      <c r="E71" s="32">
        <v>0.23480000000000001</v>
      </c>
      <c r="F71" s="56">
        <v>1245.1500000000001</v>
      </c>
    </row>
    <row r="72" spans="2:6" ht="15.75" x14ac:dyDescent="0.25">
      <c r="B72" s="52">
        <v>1996</v>
      </c>
      <c r="C72" s="53">
        <v>0.2268</v>
      </c>
      <c r="D72" s="53">
        <v>5.0200000000000002E-2</v>
      </c>
      <c r="E72" s="53">
        <v>1.43E-2</v>
      </c>
      <c r="F72" s="54">
        <v>1307.68</v>
      </c>
    </row>
    <row r="73" spans="2:6" ht="15.75" x14ac:dyDescent="0.25">
      <c r="B73" s="55">
        <v>1997</v>
      </c>
      <c r="C73" s="32">
        <v>0.33100000000000002</v>
      </c>
      <c r="D73" s="32">
        <v>5.0500000000000003E-2</v>
      </c>
      <c r="E73" s="32">
        <v>9.9400000000000002E-2</v>
      </c>
      <c r="F73" s="56">
        <v>1373.76</v>
      </c>
    </row>
    <row r="74" spans="2:6" ht="15.75" x14ac:dyDescent="0.25">
      <c r="B74" s="52">
        <v>1998</v>
      </c>
      <c r="C74" s="53">
        <v>0.28339999999999999</v>
      </c>
      <c r="D74" s="53">
        <v>4.7300000000000002E-2</v>
      </c>
      <c r="E74" s="53">
        <v>0.1492</v>
      </c>
      <c r="F74" s="54">
        <v>1438.7</v>
      </c>
    </row>
    <row r="75" spans="2:6" ht="15.75" x14ac:dyDescent="0.25">
      <c r="B75" s="55">
        <v>1999</v>
      </c>
      <c r="C75" s="32">
        <v>0.2089</v>
      </c>
      <c r="D75" s="32">
        <v>4.5100000000000001E-2</v>
      </c>
      <c r="E75" s="32">
        <v>-8.2500000000000004E-2</v>
      </c>
      <c r="F75" s="56">
        <v>1503.58</v>
      </c>
    </row>
    <row r="76" spans="2:6" ht="15.75" x14ac:dyDescent="0.25">
      <c r="B76" s="52">
        <v>2000</v>
      </c>
      <c r="C76" s="53">
        <v>-9.0300000000000005E-2</v>
      </c>
      <c r="D76" s="53">
        <v>5.7599999999999998E-2</v>
      </c>
      <c r="E76" s="53">
        <v>0.1666</v>
      </c>
      <c r="F76" s="54">
        <v>1590.23</v>
      </c>
    </row>
    <row r="77" spans="2:6" ht="15.75" x14ac:dyDescent="0.25">
      <c r="B77" s="55">
        <v>2001</v>
      </c>
      <c r="C77" s="32">
        <v>-0.11849999999999999</v>
      </c>
      <c r="D77" s="32">
        <v>3.6700000000000003E-2</v>
      </c>
      <c r="E77" s="32">
        <v>5.57E-2</v>
      </c>
      <c r="F77" s="56">
        <v>1648.63</v>
      </c>
    </row>
    <row r="78" spans="2:6" ht="15.75" x14ac:dyDescent="0.25">
      <c r="B78" s="52">
        <v>2002</v>
      </c>
      <c r="C78" s="53">
        <v>-0.21970000000000001</v>
      </c>
      <c r="D78" s="53">
        <v>1.66E-2</v>
      </c>
      <c r="E78" s="53">
        <v>0.1512</v>
      </c>
      <c r="F78" s="54">
        <v>1675.96</v>
      </c>
    </row>
    <row r="79" spans="2:6" ht="15.75" x14ac:dyDescent="0.25">
      <c r="B79" s="55">
        <v>2003</v>
      </c>
      <c r="C79" s="32">
        <v>0.28360000000000002</v>
      </c>
      <c r="D79" s="32">
        <v>1.03E-2</v>
      </c>
      <c r="E79" s="32">
        <v>3.8E-3</v>
      </c>
      <c r="F79" s="56">
        <v>1693.22</v>
      </c>
    </row>
    <row r="80" spans="2:6" ht="15.75" x14ac:dyDescent="0.25">
      <c r="B80" s="52">
        <v>2004</v>
      </c>
      <c r="C80" s="53">
        <v>0.1074</v>
      </c>
      <c r="D80" s="53">
        <v>1.23E-2</v>
      </c>
      <c r="E80" s="53">
        <v>4.4900000000000002E-2</v>
      </c>
      <c r="F80" s="54">
        <v>1714</v>
      </c>
    </row>
    <row r="81" spans="2:7" ht="15.75" x14ac:dyDescent="0.25">
      <c r="B81" s="55">
        <v>2005</v>
      </c>
      <c r="C81" s="32">
        <v>4.8300000000000003E-2</v>
      </c>
      <c r="D81" s="32">
        <v>3.0099999999999998E-2</v>
      </c>
      <c r="E81" s="32">
        <v>2.87E-2</v>
      </c>
      <c r="F81" s="56">
        <v>1765.59</v>
      </c>
    </row>
    <row r="82" spans="2:7" ht="15.75" x14ac:dyDescent="0.25">
      <c r="B82" s="52">
        <v>2006</v>
      </c>
      <c r="C82" s="53">
        <v>0.15609999999999999</v>
      </c>
      <c r="D82" s="53">
        <v>4.6800000000000001E-2</v>
      </c>
      <c r="E82" s="53">
        <v>1.9599999999999999E-2</v>
      </c>
      <c r="F82" s="54">
        <v>1848.18</v>
      </c>
    </row>
    <row r="83" spans="2:7" ht="15.75" x14ac:dyDescent="0.25">
      <c r="B83" s="55">
        <v>2007</v>
      </c>
      <c r="C83" s="32">
        <v>5.4800000000000001E-2</v>
      </c>
      <c r="D83" s="32">
        <v>4.6399999999999997E-2</v>
      </c>
      <c r="E83" s="32">
        <v>0.1021</v>
      </c>
      <c r="F83" s="56">
        <v>1933.98</v>
      </c>
    </row>
    <row r="84" spans="2:7" ht="15.75" x14ac:dyDescent="0.25">
      <c r="B84" s="52">
        <v>2008</v>
      </c>
      <c r="C84" s="53">
        <v>-0.36549999999999999</v>
      </c>
      <c r="D84" s="53">
        <v>1.5900000000000001E-2</v>
      </c>
      <c r="E84" s="53">
        <v>0.20100000000000001</v>
      </c>
      <c r="F84" s="54">
        <v>1964.64</v>
      </c>
    </row>
    <row r="85" spans="2:7" ht="15.75" x14ac:dyDescent="0.25">
      <c r="B85" s="55">
        <v>2009</v>
      </c>
      <c r="C85" s="32">
        <v>0.25940000000000002</v>
      </c>
      <c r="D85" s="32">
        <v>1.4E-3</v>
      </c>
      <c r="E85" s="32">
        <v>-0.11119999999999999</v>
      </c>
      <c r="F85" s="56">
        <v>1967.29</v>
      </c>
    </row>
    <row r="86" spans="2:7" ht="15.75" x14ac:dyDescent="0.25">
      <c r="B86" s="52">
        <v>2010</v>
      </c>
      <c r="C86" s="53">
        <v>0.1482</v>
      </c>
      <c r="D86" s="53">
        <v>1.2999999999999999E-3</v>
      </c>
      <c r="E86" s="53">
        <v>8.4599999999999995E-2</v>
      </c>
      <c r="F86" s="54">
        <v>1969.84</v>
      </c>
    </row>
    <row r="87" spans="2:7" ht="15.75" x14ac:dyDescent="0.25">
      <c r="B87" s="55">
        <v>2011</v>
      </c>
      <c r="C87" s="32">
        <v>2.1000000000000001E-2</v>
      </c>
      <c r="D87" s="32">
        <v>2.9999999999999997E-4</v>
      </c>
      <c r="E87" s="32">
        <v>0.16039999999999999</v>
      </c>
      <c r="F87" s="56">
        <v>1970.44</v>
      </c>
    </row>
    <row r="88" spans="2:7" ht="15.75" x14ac:dyDescent="0.25">
      <c r="B88" s="52">
        <v>2012</v>
      </c>
      <c r="C88" s="53">
        <v>0.15890000000000001</v>
      </c>
      <c r="D88" s="53">
        <v>5.0000000000000001E-4</v>
      </c>
      <c r="E88" s="53">
        <v>2.9700000000000001E-2</v>
      </c>
      <c r="F88" s="54">
        <v>1971.42</v>
      </c>
    </row>
    <row r="89" spans="2:7" ht="15.75" x14ac:dyDescent="0.25">
      <c r="B89" s="55">
        <v>2013</v>
      </c>
      <c r="C89" s="32">
        <v>0.32150000000000001</v>
      </c>
      <c r="D89" s="32">
        <v>6.9999999999999999E-4</v>
      </c>
      <c r="E89" s="32">
        <v>-9.0999999999999998E-2</v>
      </c>
      <c r="F89" s="56">
        <v>1972.72</v>
      </c>
    </row>
    <row r="90" spans="2:7" ht="15.75" x14ac:dyDescent="0.25">
      <c r="B90" s="52">
        <v>2014</v>
      </c>
      <c r="C90" s="53">
        <v>0.13519999999999999</v>
      </c>
      <c r="D90" s="53">
        <v>5.0000000000000001E-4</v>
      </c>
      <c r="E90" s="53">
        <v>0.1075</v>
      </c>
      <c r="F90" s="54">
        <v>1973.77</v>
      </c>
    </row>
    <row r="91" spans="2:7" ht="15.75" x14ac:dyDescent="0.25">
      <c r="B91" s="57">
        <v>2015</v>
      </c>
      <c r="C91" s="32">
        <v>1.3599999999999999E-2</v>
      </c>
      <c r="D91" s="58">
        <v>2.0999999999999999E-3</v>
      </c>
      <c r="E91" s="32">
        <v>1.2800000000000001E-2</v>
      </c>
      <c r="F91" s="56">
        <v>1977.91</v>
      </c>
    </row>
    <row r="92" spans="2:7" x14ac:dyDescent="0.25">
      <c r="B92" s="55"/>
      <c r="C92" s="55"/>
      <c r="D92" s="55"/>
      <c r="E92" s="55"/>
      <c r="F92" s="55"/>
      <c r="G92" s="28"/>
    </row>
    <row r="93" spans="2:7" ht="45" x14ac:dyDescent="0.25">
      <c r="B93" s="59" t="s">
        <v>71</v>
      </c>
      <c r="C93" s="59"/>
      <c r="D93" s="59"/>
      <c r="E93" s="59"/>
      <c r="F93" s="59" t="s">
        <v>72</v>
      </c>
      <c r="G93" s="28"/>
    </row>
    <row r="94" spans="2:7" ht="30.75" thickBot="1" x14ac:dyDescent="0.3">
      <c r="B94" s="59" t="s">
        <v>73</v>
      </c>
      <c r="C94" s="70">
        <f>AVERAGE(C4:C91)</f>
        <v>0.11412159090909091</v>
      </c>
      <c r="D94" s="60">
        <v>3.49E-2</v>
      </c>
      <c r="E94" s="60">
        <v>5.2299999999999999E-2</v>
      </c>
      <c r="F94" s="60">
        <v>7.9200000000000007E-2</v>
      </c>
      <c r="G94" s="28"/>
    </row>
    <row r="95" spans="2:7" ht="30.75" thickBot="1" x14ac:dyDescent="0.3">
      <c r="B95" s="59" t="s">
        <v>74</v>
      </c>
      <c r="C95" s="69">
        <f>AVERAGE(C66:C91)</f>
        <v>0.10752692307692306</v>
      </c>
      <c r="D95" s="60">
        <v>4.9700000000000001E-2</v>
      </c>
      <c r="E95" s="60">
        <v>7.1199999999999999E-2</v>
      </c>
      <c r="F95" s="60">
        <v>6.0499999999999998E-2</v>
      </c>
      <c r="G95" s="28"/>
    </row>
    <row r="96" spans="2:7" ht="30" x14ac:dyDescent="0.25">
      <c r="B96" s="59" t="s">
        <v>75</v>
      </c>
      <c r="C96" s="60">
        <v>9.0300000000000005E-2</v>
      </c>
      <c r="D96" s="60">
        <v>1.1599999999999999E-2</v>
      </c>
      <c r="E96" s="60">
        <v>5.16E-2</v>
      </c>
      <c r="F96" s="60">
        <v>7.8700000000000006E-2</v>
      </c>
    </row>
    <row r="97" spans="3:3" x14ac:dyDescent="0.25">
      <c r="C97" s="6"/>
    </row>
  </sheetData>
  <sortState ref="J2:L759">
    <sortCondition ref="J3"/>
  </sortState>
  <pageMargins left="0.7" right="0.7" top="0.75" bottom="0.75" header="0.3" footer="0.3"/>
  <pageSetup paperSize="9" orientation="portrait" r:id="rId1"/>
  <ignoredErrors>
    <ignoredError sqref="C9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8" sqref="G8"/>
    </sheetView>
  </sheetViews>
  <sheetFormatPr defaultRowHeight="15" x14ac:dyDescent="0.25"/>
  <cols>
    <col min="1" max="1" width="28.42578125" bestFit="1" customWidth="1"/>
    <col min="3" max="3" width="10.140625" customWidth="1"/>
    <col min="5" max="5" width="27.140625" bestFit="1" customWidth="1"/>
    <col min="6" max="6" width="22.7109375" customWidth="1"/>
  </cols>
  <sheetData>
    <row r="1" spans="1:12" x14ac:dyDescent="0.25">
      <c r="A1" t="s">
        <v>3</v>
      </c>
    </row>
    <row r="2" spans="1:12" x14ac:dyDescent="0.25">
      <c r="A2" t="s">
        <v>4</v>
      </c>
    </row>
    <row r="3" spans="1:12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</row>
    <row r="4" spans="1:12" x14ac:dyDescent="0.25">
      <c r="A4" s="2">
        <v>42369</v>
      </c>
      <c r="B4" s="3">
        <v>0.14000000000000001</v>
      </c>
      <c r="C4" s="3">
        <v>0.16</v>
      </c>
      <c r="D4" s="3">
        <v>0.49</v>
      </c>
      <c r="E4" s="3">
        <v>0.65</v>
      </c>
      <c r="F4" s="3">
        <v>1.06</v>
      </c>
      <c r="G4" s="3">
        <v>1.31</v>
      </c>
      <c r="H4" s="3">
        <v>1.76</v>
      </c>
      <c r="I4" s="3">
        <v>2.09</v>
      </c>
      <c r="J4" s="3">
        <v>2.27</v>
      </c>
      <c r="K4" s="3">
        <v>2.67</v>
      </c>
      <c r="L4" s="3">
        <v>3.01</v>
      </c>
    </row>
    <row r="6" spans="1:12" ht="15.75" thickBot="1" x14ac:dyDescent="0.3"/>
    <row r="7" spans="1:12" ht="15.75" thickBot="1" x14ac:dyDescent="0.3">
      <c r="A7" s="62" t="s">
        <v>64</v>
      </c>
      <c r="B7" s="63" t="s">
        <v>1</v>
      </c>
      <c r="C7" s="64" t="s">
        <v>19</v>
      </c>
      <c r="D7" s="63" t="s">
        <v>18</v>
      </c>
      <c r="E7" s="63" t="s">
        <v>17</v>
      </c>
      <c r="F7" s="65" t="s">
        <v>65</v>
      </c>
      <c r="G7" s="108" t="s">
        <v>104</v>
      </c>
    </row>
    <row r="8" spans="1:12" ht="15.75" thickBot="1" x14ac:dyDescent="0.3">
      <c r="A8" s="44" t="s">
        <v>0</v>
      </c>
      <c r="B8" s="66" t="s">
        <v>2</v>
      </c>
      <c r="C8" s="67">
        <v>1.825</v>
      </c>
      <c r="D8" s="72">
        <f>$J$4 %</f>
        <v>2.2700000000000001E-2</v>
      </c>
      <c r="E8" s="71">
        <f>'Historical Market Data'!$C$95</f>
        <v>0.10752692307692306</v>
      </c>
      <c r="F8" s="68">
        <f>(D8+(C8*(E8-D8)))</f>
        <v>0.17750913461538459</v>
      </c>
      <c r="G8">
        <f>(C8*(E8-D8))</f>
        <v>0.15480913461538459</v>
      </c>
    </row>
    <row r="9" spans="1:12" ht="15.75" thickBot="1" x14ac:dyDescent="0.3">
      <c r="A9" s="45" t="s">
        <v>39</v>
      </c>
      <c r="B9" s="43" t="s">
        <v>36</v>
      </c>
      <c r="C9" s="48">
        <v>1.135</v>
      </c>
      <c r="D9" s="72">
        <f t="shared" ref="D9:D10" si="0">$J$4 %</f>
        <v>2.2700000000000001E-2</v>
      </c>
      <c r="E9" s="71">
        <f>'Historical Market Data'!$C$95</f>
        <v>0.10752692307692306</v>
      </c>
      <c r="F9" s="68">
        <f t="shared" ref="F9:F10" si="1">(D9+(C9*(E9-D9)))</f>
        <v>0.11897855769230768</v>
      </c>
      <c r="G9">
        <f>(C9*(E9-D9))</f>
        <v>9.6278557692307684E-2</v>
      </c>
    </row>
    <row r="10" spans="1:12" ht="15.75" thickBot="1" x14ac:dyDescent="0.3">
      <c r="A10" s="46" t="s">
        <v>63</v>
      </c>
      <c r="B10" s="47" t="s">
        <v>62</v>
      </c>
      <c r="C10" s="49">
        <v>0.52800000000000002</v>
      </c>
      <c r="D10" s="72">
        <f t="shared" si="0"/>
        <v>2.2700000000000001E-2</v>
      </c>
      <c r="E10" s="71">
        <f>'Historical Market Data'!$C$95</f>
        <v>0.10752692307692306</v>
      </c>
      <c r="F10" s="68">
        <f t="shared" si="1"/>
        <v>6.7488615384615383E-2</v>
      </c>
      <c r="G10">
        <f>(C10*(E10-D10))</f>
        <v>4.4788615384615378E-2</v>
      </c>
    </row>
    <row r="14" spans="1:12" x14ac:dyDescent="0.25">
      <c r="A14" t="s">
        <v>78</v>
      </c>
    </row>
    <row r="15" spans="1:12" x14ac:dyDescent="0.25">
      <c r="A15" t="s">
        <v>79</v>
      </c>
      <c r="B15" t="s">
        <v>80</v>
      </c>
      <c r="D15" s="11"/>
    </row>
    <row r="16" spans="1:12" x14ac:dyDescent="0.25">
      <c r="A16" t="s">
        <v>81</v>
      </c>
    </row>
    <row r="17" spans="1:2" x14ac:dyDescent="0.25">
      <c r="A17" t="s">
        <v>2</v>
      </c>
      <c r="B17" t="s">
        <v>83</v>
      </c>
    </row>
    <row r="18" spans="1:2" x14ac:dyDescent="0.25">
      <c r="A18" t="s">
        <v>36</v>
      </c>
      <c r="B18" t="s">
        <v>84</v>
      </c>
    </row>
    <row r="19" spans="1:2" x14ac:dyDescent="0.25">
      <c r="A19" t="s">
        <v>62</v>
      </c>
      <c r="B19" t="s"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WhiteSpace="0" zoomScaleNormal="100" workbookViewId="0">
      <selection activeCell="B5" sqref="B5"/>
    </sheetView>
  </sheetViews>
  <sheetFormatPr defaultRowHeight="15" x14ac:dyDescent="0.25"/>
  <cols>
    <col min="1" max="1" width="44.42578125" bestFit="1" customWidth="1"/>
    <col min="2" max="2" width="17.42578125" customWidth="1"/>
    <col min="3" max="3" width="14.85546875" customWidth="1"/>
    <col min="4" max="4" width="18.7109375" customWidth="1"/>
    <col min="6" max="6" width="10.140625" bestFit="1" customWidth="1"/>
  </cols>
  <sheetData>
    <row r="1" spans="1:4" x14ac:dyDescent="0.25">
      <c r="A1" t="s">
        <v>20</v>
      </c>
    </row>
    <row r="2" spans="1:4" x14ac:dyDescent="0.25">
      <c r="A2" t="s">
        <v>21</v>
      </c>
    </row>
    <row r="3" spans="1:4" x14ac:dyDescent="0.25">
      <c r="A3" t="s">
        <v>25</v>
      </c>
    </row>
    <row r="4" spans="1:4" x14ac:dyDescent="0.25">
      <c r="A4" s="73"/>
      <c r="B4" s="74" t="s">
        <v>2</v>
      </c>
      <c r="C4" s="74" t="s">
        <v>36</v>
      </c>
      <c r="D4" s="75" t="s">
        <v>62</v>
      </c>
    </row>
    <row r="5" spans="1:4" ht="15.75" thickBot="1" x14ac:dyDescent="0.3">
      <c r="A5" t="s">
        <v>22</v>
      </c>
      <c r="B5" s="76">
        <v>4476</v>
      </c>
      <c r="C5" s="81">
        <v>64.751999999999995</v>
      </c>
      <c r="D5" s="78">
        <v>24.6</v>
      </c>
    </row>
    <row r="6" spans="1:4" ht="15.75" thickBot="1" x14ac:dyDescent="0.3">
      <c r="A6" t="s">
        <v>23</v>
      </c>
      <c r="B6" s="76">
        <v>1410</v>
      </c>
      <c r="C6" s="81">
        <v>20.443000000000001</v>
      </c>
      <c r="D6" s="84">
        <v>94.1</v>
      </c>
    </row>
    <row r="7" spans="1:4" x14ac:dyDescent="0.25">
      <c r="A7" t="s">
        <v>24</v>
      </c>
      <c r="B7" s="76">
        <f>B6/B5</f>
        <v>0.31501340482573725</v>
      </c>
      <c r="C7" s="81">
        <f>C6/C5</f>
        <v>0.31571225599209296</v>
      </c>
      <c r="D7" s="76">
        <f>D6/D5</f>
        <v>3.8252032520325199</v>
      </c>
    </row>
    <row r="8" spans="1:4" x14ac:dyDescent="0.25">
      <c r="A8" t="s">
        <v>27</v>
      </c>
      <c r="B8" s="76">
        <v>8314</v>
      </c>
      <c r="C8" s="79">
        <v>663.24699999999996</v>
      </c>
      <c r="D8" s="80">
        <v>3.1360000000000001</v>
      </c>
    </row>
    <row r="9" spans="1:4" x14ac:dyDescent="0.25">
      <c r="A9" t="s">
        <v>28</v>
      </c>
      <c r="B9" s="76">
        <v>6550</v>
      </c>
      <c r="C9" s="79">
        <v>649.10900000000004</v>
      </c>
      <c r="D9" s="80">
        <v>3405.5</v>
      </c>
    </row>
    <row r="10" spans="1:4" x14ac:dyDescent="0.25">
      <c r="A10" t="s">
        <v>26</v>
      </c>
      <c r="B10" s="76">
        <f>AVERAGE(B8:B9)</f>
        <v>7432</v>
      </c>
      <c r="C10" s="79">
        <f>AVERAGE(C8:C9)</f>
        <v>656.178</v>
      </c>
      <c r="D10" s="76">
        <f>AVERAGE(D8:D9)</f>
        <v>1704.318</v>
      </c>
    </row>
    <row r="11" spans="1:4" x14ac:dyDescent="0.25">
      <c r="A11" t="s">
        <v>29</v>
      </c>
      <c r="B11" s="76">
        <f>B5/B10</f>
        <v>0.60226049515608182</v>
      </c>
      <c r="C11" s="81">
        <f t="shared" ref="C11" si="0">C5/C10</f>
        <v>9.8680540950778592E-2</v>
      </c>
      <c r="D11" s="76">
        <f>D5/D10</f>
        <v>1.443392606309386E-2</v>
      </c>
    </row>
    <row r="12" spans="1:4" x14ac:dyDescent="0.25">
      <c r="A12" s="73" t="s">
        <v>30</v>
      </c>
      <c r="B12" s="77">
        <f>B11*(1-B7)</f>
        <v>0.41254036598493005</v>
      </c>
      <c r="C12" s="82">
        <f t="shared" ref="C12" si="1">C11*(1-C7)</f>
        <v>6.7525884744688167E-2</v>
      </c>
      <c r="D12" s="83">
        <f>D11*(1-D7)</f>
        <v>-4.0778774853049718E-2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3" sqref="H3"/>
    </sheetView>
  </sheetViews>
  <sheetFormatPr defaultRowHeight="15" x14ac:dyDescent="0.25"/>
  <cols>
    <col min="1" max="1" width="36.28515625" bestFit="1" customWidth="1"/>
  </cols>
  <sheetData>
    <row r="1" spans="1:4" x14ac:dyDescent="0.25">
      <c r="A1" t="s">
        <v>31</v>
      </c>
    </row>
    <row r="4" spans="1:4" ht="15.75" thickBot="1" x14ac:dyDescent="0.3"/>
    <row r="5" spans="1:4" ht="15.75" thickBot="1" x14ac:dyDescent="0.3">
      <c r="A5" s="36"/>
      <c r="B5" s="37" t="s">
        <v>2</v>
      </c>
      <c r="C5" s="38" t="s">
        <v>36</v>
      </c>
      <c r="D5" s="39" t="s">
        <v>62</v>
      </c>
    </row>
    <row r="6" spans="1:4" x14ac:dyDescent="0.25">
      <c r="A6" s="7" t="s">
        <v>32</v>
      </c>
      <c r="B6" s="12">
        <v>3.04</v>
      </c>
      <c r="C6" s="29">
        <v>0.48</v>
      </c>
      <c r="D6" s="29">
        <v>0.83</v>
      </c>
    </row>
    <row r="7" spans="1:4" x14ac:dyDescent="0.25">
      <c r="A7" s="7" t="s">
        <v>33</v>
      </c>
      <c r="B7" s="85">
        <v>2.69</v>
      </c>
      <c r="C7" s="29">
        <v>0.44</v>
      </c>
      <c r="D7" s="29">
        <v>0.79</v>
      </c>
    </row>
    <row r="8" spans="1:4" x14ac:dyDescent="0.25">
      <c r="A8" s="7" t="s">
        <v>34</v>
      </c>
      <c r="B8" s="12">
        <f>B6/B7-1</f>
        <v>0.13011152416356886</v>
      </c>
      <c r="C8" s="29">
        <f>C6/C7-1</f>
        <v>9.0909090909090828E-2</v>
      </c>
      <c r="D8" s="29">
        <f>D6/D7-1</f>
        <v>5.0632911392404889E-2</v>
      </c>
    </row>
    <row r="9" spans="1:4" ht="15.75" thickBot="1" x14ac:dyDescent="0.3">
      <c r="A9" s="7" t="s">
        <v>35</v>
      </c>
      <c r="B9" s="12">
        <f>CAPM!F8</f>
        <v>0.17750913461538459</v>
      </c>
      <c r="C9" s="30">
        <f>CAPM!F9</f>
        <v>0.11897855769230768</v>
      </c>
      <c r="D9" s="30">
        <f>CAPM!F10</f>
        <v>6.7488615384615383E-2</v>
      </c>
    </row>
    <row r="10" spans="1:4" x14ac:dyDescent="0.25">
      <c r="A10" s="24" t="s">
        <v>38</v>
      </c>
      <c r="B10" s="34">
        <f>(B6*(1+(B8)))/((B9-B8))</f>
        <v>72.48338050606597</v>
      </c>
      <c r="C10" s="34">
        <f>(C6*(1+(C8)))/((C9-C8))</f>
        <v>18.655016416252462</v>
      </c>
      <c r="D10" s="25">
        <f>(D6*(1+(D8)))/((D9-D8))</f>
        <v>51.73473127308619</v>
      </c>
    </row>
    <row r="11" spans="1:4" ht="15.75" thickBot="1" x14ac:dyDescent="0.3">
      <c r="A11" s="26" t="s">
        <v>37</v>
      </c>
      <c r="B11" s="31">
        <v>88.25</v>
      </c>
      <c r="C11" s="27">
        <v>22.64</v>
      </c>
      <c r="D11" s="35">
        <v>65.319999999999993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opLeftCell="A10" zoomScaleNormal="100" workbookViewId="0">
      <selection activeCell="A10" sqref="A10"/>
    </sheetView>
  </sheetViews>
  <sheetFormatPr defaultRowHeight="15" x14ac:dyDescent="0.25"/>
  <cols>
    <col min="1" max="1" width="33" customWidth="1"/>
    <col min="2" max="2" width="22.42578125" customWidth="1"/>
    <col min="3" max="3" width="20.85546875" customWidth="1"/>
    <col min="4" max="4" width="33.5703125" customWidth="1"/>
    <col min="5" max="5" width="25.140625" customWidth="1"/>
    <col min="6" max="6" width="10.85546875" customWidth="1"/>
    <col min="12" max="12" width="15.42578125" customWidth="1"/>
  </cols>
  <sheetData>
    <row r="1" spans="1:8" x14ac:dyDescent="0.25">
      <c r="A1" s="10"/>
      <c r="B1" s="11"/>
      <c r="F1" s="12"/>
      <c r="G1" s="12"/>
      <c r="H1" s="12"/>
    </row>
    <row r="2" spans="1:8" ht="15.75" thickBot="1" x14ac:dyDescent="0.3">
      <c r="A2" s="11"/>
      <c r="B2" s="11"/>
    </row>
    <row r="3" spans="1:8" ht="15.75" thickBot="1" x14ac:dyDescent="0.3">
      <c r="A3" s="13" t="s">
        <v>40</v>
      </c>
      <c r="B3" s="42" t="s">
        <v>2</v>
      </c>
      <c r="C3" s="23" t="s">
        <v>61</v>
      </c>
      <c r="D3" s="41" t="s">
        <v>62</v>
      </c>
      <c r="F3" s="11" t="s">
        <v>91</v>
      </c>
    </row>
    <row r="4" spans="1:8" ht="15.75" x14ac:dyDescent="0.25">
      <c r="A4" s="14" t="s">
        <v>41</v>
      </c>
      <c r="B4" s="19">
        <f>4420000000/1000000</f>
        <v>4420</v>
      </c>
      <c r="C4" s="86">
        <f>39500000/1000000</f>
        <v>39.5</v>
      </c>
      <c r="D4" s="40">
        <f>250000000/1000000</f>
        <v>250</v>
      </c>
      <c r="F4" s="9" t="s">
        <v>2</v>
      </c>
      <c r="G4" t="s">
        <v>61</v>
      </c>
      <c r="H4" t="s">
        <v>62</v>
      </c>
    </row>
    <row r="5" spans="1:8" ht="15.75" x14ac:dyDescent="0.25">
      <c r="A5" s="15" t="s">
        <v>42</v>
      </c>
      <c r="B5" s="19">
        <f>B6/B15</f>
        <v>0.17744927227122348</v>
      </c>
      <c r="C5" s="86">
        <f>C6/C15</f>
        <v>0.27026749998217375</v>
      </c>
      <c r="D5" s="87">
        <f>D6/D15</f>
        <v>4.2923211595466117E-2</v>
      </c>
      <c r="E5" t="s">
        <v>92</v>
      </c>
      <c r="F5" s="4">
        <v>5842</v>
      </c>
      <c r="G5">
        <v>134</v>
      </c>
      <c r="H5">
        <v>254</v>
      </c>
    </row>
    <row r="6" spans="1:8" ht="15.75" x14ac:dyDescent="0.25">
      <c r="A6" s="15" t="s">
        <v>56</v>
      </c>
      <c r="B6" s="19">
        <f>8195000000/1000000</f>
        <v>8195</v>
      </c>
      <c r="C6" s="86">
        <f>363870000/1000000</f>
        <v>363.87</v>
      </c>
      <c r="D6" s="40">
        <f>457000000/1000000</f>
        <v>457</v>
      </c>
      <c r="E6" t="s">
        <v>93</v>
      </c>
      <c r="F6" s="22">
        <v>310</v>
      </c>
      <c r="G6" s="40">
        <v>17</v>
      </c>
      <c r="H6" s="40">
        <v>3</v>
      </c>
    </row>
    <row r="7" spans="1:8" ht="15.75" x14ac:dyDescent="0.25">
      <c r="A7" s="15" t="s">
        <v>43</v>
      </c>
      <c r="B7" s="19">
        <f>430450000/1000000</f>
        <v>430.45</v>
      </c>
      <c r="C7" s="86">
        <f>43395000/1000000</f>
        <v>43.395000000000003</v>
      </c>
      <c r="D7" s="40">
        <f>156000000/1000000</f>
        <v>156</v>
      </c>
      <c r="E7" t="s">
        <v>94</v>
      </c>
      <c r="F7" s="40">
        <v>0.28100000000000003</v>
      </c>
      <c r="G7" s="40">
        <v>0.35</v>
      </c>
      <c r="H7" s="40">
        <v>0.26</v>
      </c>
    </row>
    <row r="8" spans="1:8" ht="15.75" x14ac:dyDescent="0.25">
      <c r="A8" s="15" t="s">
        <v>44</v>
      </c>
      <c r="B8" s="19">
        <f>CAPM!F8</f>
        <v>0.17750913461538459</v>
      </c>
      <c r="C8" s="86">
        <f>CAPM!F9</f>
        <v>0.11897855769230768</v>
      </c>
      <c r="D8" s="88">
        <v>6.3600000000000004E-2</v>
      </c>
      <c r="E8" s="106" t="s">
        <v>95</v>
      </c>
      <c r="F8" s="8">
        <v>-1440</v>
      </c>
      <c r="G8">
        <v>-100</v>
      </c>
      <c r="H8">
        <v>-4</v>
      </c>
    </row>
    <row r="9" spans="1:8" ht="15.75" x14ac:dyDescent="0.25">
      <c r="A9" s="15" t="s">
        <v>45</v>
      </c>
      <c r="B9" s="19">
        <f>310/8195</f>
        <v>3.7827943868212324E-2</v>
      </c>
      <c r="C9" s="86">
        <f>17/363.87</f>
        <v>4.6719982411300737E-2</v>
      </c>
      <c r="D9" s="40">
        <f>(3000000/1000000)/D6</f>
        <v>6.5645514223194746E-3</v>
      </c>
      <c r="E9" t="s">
        <v>97</v>
      </c>
      <c r="F9">
        <v>204.89</v>
      </c>
      <c r="G9">
        <v>5.55</v>
      </c>
      <c r="H9">
        <v>2.2200000000000002</v>
      </c>
    </row>
    <row r="10" spans="1:8" ht="15.75" x14ac:dyDescent="0.25">
      <c r="A10" s="15" t="s">
        <v>46</v>
      </c>
      <c r="B10" s="89">
        <v>0.05</v>
      </c>
      <c r="C10" s="90">
        <v>5.5E-2</v>
      </c>
      <c r="D10" s="40">
        <v>3.5999999999999997E-2</v>
      </c>
      <c r="E10" t="s">
        <v>96</v>
      </c>
      <c r="F10" s="20">
        <f>F5+F6*(1-F7)+F8-F9</f>
        <v>4420</v>
      </c>
      <c r="G10" s="20">
        <f>G5+G6*(1-G7)+G8-G9</f>
        <v>39.500000000000014</v>
      </c>
      <c r="H10" s="20">
        <f>H5+H6*(1-H7)+H8-H9</f>
        <v>250.00000000000003</v>
      </c>
    </row>
    <row r="11" spans="1:8" ht="15.75" x14ac:dyDescent="0.25">
      <c r="A11" s="15" t="s">
        <v>47</v>
      </c>
      <c r="B11" s="19">
        <v>0.28050000000000003</v>
      </c>
      <c r="C11" s="86">
        <v>0.35</v>
      </c>
      <c r="D11" s="40">
        <v>0.2601</v>
      </c>
    </row>
    <row r="12" spans="1:8" ht="15.75" x14ac:dyDescent="0.25">
      <c r="A12" s="15" t="s">
        <v>48</v>
      </c>
      <c r="B12" s="86">
        <v>88.25</v>
      </c>
      <c r="C12" s="86">
        <v>22.64</v>
      </c>
      <c r="D12" s="40">
        <v>65.319999999999993</v>
      </c>
    </row>
    <row r="13" spans="1:8" ht="15.75" x14ac:dyDescent="0.25">
      <c r="A13" s="16" t="s">
        <v>57</v>
      </c>
      <c r="B13" s="19">
        <f>B12*B7</f>
        <v>37987.212500000001</v>
      </c>
      <c r="C13" s="86">
        <f>C12*C7</f>
        <v>982.46280000000013</v>
      </c>
      <c r="D13" s="87">
        <f>D12*D7</f>
        <v>10189.919999999998</v>
      </c>
      <c r="E13" t="s">
        <v>96</v>
      </c>
    </row>
    <row r="14" spans="1:8" ht="15.75" x14ac:dyDescent="0.25">
      <c r="A14" s="17" t="s">
        <v>49</v>
      </c>
      <c r="B14" s="86">
        <f>B13/B15</f>
        <v>0.82255072772877658</v>
      </c>
      <c r="C14" s="86">
        <f>C13/C15</f>
        <v>0.72973250001782619</v>
      </c>
      <c r="D14" s="87">
        <f>D13/D15</f>
        <v>0.95707678840453392</v>
      </c>
    </row>
    <row r="15" spans="1:8" ht="15.75" x14ac:dyDescent="0.25">
      <c r="A15" s="17" t="s">
        <v>60</v>
      </c>
      <c r="B15" s="86">
        <f>B6+B13</f>
        <v>46182.212500000001</v>
      </c>
      <c r="C15" s="86">
        <f>C13+C6</f>
        <v>1346.3328000000001</v>
      </c>
      <c r="D15" s="87">
        <f>D13+D6</f>
        <v>10646.919999999998</v>
      </c>
    </row>
    <row r="16" spans="1:8" x14ac:dyDescent="0.25">
      <c r="A16" s="13" t="s">
        <v>50</v>
      </c>
      <c r="B16" s="86"/>
      <c r="C16" s="86"/>
      <c r="D16" s="40"/>
    </row>
    <row r="17" spans="1:5" ht="15.75" x14ac:dyDescent="0.25">
      <c r="A17" s="18" t="s">
        <v>51</v>
      </c>
      <c r="B17" s="86"/>
      <c r="C17" s="86"/>
      <c r="D17" s="86"/>
    </row>
    <row r="18" spans="1:5" ht="15.75" x14ac:dyDescent="0.25">
      <c r="A18" s="14"/>
      <c r="B18" s="86"/>
      <c r="C18" s="86"/>
      <c r="D18" s="86"/>
    </row>
    <row r="19" spans="1:5" ht="15.75" x14ac:dyDescent="0.25">
      <c r="A19" s="14" t="s">
        <v>52</v>
      </c>
      <c r="B19" s="91">
        <f>((B8*B14)+((B9*(1-B11)*B5)))</f>
        <v>0.15083994118570479</v>
      </c>
      <c r="C19" s="91">
        <f t="shared" ref="C19:D19" si="0">((C8*C14)+((C9*(1-C11)*C5)))</f>
        <v>9.5030000702906542E-2</v>
      </c>
      <c r="D19" s="91">
        <f t="shared" si="0"/>
        <v>6.1078566571365248E-2</v>
      </c>
    </row>
    <row r="20" spans="1:5" ht="15.75" x14ac:dyDescent="0.25">
      <c r="A20" s="14"/>
      <c r="B20" s="86"/>
      <c r="C20" s="86"/>
      <c r="D20" s="86"/>
    </row>
    <row r="21" spans="1:5" ht="15.75" x14ac:dyDescent="0.25">
      <c r="A21" s="14" t="s">
        <v>53</v>
      </c>
      <c r="B21" s="19">
        <f>(B4*(1+B10))/(B19-B10)</f>
        <v>46023.430254220686</v>
      </c>
      <c r="C21" s="19">
        <f t="shared" ref="C21:D21" si="1">(C4*(1+C10))/(C19-C10)</f>
        <v>1041.0317079253559</v>
      </c>
      <c r="D21" s="19">
        <f t="shared" si="1"/>
        <v>10327.5440110571</v>
      </c>
    </row>
    <row r="22" spans="1:5" ht="15.75" x14ac:dyDescent="0.25">
      <c r="A22" s="14"/>
    </row>
    <row r="23" spans="1:5" ht="15.75" x14ac:dyDescent="0.25">
      <c r="A23" s="14" t="s">
        <v>54</v>
      </c>
      <c r="B23" s="20">
        <f>B21-B6</f>
        <v>37828.430254220686</v>
      </c>
      <c r="C23" s="20">
        <f t="shared" ref="C23:D23" si="2">C21-C6</f>
        <v>677.16170792535593</v>
      </c>
      <c r="D23" s="20">
        <f t="shared" si="2"/>
        <v>9870.5440110570999</v>
      </c>
    </row>
    <row r="24" spans="1:5" ht="15.75" x14ac:dyDescent="0.25">
      <c r="A24" s="14" t="s">
        <v>55</v>
      </c>
      <c r="B24" s="21">
        <f>B23/B7</f>
        <v>87.881124995285603</v>
      </c>
      <c r="C24" s="21">
        <f t="shared" ref="C24:D24" si="3">C23/C7</f>
        <v>15.604602095295677</v>
      </c>
      <c r="D24" s="21">
        <f t="shared" si="3"/>
        <v>63.272718019596795</v>
      </c>
      <c r="E24" s="33"/>
    </row>
    <row r="26" spans="1:5" ht="15.75" x14ac:dyDescent="0.25">
      <c r="A26" s="14" t="s">
        <v>59</v>
      </c>
      <c r="B26" s="105" t="s">
        <v>58</v>
      </c>
    </row>
  </sheetData>
  <hyperlinks>
    <hyperlink ref="B26" r:id="rId1" location="WACC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>
              <from>
                <xdr:col>0</xdr:col>
                <xdr:colOff>771525</xdr:colOff>
                <xdr:row>28</xdr:row>
                <xdr:rowOff>142875</xdr:rowOff>
              </from>
              <to>
                <xdr:col>5</xdr:col>
                <xdr:colOff>447675</xdr:colOff>
                <xdr:row>32</xdr:row>
                <xdr:rowOff>161925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topLeftCell="A18" workbookViewId="0">
      <selection activeCell="C29" sqref="C29:F35"/>
    </sheetView>
  </sheetViews>
  <sheetFormatPr defaultRowHeight="15" x14ac:dyDescent="0.25"/>
  <cols>
    <col min="2" max="2" width="33.85546875" customWidth="1"/>
    <col min="3" max="3" width="18" customWidth="1"/>
    <col min="4" max="4" width="15.85546875" customWidth="1"/>
    <col min="5" max="5" width="12.5703125" customWidth="1"/>
    <col min="6" max="6" width="16.140625" customWidth="1"/>
    <col min="7" max="7" width="16.85546875" customWidth="1"/>
    <col min="8" max="8" width="21.85546875" customWidth="1"/>
    <col min="9" max="9" width="14.85546875" customWidth="1"/>
  </cols>
  <sheetData>
    <row r="2" spans="2:10" ht="15.75" thickBot="1" x14ac:dyDescent="0.3">
      <c r="D2" t="s">
        <v>85</v>
      </c>
      <c r="E2" t="s">
        <v>22</v>
      </c>
      <c r="F2" t="s">
        <v>90</v>
      </c>
      <c r="G2" t="s">
        <v>86</v>
      </c>
      <c r="H2" t="s">
        <v>88</v>
      </c>
      <c r="I2" t="s">
        <v>89</v>
      </c>
      <c r="J2" s="5" t="s">
        <v>87</v>
      </c>
    </row>
    <row r="3" spans="2:10" x14ac:dyDescent="0.25">
      <c r="B3" s="44" t="s">
        <v>0</v>
      </c>
      <c r="C3" s="66" t="s">
        <v>2</v>
      </c>
      <c r="D3" s="96">
        <v>88.25</v>
      </c>
      <c r="E3" s="97">
        <f>SGR!B5</f>
        <v>4476</v>
      </c>
      <c r="F3" s="97">
        <f>SGR!B6</f>
        <v>1410</v>
      </c>
      <c r="G3" s="97">
        <f>(E3-F3)*1000000</f>
        <v>3066000000</v>
      </c>
      <c r="H3" s="97">
        <f>FCFF!B7</f>
        <v>430.45</v>
      </c>
      <c r="I3" s="98">
        <f>G3/H3</f>
        <v>7122778.4876292255</v>
      </c>
      <c r="J3" s="99">
        <f>D3/I3</f>
        <v>1.2389827951728637E-5</v>
      </c>
    </row>
    <row r="4" spans="2:10" x14ac:dyDescent="0.25">
      <c r="B4" s="45" t="s">
        <v>39</v>
      </c>
      <c r="C4" s="43" t="s">
        <v>36</v>
      </c>
      <c r="D4" s="93">
        <v>22.64</v>
      </c>
      <c r="E4" s="95">
        <f>SGR!C5</f>
        <v>64.751999999999995</v>
      </c>
      <c r="F4" s="95">
        <f>SGR!C6</f>
        <v>20.443000000000001</v>
      </c>
      <c r="G4" s="95">
        <f t="shared" ref="G4" si="0">(E4-F4)*1000000</f>
        <v>44309000</v>
      </c>
      <c r="H4" s="95">
        <f>FCFF!C7</f>
        <v>43.395000000000003</v>
      </c>
      <c r="I4" s="94">
        <f t="shared" ref="I4:I5" si="1">G4/H4</f>
        <v>1021062.334370319</v>
      </c>
      <c r="J4" s="100">
        <f t="shared" ref="J4:J5" si="2">D4/I4</f>
        <v>2.2172985172312626E-5</v>
      </c>
    </row>
    <row r="5" spans="2:10" ht="15.75" thickBot="1" x14ac:dyDescent="0.3">
      <c r="B5" s="46" t="s">
        <v>63</v>
      </c>
      <c r="C5" s="47" t="s">
        <v>62</v>
      </c>
      <c r="D5" s="101">
        <v>47.75</v>
      </c>
      <c r="E5" s="102">
        <f>SGR!D5</f>
        <v>24.6</v>
      </c>
      <c r="F5" s="102">
        <f>SGR!D6</f>
        <v>94.1</v>
      </c>
      <c r="G5" s="102">
        <f>(E5-F5)*1000000*(-1)</f>
        <v>69500000</v>
      </c>
      <c r="H5" s="102">
        <f>156.09*1000000</f>
        <v>156090000</v>
      </c>
      <c r="I5" s="103">
        <f t="shared" si="1"/>
        <v>0.44525594208469471</v>
      </c>
      <c r="J5" s="104">
        <f t="shared" si="2"/>
        <v>107.24169064748202</v>
      </c>
    </row>
    <row r="10" spans="2:10" x14ac:dyDescent="0.25">
      <c r="E10" s="92"/>
    </row>
    <row r="20" spans="3:6" x14ac:dyDescent="0.25">
      <c r="D20" t="s">
        <v>2</v>
      </c>
      <c r="E20" t="s">
        <v>36</v>
      </c>
      <c r="F20" t="s">
        <v>62</v>
      </c>
    </row>
    <row r="21" spans="3:6" x14ac:dyDescent="0.25">
      <c r="C21" t="s">
        <v>85</v>
      </c>
      <c r="D21">
        <v>88.25</v>
      </c>
      <c r="E21">
        <v>22.64</v>
      </c>
      <c r="F21">
        <v>47.75</v>
      </c>
    </row>
    <row r="22" spans="3:6" x14ac:dyDescent="0.25">
      <c r="C22" t="s">
        <v>22</v>
      </c>
      <c r="D22" s="76">
        <f>SGR!B5</f>
        <v>4476</v>
      </c>
      <c r="E22" s="76">
        <f>SGR!C5</f>
        <v>64.751999999999995</v>
      </c>
      <c r="F22" s="76">
        <f>SGR!D5</f>
        <v>24.6</v>
      </c>
    </row>
    <row r="23" spans="3:6" x14ac:dyDescent="0.25">
      <c r="C23" t="s">
        <v>90</v>
      </c>
      <c r="D23" s="76">
        <f>SGR!B6</f>
        <v>1410</v>
      </c>
      <c r="E23" s="76">
        <f>SGR!C6</f>
        <v>20.443000000000001</v>
      </c>
      <c r="F23" s="76">
        <f>SGR!D6</f>
        <v>94.1</v>
      </c>
    </row>
    <row r="24" spans="3:6" x14ac:dyDescent="0.25">
      <c r="C24" t="s">
        <v>86</v>
      </c>
      <c r="D24" s="76">
        <f>D22-D23</f>
        <v>3066</v>
      </c>
      <c r="E24" s="76">
        <f>E22-E23</f>
        <v>44.308999999999997</v>
      </c>
      <c r="F24" s="76">
        <f>ABS(F22-F23)</f>
        <v>69.5</v>
      </c>
    </row>
    <row r="25" spans="3:6" x14ac:dyDescent="0.25">
      <c r="C25" t="s">
        <v>88</v>
      </c>
      <c r="D25">
        <f>FCFF!B7</f>
        <v>430.45</v>
      </c>
      <c r="E25">
        <f>FCFF!C7</f>
        <v>43.395000000000003</v>
      </c>
      <c r="F25">
        <f>FCFF!D7</f>
        <v>156</v>
      </c>
    </row>
    <row r="26" spans="3:6" x14ac:dyDescent="0.25">
      <c r="C26" t="s">
        <v>89</v>
      </c>
      <c r="D26">
        <f>D24/D25</f>
        <v>7.1227784876292253</v>
      </c>
      <c r="E26">
        <f>E24/E25</f>
        <v>1.0210623343703191</v>
      </c>
      <c r="F26">
        <f>F24/F25</f>
        <v>0.44551282051282054</v>
      </c>
    </row>
    <row r="27" spans="3:6" x14ac:dyDescent="0.25">
      <c r="C27" t="s">
        <v>87</v>
      </c>
      <c r="D27">
        <f>D21/D26</f>
        <v>12.389827951728636</v>
      </c>
      <c r="E27">
        <f>E21/E26</f>
        <v>22.172985172312625</v>
      </c>
      <c r="F27">
        <f>F21/F26</f>
        <v>107.17985611510791</v>
      </c>
    </row>
    <row r="29" spans="3:6" x14ac:dyDescent="0.25">
      <c r="D29" t="str">
        <f>D20</f>
        <v>LYB</v>
      </c>
      <c r="E29" t="str">
        <f>E20</f>
        <v>GLT</v>
      </c>
      <c r="F29" t="str">
        <f>F20</f>
        <v>FNV</v>
      </c>
    </row>
    <row r="30" spans="3:6" x14ac:dyDescent="0.25">
      <c r="C30" t="s">
        <v>98</v>
      </c>
      <c r="D30">
        <f>D21</f>
        <v>88.25</v>
      </c>
      <c r="E30">
        <f>E21</f>
        <v>22.64</v>
      </c>
      <c r="F30">
        <f>F21</f>
        <v>47.75</v>
      </c>
    </row>
    <row r="31" spans="3:6" x14ac:dyDescent="0.25">
      <c r="C31" t="s">
        <v>99</v>
      </c>
      <c r="D31">
        <f>DDM!B10</f>
        <v>72.48338050606597</v>
      </c>
      <c r="E31">
        <f>DDM!C10</f>
        <v>18.655016416252462</v>
      </c>
      <c r="F31">
        <f>DDM!D10</f>
        <v>51.73473127308619</v>
      </c>
    </row>
    <row r="32" spans="3:6" x14ac:dyDescent="0.25">
      <c r="C32" t="s">
        <v>100</v>
      </c>
      <c r="D32">
        <f>FCFF!B24</f>
        <v>87.881124995285603</v>
      </c>
      <c r="E32">
        <f>FCFF!C24</f>
        <v>15.604602095295677</v>
      </c>
      <c r="F32">
        <f>FCFF!D24</f>
        <v>63.272718019596795</v>
      </c>
    </row>
    <row r="33" spans="3:6" x14ac:dyDescent="0.25">
      <c r="C33" t="s">
        <v>101</v>
      </c>
      <c r="D33" s="107">
        <f>1-D34</f>
        <v>0.30000000000000004</v>
      </c>
      <c r="E33" s="107">
        <f>1-E34</f>
        <v>0.75</v>
      </c>
      <c r="F33" s="107">
        <f>1-F34</f>
        <v>0.5</v>
      </c>
    </row>
    <row r="34" spans="3:6" x14ac:dyDescent="0.25">
      <c r="C34" t="s">
        <v>102</v>
      </c>
      <c r="D34" s="107">
        <v>0.7</v>
      </c>
      <c r="E34" s="107">
        <v>0.25</v>
      </c>
      <c r="F34" s="107">
        <v>0.5</v>
      </c>
    </row>
    <row r="35" spans="3:6" x14ac:dyDescent="0.25">
      <c r="C35" t="s">
        <v>103</v>
      </c>
      <c r="D35">
        <f>(D31*D33)+(D32*D34)</f>
        <v>83.261801648519707</v>
      </c>
      <c r="E35">
        <f>(E31*E33)+(E32*E34)</f>
        <v>17.892412836013264</v>
      </c>
      <c r="F35">
        <f>(F31*F33)+(F32*F34)</f>
        <v>57.503724646341496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 Market Data</vt:lpstr>
      <vt:lpstr>CAPM</vt:lpstr>
      <vt:lpstr>SGR</vt:lpstr>
      <vt:lpstr>DDM</vt:lpstr>
      <vt:lpstr>FCFF</vt:lpstr>
      <vt:lpstr>PE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</dc:creator>
  <cp:lastModifiedBy>Niks</cp:lastModifiedBy>
  <dcterms:created xsi:type="dcterms:W3CDTF">2016-04-21T21:57:09Z</dcterms:created>
  <dcterms:modified xsi:type="dcterms:W3CDTF">2016-04-26T11:52:33Z</dcterms:modified>
</cp:coreProperties>
</file>