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0.xml" ContentType="application/vnd.openxmlformats-officedocument.drawing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1.xml" ContentType="application/vnd.openxmlformats-officedocument.drawing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drawings/drawing23.xml" ContentType="application/vnd.openxmlformats-officedocument.drawing+xml"/>
  <Override PartName="/xl/ctrlProps/ctrlProp24.xml" ContentType="application/vnd.ms-excel.controlproperties+xml"/>
  <Override PartName="/xl/drawings/drawing24.xml" ContentType="application/vnd.openxmlformats-officedocument.drawing+xml"/>
  <Override PartName="/xl/ctrlProps/ctrlProp25.xml" ContentType="application/vnd.ms-excel.controlproperties+xml"/>
  <Override PartName="/xl/drawings/drawing25.xml" ContentType="application/vnd.openxmlformats-officedocument.drawing+xml"/>
  <Override PartName="/xl/ctrlProps/ctrlProp26.xml" ContentType="application/vnd.ms-excel.controlproperties+xml"/>
  <Override PartName="/xl/drawings/drawing26.xml" ContentType="application/vnd.openxmlformats-officedocument.drawing+xml"/>
  <Override PartName="/xl/ctrlProps/ctrlProp27.xml" ContentType="application/vnd.ms-excel.controlproperties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ctrlProps/ctrlProp30.xml" ContentType="application/vnd.ms-excel.controlproperties+xml"/>
  <Override PartName="/xl/drawings/drawing30.xml" ContentType="application/vnd.openxmlformats-officedocument.drawing+xml"/>
  <Override PartName="/xl/ctrlProps/ctrlProp31.xml" ContentType="application/vnd.ms-excel.controlproperties+xml"/>
  <Override PartName="/xl/drawings/drawing31.xml" ContentType="application/vnd.openxmlformats-officedocument.drawing+xml"/>
  <Override PartName="/xl/ctrlProps/ctrlProp32.xml" ContentType="application/vnd.ms-excel.controlproperties+xml"/>
  <Override PartName="/xl/drawings/drawing32.xml" ContentType="application/vnd.openxmlformats-officedocument.drawing+xml"/>
  <Override PartName="/xl/ctrlProps/ctrlProp33.xml" ContentType="application/vnd.ms-excel.controlproperties+xml"/>
  <Override PartName="/xl/drawings/drawing33.xml" ContentType="application/vnd.openxmlformats-officedocument.drawing+xml"/>
  <Override PartName="/xl/ctrlProps/ctrlProp34.xml" ContentType="application/vnd.ms-excel.controlproperties+xml"/>
  <Override PartName="/xl/drawings/drawing34.xml" ContentType="application/vnd.openxmlformats-officedocument.drawing+xml"/>
  <Override PartName="/xl/ctrlProps/ctrlProp3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5.xml" ContentType="application/vnd.openxmlformats-officedocument.drawing+xml"/>
  <Override PartName="/xl/ctrlProps/ctrlProp36.xml" ContentType="application/vnd.ms-excel.controlproperties+xml"/>
  <Override PartName="/xl/drawings/drawing36.xml" ContentType="application/vnd.openxmlformats-officedocument.drawing+xml"/>
  <Override PartName="/xl/ctrlProps/ctrlProp37.xml" ContentType="application/vnd.ms-excel.controlproperties+xml"/>
  <Override PartName="/xl/drawings/drawing37.xml" ContentType="application/vnd.openxmlformats-officedocument.drawing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LIB\MLIBQ_DEV1\resource\pricing_toolkits\EmergingMarkets\"/>
    </mc:Choice>
  </mc:AlternateContent>
  <bookViews>
    <workbookView xWindow="0" yWindow="0" windowWidth="27330" windowHeight="10695" tabRatio="952" activeTab="19"/>
  </bookViews>
  <sheets>
    <sheet name="USD_DATA" sheetId="6" r:id="rId1"/>
    <sheet name="EUR_DATA" sheetId="31" r:id="rId2"/>
    <sheet name="JPY_DATA" sheetId="46" r:id="rId3"/>
    <sheet name="AED_DATA" sheetId="18" r:id="rId4"/>
    <sheet name="BRL_DATA" sheetId="59" r:id="rId5"/>
    <sheet name="CAD_DATA" sheetId="48" state="hidden" r:id="rId6"/>
    <sheet name="CNH_DATA" sheetId="50" state="hidden" r:id="rId7"/>
    <sheet name="CZK_DATA" sheetId="14" state="hidden" r:id="rId8"/>
    <sheet name="GBP_DATA" sheetId="58" state="hidden" r:id="rId9"/>
    <sheet name="HKD_DATA" sheetId="52" state="hidden" r:id="rId10"/>
    <sheet name="HUF_DATA" sheetId="15" state="hidden" r:id="rId11"/>
    <sheet name="ILS_DATA" sheetId="17" state="hidden" r:id="rId12"/>
    <sheet name="INR_DATA" sheetId="54" state="hidden" r:id="rId13"/>
    <sheet name="PLN_DATA" sheetId="12" state="hidden" r:id="rId14"/>
    <sheet name="RON_DATA" sheetId="16" state="hidden" r:id="rId15"/>
    <sheet name="RUB_DATA" sheetId="4" state="hidden" r:id="rId16"/>
    <sheet name="SAR_DATA" sheetId="19" state="hidden" r:id="rId17"/>
    <sheet name="TRY_DATA" sheetId="10" state="hidden" r:id="rId18"/>
    <sheet name="ZAR_DATA" sheetId="8" state="hidden" r:id="rId19"/>
    <sheet name="COVER" sheetId="37" r:id="rId20"/>
    <sheet name="STATIC DATA" sheetId="1" r:id="rId21"/>
    <sheet name="CFETS" sheetId="57" r:id="rId22"/>
    <sheet name="FX" sheetId="20" r:id="rId23"/>
    <sheet name="USD_CURVES" sheetId="3" r:id="rId24"/>
    <sheet name="EUR_CURVES" sheetId="32" r:id="rId25"/>
    <sheet name="JPY_CURVES" sheetId="47" r:id="rId26"/>
    <sheet name="AED_CURVES" sheetId="38" state="hidden" r:id="rId27"/>
    <sheet name="BRL_CURVES" sheetId="60" state="hidden" r:id="rId28"/>
    <sheet name="CAD_CURVES" sheetId="49" state="hidden" r:id="rId29"/>
    <sheet name="CNH_CURVES" sheetId="51" state="hidden" r:id="rId30"/>
    <sheet name="CZK_CURVES" sheetId="33" state="hidden" r:id="rId31"/>
    <sheet name="HKD_CURVES" sheetId="53" state="hidden" r:id="rId32"/>
    <sheet name="HUF_CURVES" sheetId="35" state="hidden" r:id="rId33"/>
    <sheet name="ILS_CURVES" sheetId="40" state="hidden" r:id="rId34"/>
    <sheet name="INR_CURVES" sheetId="56" state="hidden" r:id="rId35"/>
    <sheet name="PLN_CURVES" sheetId="34" state="hidden" r:id="rId36"/>
    <sheet name="RON_CURVES" sheetId="39" state="hidden" r:id="rId37"/>
    <sheet name="RUB_CURVES" sheetId="29" state="hidden" r:id="rId38"/>
    <sheet name="SAR_CURVES" sheetId="36" state="hidden" r:id="rId39"/>
    <sheet name="TRY_CURVES" sheetId="30" state="hidden" r:id="rId40"/>
    <sheet name="ZAR_CURVES" sheetId="9" state="hidden" r:id="rId41"/>
  </sheets>
  <definedNames>
    <definedName name="AED3M">AED_CURVES!$W$54</definedName>
    <definedName name="AED6M">AED_CURVES!$AH$54</definedName>
    <definedName name="AEDEURCSA">AED_CURVES!$CE$54</definedName>
    <definedName name="AEDJPYCSA">AED_CURVES!$CK$54</definedName>
    <definedName name="AEDOIS">AED_CURVES!$L$54</definedName>
    <definedName name="AEDXCCY">AED_CURVES!$BO$54</definedName>
    <definedName name="CAD1M">CAD_CURVES!$BD$54</definedName>
    <definedName name="CAD3M">CAD_CURVES!$W$54</definedName>
    <definedName name="CAD6M">CAD_CURVES!$AH$54</definedName>
    <definedName name="CADEURCSA">CAD_CURVES!$CE$54</definedName>
    <definedName name="CADJPYCSA">CAD_CURVES!$CK$54</definedName>
    <definedName name="CADOIS">CAD_CURVES!$L$54</definedName>
    <definedName name="CADXCCY">CAD_CURVES!$BO$54</definedName>
    <definedName name="CalculationTriggers">COVER!$4:$4</definedName>
    <definedName name="CNH3M">CNH_CURVES!$W$54</definedName>
    <definedName name="CNH6M">CNH_CURVES!$AH$54</definedName>
    <definedName name="CNHEURCSA">CNH_CURVES!$CE$54</definedName>
    <definedName name="CNHJPYCSA">CNH_CURVES!$CK$54</definedName>
    <definedName name="CNHOIS">CNH_CURVES!$L$54</definedName>
    <definedName name="CNHXCCY">CNH_CURVES!$BO$54</definedName>
    <definedName name="Currencies">COVER!$D$2:$DB$2</definedName>
    <definedName name="CurveCollection" localSheetId="23">USD_CURVES!$R$9</definedName>
    <definedName name="CZK1M">CZK_CURVES!$BD$54</definedName>
    <definedName name="CZK3M">CZK_CURVES!$AH$54</definedName>
    <definedName name="CZK6M">CZK_CURVES!$W$66</definedName>
    <definedName name="CZKEURCSA">CZK_CURVES!$CE$54</definedName>
    <definedName name="CZKJPYCSA">CZK_CURVES!$CK$54</definedName>
    <definedName name="CZKOIS">CZK_CURVES!$L$54</definedName>
    <definedName name="CZKXCCY">CZK_CURVES!$BO$54</definedName>
    <definedName name="EnableAED">COVER!$J$4</definedName>
    <definedName name="EnableBRL">COVER!$L$4</definedName>
    <definedName name="EnableCAD">COVER!$N$4</definedName>
    <definedName name="EnableCNH">COVER!$P$4</definedName>
    <definedName name="EnableCZK">COVER!$R$4</definedName>
    <definedName name="EnableEUR">COVER!$F$4</definedName>
    <definedName name="EnableHKD">COVER!$T$4</definedName>
    <definedName name="EnableHUF">COVER!$V$4</definedName>
    <definedName name="EnableILS">COVER!$X$4</definedName>
    <definedName name="EnableINR">COVER!$Z$4</definedName>
    <definedName name="EnableJPY">COVER!$H$4</definedName>
    <definedName name="EnablePLN">COVER!$AB$4</definedName>
    <definedName name="EnableRON">COVER!$AD$4</definedName>
    <definedName name="EnableRUB">COVER!$AF$4</definedName>
    <definedName name="EnableSAR">COVER!$AH$4</definedName>
    <definedName name="EnableTRY">COVER!$AJ$4</definedName>
    <definedName name="EnableUSD">COVER!$D$4</definedName>
    <definedName name="EnableZAR">COVER!$AL$4</definedName>
    <definedName name="EUR1M">EUR_CURVES!$BO$54</definedName>
    <definedName name="EUR3M">EUR_CURVES!$W$54</definedName>
    <definedName name="EUR6M">EUR_CURVES!$AH$54</definedName>
    <definedName name="EURJPYCSA">EUR_CURVES!$CP$54</definedName>
    <definedName name="EUROIS">EUR_CURVES!$L$54</definedName>
    <definedName name="EURUSD" localSheetId="4">FX!#REF!</definedName>
    <definedName name="EURUSD" localSheetId="8">FX!#REF!</definedName>
    <definedName name="EURXCCY">EUR_CURVES!$BZ$50</definedName>
    <definedName name="ExistsAED3M">COVER!$K$9</definedName>
    <definedName name="ExistsAED6M">COVER!$K$10</definedName>
    <definedName name="ExistsAEDEURCSA">COVER!$K$13</definedName>
    <definedName name="ExistsAEDJPYCSA">COVER!$K$14</definedName>
    <definedName name="ExistsAEDOIS">COVER!$K$7</definedName>
    <definedName name="ExistsAEDXCCY">COVER!$K$12</definedName>
    <definedName name="ExistsCAD1M">COVER!$O$8</definedName>
    <definedName name="ExistsCAD3M">COVER!$O$9</definedName>
    <definedName name="ExistsCAD6M">COVER!$O$10</definedName>
    <definedName name="ExistsCADEURCSA">COVER!$O$13</definedName>
    <definedName name="ExistsCADJPYCSA">COVER!$O$14</definedName>
    <definedName name="ExistsCADOIS">COVER!$O$7</definedName>
    <definedName name="ExistsCADXCCY">COVER!$O$12</definedName>
    <definedName name="ExistsCNH3M">COVER!$Q$9</definedName>
    <definedName name="ExistsCNH6M">COVER!$Q$10</definedName>
    <definedName name="ExistsCNHEURCSA">COVER!$Q$13</definedName>
    <definedName name="ExistsCNHJPYCSA">COVER!$Q$14</definedName>
    <definedName name="ExistsCNHOIS">COVER!$Q$7</definedName>
    <definedName name="ExistsCNHXCCY">COVER!$Q$12</definedName>
    <definedName name="ExistsCZK1M">COVER!$S$8</definedName>
    <definedName name="ExistsCZK3M">COVER!$S$9</definedName>
    <definedName name="ExistsCZK6M">COVER!$S$10</definedName>
    <definedName name="ExistsCZKEURCSA">COVER!$S$13</definedName>
    <definedName name="ExistsCZKJPYCSA">COVER!$S$14</definedName>
    <definedName name="ExistsCZKOIS">COVER!$S$7</definedName>
    <definedName name="ExistsCZKXCCY">COVER!$S$12</definedName>
    <definedName name="ExistsEUR1M">COVER!$G$8</definedName>
    <definedName name="ExistsEUR3M">COVER!$G$9</definedName>
    <definedName name="ExistsEUR6M">COVER!$G$10</definedName>
    <definedName name="ExistsEURJPYCSA">COVER!$G$14</definedName>
    <definedName name="ExistsEUROIS">COVER!$G$7</definedName>
    <definedName name="ExistsEURXCCY">COVER!$G$12</definedName>
    <definedName name="ExistsHKD1M">COVER!$U$8</definedName>
    <definedName name="ExistsHKD3M">COVER!$U$9</definedName>
    <definedName name="ExistsHKD6M">COVER!$U$10</definedName>
    <definedName name="ExistsHKDEURCSA">COVER!$U$13</definedName>
    <definedName name="ExistsHKDJPYCSA">COVER!$U$14</definedName>
    <definedName name="ExistsHKDOIS">COVER!$U$7</definedName>
    <definedName name="ExistsHKDXCCY">COVER!$U$12</definedName>
    <definedName name="ExistsHUF1M">COVER!$W$8</definedName>
    <definedName name="ExistsHUF3M">COVER!$W$9</definedName>
    <definedName name="ExistsHUF6M">COVER!$W$10</definedName>
    <definedName name="ExistsHUFJPYCSA">COVER!$W$14</definedName>
    <definedName name="ExistsHUFOIS">COVER!$W$7</definedName>
    <definedName name="ExistsHUFUSDCSA">COVER!$W$12</definedName>
    <definedName name="ExistsHUFXCCY">COVER!$W$13</definedName>
    <definedName name="ExistsILS3M">COVER!$Y$9</definedName>
    <definedName name="ExistsILS6M">COVER!$Y$10</definedName>
    <definedName name="ExistsILSEURCSA">COVER!$Y$13</definedName>
    <definedName name="ExistsILSJPYCSA">COVER!$Y$14</definedName>
    <definedName name="ExistsILSOIS">COVER!$Y$7</definedName>
    <definedName name="ExistsILSXCCY">COVER!$Y$12</definedName>
    <definedName name="ExistsINR3M">COVER!$AA$9</definedName>
    <definedName name="ExistsINR6M">COVER!$AA$10</definedName>
    <definedName name="ExistsINREURCSA">COVER!$AA$13</definedName>
    <definedName name="ExistsINRJPYCSA">COVER!$AA$14</definedName>
    <definedName name="ExistsINROIS">COVER!$AA$7</definedName>
    <definedName name="ExistsINRXCCY">COVER!$AA$12</definedName>
    <definedName name="ExistsJPY3M">COVER!$I$9</definedName>
    <definedName name="ExistsJPY6M">COVER!$I$10</definedName>
    <definedName name="ExistsJPYEURCSA">COVER!$I$13</definedName>
    <definedName name="ExistsJPYOIS">COVER!$I$7</definedName>
    <definedName name="ExistsJPYXCCY">COVER!$I$12</definedName>
    <definedName name="ExistsPLN1M">COVER!$AC$8</definedName>
    <definedName name="ExistsPLN3M">COVER!$AC$9</definedName>
    <definedName name="ExistsPLN6M">COVER!$AC$10</definedName>
    <definedName name="ExistsPLNEURCSA">COVER!$AC$13</definedName>
    <definedName name="ExistsPLNJPYCSA">COVER!$AC$14</definedName>
    <definedName name="ExistsPLNOIS">COVER!$AC$7</definedName>
    <definedName name="ExistsPLNXCCY">COVER!$AC$12</definedName>
    <definedName name="ExistsRON3M">COVER!$AE$9</definedName>
    <definedName name="ExistsRON6M">COVER!$AE$10</definedName>
    <definedName name="ExistsRONOIS">COVER!$AE$7</definedName>
    <definedName name="ExistsRONXCCY">COVER!$AE$13</definedName>
    <definedName name="ExistsRUB3M">COVER!$AG$9</definedName>
    <definedName name="ExistsRUB6M">COVER!$AG$10</definedName>
    <definedName name="ExistsRUBEURCSA">COVER!$AG$13</definedName>
    <definedName name="ExistsRUBJPYCSA">COVER!$AG$14</definedName>
    <definedName name="ExistsRUBOIS">COVER!$AG$7</definedName>
    <definedName name="ExistsRUBXCCY">COVER!$AG$12</definedName>
    <definedName name="ExistsSAR1M">COVER!$AI$8</definedName>
    <definedName name="ExistsSAR3M">COVER!$AI$9</definedName>
    <definedName name="ExistsSAR6M">COVER!$AI$10</definedName>
    <definedName name="ExistsSAREURCSA">COVER!$AI$13</definedName>
    <definedName name="ExistsSARJPYCSA">COVER!$AI$14</definedName>
    <definedName name="ExistsSAROIS">COVER!$AI$7</definedName>
    <definedName name="ExistsSARXCCY">COVER!$AI$12</definedName>
    <definedName name="ExistsTRY3M">COVER!$AK$9</definedName>
    <definedName name="ExistsTRY6M">COVER!$AK$10</definedName>
    <definedName name="ExistsTRYEURCSA">COVER!$AK$13</definedName>
    <definedName name="ExistsTRYJPYCSA">COVER!$AK$14</definedName>
    <definedName name="ExistsTRYOIS">COVER!$AK$7</definedName>
    <definedName name="ExistsTRYXCCY">COVER!$AK$12</definedName>
    <definedName name="ExistsUSD1M">COVER!$E$8</definedName>
    <definedName name="ExistsUSD3M">COVER!$E$9</definedName>
    <definedName name="ExistsUSD6M">COVER!$E$10</definedName>
    <definedName name="ExistsUSDEURCSA">COVER!$E$13</definedName>
    <definedName name="ExistsUSDJPYSCA">COVER!$E$14</definedName>
    <definedName name="ExistsUSDOIS">COVER!$E$7</definedName>
    <definedName name="ExistsZAR3M">COVER!$AM$9</definedName>
    <definedName name="ExistsZAR6M">COVER!$AM$10</definedName>
    <definedName name="ExistsZAREURCSA">COVER!$AM$13</definedName>
    <definedName name="ExistsZARJPYCSA">COVER!$AM$14</definedName>
    <definedName name="ExistsZAROIS">COVER!$AM$7</definedName>
    <definedName name="ExistsZARXCCY">COVER!$AM$12</definedName>
    <definedName name="HKD1M">HKD_CURVES!$BD$54</definedName>
    <definedName name="HKD3M">HKD_CURVES!$W$54</definedName>
    <definedName name="HKD6M">HKD_CURVES!$AH$54</definedName>
    <definedName name="HKDEURCSA">HKD_CURVES!$CE$54</definedName>
    <definedName name="HKDJPYCSA">HKD_CURVES!$CK$54</definedName>
    <definedName name="HKDOIS">HKD_CURVES!$L$54</definedName>
    <definedName name="HKDXCCY">HKD_CURVES!$BO$54</definedName>
    <definedName name="HUF1M">HUF_CURVES!$BD$54</definedName>
    <definedName name="HUF3M">HUF_CURVES!$AH$54</definedName>
    <definedName name="HUF6M">HUF_CURVES!$W$66</definedName>
    <definedName name="HUFJPYCSA">HUF_CURVES!$CK$54</definedName>
    <definedName name="HUFOIS">HUF_CURVES!$L$54</definedName>
    <definedName name="HUFUSDCSA">HUF_CURVES!$CE$54</definedName>
    <definedName name="HUFXCCY">HUF_CURVES!$BO$50</definedName>
    <definedName name="ILS3M">ILS_CURVES!$W$54</definedName>
    <definedName name="ILS6M">ILS_CURVES!$AH$54</definedName>
    <definedName name="ILSEURCSA">ILS_CURVES!$CE$54</definedName>
    <definedName name="ILSJPYCSA">ILS_CURVES!$CK$54</definedName>
    <definedName name="ILSOIS">ILS_CURVES!$L$54</definedName>
    <definedName name="ILSXCCY">ILS_CURVES!$BO$54</definedName>
    <definedName name="INR6M">INR_CURVES!$AH$54</definedName>
    <definedName name="INREURCSA">INR_CURVES!$CE$54</definedName>
    <definedName name="INRJPYCSA">INR_CURVES!$CK$54</definedName>
    <definedName name="INROIS">INR_CURVES!$L$54</definedName>
    <definedName name="INRXCCY">INR_CURVES!$BO$54</definedName>
    <definedName name="isUSDMarketDataLoaded" localSheetId="1">EUR_DATA!$B$4</definedName>
    <definedName name="isUSDMarketDataLoaded" localSheetId="2">JPY_DATA!$B$4</definedName>
    <definedName name="isUSDMarketDataLoaded">USD_DATA!$B$4</definedName>
    <definedName name="JPY3M">JPY_CURVES!$W$74</definedName>
    <definedName name="JPY6M">JPY_CURVES!$AH$54</definedName>
    <definedName name="JPYEURCSA">JPY_CURVES!$CP$54</definedName>
    <definedName name="JPYOIS">JPY_CURVES!$L$54</definedName>
    <definedName name="JPYXCCY">JPY_CURVES!$BZ$54</definedName>
    <definedName name="JumpToCurveAED">COVER!$J$24</definedName>
    <definedName name="JumpToCurveBRL">COVER!$L$24</definedName>
    <definedName name="JumpToCurveCAD">COVER!$N$24</definedName>
    <definedName name="JumpToCurveCNH">COVER!$P$24</definedName>
    <definedName name="JumpToCurveCZK">COVER!$R$24</definedName>
    <definedName name="JumpToCurveEUR">COVER!$F$24</definedName>
    <definedName name="JumpToCurveHKD">COVER!$T$24</definedName>
    <definedName name="JumpToCurveHUF">COVER!$V$24</definedName>
    <definedName name="JumpToCurveILS">COVER!$X$24</definedName>
    <definedName name="JumpToCurveINR">COVER!$Z$24</definedName>
    <definedName name="JumpToCurveJPY">COVER!$H$24</definedName>
    <definedName name="JumpToCurvePLN">COVER!$AB$24</definedName>
    <definedName name="JumpToCurveRON">COVER!$AD$24</definedName>
    <definedName name="JumpToCurveRUB">COVER!$AF$24</definedName>
    <definedName name="JumpToCurveSAR">COVER!$AH$24</definedName>
    <definedName name="JumpToCurveTRY">COVER!$AJ$24</definedName>
    <definedName name="JumpToCurveUSD">COVER!$D$24</definedName>
    <definedName name="JumpToCurveZAR">COVER!$AL$24</definedName>
    <definedName name="JumpToDataAED">COVER!$J$19</definedName>
    <definedName name="JumpToDataBRL">COVER!$L$19</definedName>
    <definedName name="JumpToDataCAD">COVER!$N$19</definedName>
    <definedName name="JumpToDataCNH">COVER!$P$19</definedName>
    <definedName name="JumpToDataCZK">COVER!$R$19</definedName>
    <definedName name="JumpToDataEUR">COVER!$F$19</definedName>
    <definedName name="JumpToDataHKD">COVER!$T$19</definedName>
    <definedName name="JumpToDataHUF">COVER!$V$19</definedName>
    <definedName name="JumpToDataILS">COVER!$X$19</definedName>
    <definedName name="JumpToDataINR">COVER!$Z$19</definedName>
    <definedName name="JumpToDataJPY">COVER!$H$19</definedName>
    <definedName name="JumpToDataPLN">COVER!$AB$19</definedName>
    <definedName name="JumpToDataRON">COVER!$AD$19</definedName>
    <definedName name="JumpToDataRUB">COVER!$AF$19</definedName>
    <definedName name="JumpToDataSAR">COVER!$AH$19</definedName>
    <definedName name="JumpToDataTRY">COVER!$AJ$19</definedName>
    <definedName name="JumpToDataUSD">COVER!$D$19</definedName>
    <definedName name="JumpToDataZAR">COVER!$AL$19</definedName>
    <definedName name="MissingDataPointsUSD" localSheetId="1">EUR_DATA!$E$4</definedName>
    <definedName name="MissingDataPointsUSD" localSheetId="2">JPY_DATA!$E$4</definedName>
    <definedName name="MissingDataPointsUSD">USD_DATA!$E$4</definedName>
    <definedName name="PLN1M">PLN_CURVES!$BD$54</definedName>
    <definedName name="PLN3M">PLN_CURVES!$AH$54</definedName>
    <definedName name="PLN6M">PLN_CURVES!$W$66</definedName>
    <definedName name="PLNEURCSA">PLN_CURVES!$CE$54</definedName>
    <definedName name="PLNJPYCSA">PLN_CURVES!$CK$54</definedName>
    <definedName name="PLNOIS">PLN_CURVES!$L$54</definedName>
    <definedName name="PLNXCCY">PLN_CURVES!$BO$54</definedName>
    <definedName name="RON3M">RON_CURVES!$W$54</definedName>
    <definedName name="RON6M">RON_CURVES!$AH$54</definedName>
    <definedName name="RONOIS">RON_CURVES!$L$54</definedName>
    <definedName name="RONXCCY">RON_CURVES!$BO$54</definedName>
    <definedName name="RUB3M">RUB_CURVES!$W$54</definedName>
    <definedName name="RUB6M">RUB_CURVES!$AH$54</definedName>
    <definedName name="RUBEURCSA">RUB_CURVES!$CE$54</definedName>
    <definedName name="RUBJPYCSA">RUB_CURVES!$CK$54</definedName>
    <definedName name="RUBOIS">RUB_CURVES!$L$54</definedName>
    <definedName name="RUBXCCY">RUB_CURVES!$BO$54</definedName>
    <definedName name="SAR1M">SAR_CURVES!$AS$54</definedName>
    <definedName name="SAR3M">SAR_CURVES!$W$54</definedName>
    <definedName name="SAR6M">SAR_CURVES!$AH$54</definedName>
    <definedName name="SAREURCSA">SAR_CURVES!$CE$54</definedName>
    <definedName name="SARJPYCSA">SAR_CURVES!$CK$54</definedName>
    <definedName name="SAROIS">SAR_CURVES!$L$54</definedName>
    <definedName name="SARXCCY">SAR_CURVES!$BO$54</definedName>
    <definedName name="StaticData.Today">'STATIC DATA'!$B$2</definedName>
    <definedName name="TRY3M">TRY_CURVES!$W$54</definedName>
    <definedName name="TRY6M">TRY_CURVES!$AH$54</definedName>
    <definedName name="TRYEURCSA">TRY_CURVES!$CE$54</definedName>
    <definedName name="TRYJPYCSA">TRY_CURVES!$CK$54</definedName>
    <definedName name="TRYOIS">TRY_CURVES!$L$54</definedName>
    <definedName name="TRYXCCY">TRY_CURVES!$BO$54</definedName>
    <definedName name="USD1M">USD_CURVES!$BJ$22</definedName>
    <definedName name="USD3M">USD_CURVES!$AI$28</definedName>
    <definedName name="USD6M">USD_CURVES!$BA$22</definedName>
    <definedName name="USDCNH">FX!$K$2</definedName>
    <definedName name="USDCNHCSA">USD_CURVES!$BX$46</definedName>
    <definedName name="USDEURCSA">USD_CURVES!$BP$46</definedName>
    <definedName name="USDHKD">FX!$L$2</definedName>
    <definedName name="USDINR">FX!$L$2:$L$2</definedName>
    <definedName name="USDJPYCSA">USD_CURVES!$BT$46</definedName>
    <definedName name="USDOIS">USD_CURVES!$R$28</definedName>
    <definedName name="USDRUB" localSheetId="4">FX!#REF!</definedName>
    <definedName name="USDRUB" localSheetId="8">FX!#REF!</definedName>
    <definedName name="USDTRY">FX!$H$2</definedName>
    <definedName name="USDZAR">FX!$I$2</definedName>
    <definedName name="ZAR_SWAP_FIX_FREQ">'STATIC DATA'!$AB$54</definedName>
    <definedName name="ZAR_SWAP_FLOAT_FREQ">'STATIC DATA'!$AB$56</definedName>
    <definedName name="ZAR_SWAP_FLOAT_FREQUENCY">'STATIC DATA'!$AB$56</definedName>
    <definedName name="ZAR3M">ZAR_CURVES!$W$54</definedName>
    <definedName name="ZAR6M">ZAR_CURVES!$AH$54</definedName>
    <definedName name="ZAREURCSA">ZAR_CURVES!$CE$54</definedName>
    <definedName name="ZARJPYCSA">ZAR_CURVES!$CK$54</definedName>
    <definedName name="ZAROIS">ZAR_CURVES!$L$54</definedName>
    <definedName name="ZARXCCY">ZAR_CURVES!$BO$54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2" i="37" l="1"/>
  <c r="AF48" i="6" l="1"/>
  <c r="AA48" i="6"/>
  <c r="V48" i="6"/>
  <c r="AF47" i="6"/>
  <c r="AA47" i="6"/>
  <c r="V47" i="6"/>
  <c r="AF46" i="6"/>
  <c r="AA46" i="6"/>
  <c r="V46" i="6"/>
  <c r="AF45" i="6"/>
  <c r="AA45" i="6"/>
  <c r="V45" i="6"/>
  <c r="AF44" i="6"/>
  <c r="AA44" i="6"/>
  <c r="V44" i="6"/>
  <c r="AF43" i="6"/>
  <c r="AA43" i="6"/>
  <c r="V43" i="6"/>
  <c r="AF42" i="6"/>
  <c r="AA42" i="6"/>
  <c r="V42" i="6"/>
  <c r="AF41" i="6"/>
  <c r="AA41" i="6"/>
  <c r="V41" i="6"/>
  <c r="AF40" i="6"/>
  <c r="AA40" i="6"/>
  <c r="V40" i="6"/>
  <c r="AF39" i="6"/>
  <c r="AA39" i="6"/>
  <c r="V39" i="6"/>
  <c r="AF38" i="6"/>
  <c r="AA38" i="6"/>
  <c r="V38" i="6"/>
  <c r="AF37" i="6"/>
  <c r="AA37" i="6"/>
  <c r="V37" i="6"/>
  <c r="AF36" i="6"/>
  <c r="AA36" i="6"/>
  <c r="V36" i="6"/>
  <c r="AF35" i="6"/>
  <c r="AA35" i="6"/>
  <c r="V35" i="6"/>
  <c r="AF34" i="6"/>
  <c r="AA34" i="6"/>
  <c r="V34" i="6"/>
  <c r="AF33" i="6"/>
  <c r="AA33" i="6"/>
  <c r="V33" i="6"/>
  <c r="AF32" i="6"/>
  <c r="AA32" i="6"/>
  <c r="V32" i="6"/>
  <c r="AF31" i="6"/>
  <c r="AA31" i="6"/>
  <c r="V31" i="6"/>
  <c r="L31" i="6"/>
  <c r="AF30" i="6"/>
  <c r="AA30" i="6"/>
  <c r="V30" i="6"/>
  <c r="L30" i="6"/>
  <c r="AF29" i="6"/>
  <c r="AA29" i="6"/>
  <c r="V29" i="6"/>
  <c r="L29" i="6"/>
  <c r="AF28" i="6"/>
  <c r="AA28" i="6"/>
  <c r="V28" i="6"/>
  <c r="L28" i="6"/>
  <c r="AF27" i="6"/>
  <c r="AA27" i="6"/>
  <c r="V27" i="6"/>
  <c r="L27" i="6"/>
  <c r="AF26" i="6"/>
  <c r="AA26" i="6"/>
  <c r="V26" i="6"/>
  <c r="L26" i="6"/>
  <c r="AF25" i="6"/>
  <c r="AA25" i="6"/>
  <c r="V25" i="6"/>
  <c r="L25" i="6"/>
  <c r="AF24" i="6"/>
  <c r="AA24" i="6"/>
  <c r="V24" i="6"/>
  <c r="L24" i="6"/>
  <c r="AF23" i="6"/>
  <c r="AA23" i="6"/>
  <c r="V23" i="6"/>
  <c r="L23" i="6"/>
  <c r="AF22" i="6"/>
  <c r="AA22" i="6"/>
  <c r="V22" i="6"/>
  <c r="L22" i="6"/>
  <c r="AF21" i="6"/>
  <c r="L21" i="6"/>
  <c r="AF20" i="6"/>
  <c r="O20" i="6"/>
  <c r="L20" i="6"/>
  <c r="AF19" i="6"/>
  <c r="L19" i="6"/>
  <c r="C12" i="6"/>
  <c r="C11" i="6"/>
  <c r="C10" i="6"/>
  <c r="C9" i="6"/>
  <c r="AL7" i="6"/>
  <c r="C7" i="6"/>
  <c r="AL3" i="6"/>
  <c r="BK73" i="9"/>
  <c r="S61" i="9"/>
  <c r="S60" i="9"/>
  <c r="S59" i="9"/>
  <c r="S58" i="9"/>
  <c r="S57" i="9"/>
  <c r="H57" i="9"/>
  <c r="H56" i="9"/>
  <c r="AZ55" i="9"/>
  <c r="AD55" i="9"/>
  <c r="H55" i="9"/>
  <c r="BK54" i="9"/>
  <c r="AZ53" i="9"/>
  <c r="AD53" i="9"/>
  <c r="BK52" i="9"/>
  <c r="AZ52" i="9"/>
  <c r="AD52" i="9"/>
  <c r="BK51" i="9"/>
  <c r="H51" i="9"/>
  <c r="BO50" i="9"/>
  <c r="AH50" i="9"/>
  <c r="W50" i="9"/>
  <c r="S50" i="9"/>
  <c r="L50" i="9"/>
  <c r="H50" i="9"/>
  <c r="S49" i="9"/>
  <c r="H49" i="9"/>
  <c r="BO48" i="9"/>
  <c r="AH48" i="9"/>
  <c r="S48" i="9"/>
  <c r="CK44" i="9"/>
  <c r="CE44" i="9"/>
  <c r="BO44" i="9"/>
  <c r="BK44" i="9"/>
  <c r="AZ44" i="9"/>
  <c r="AH44" i="9"/>
  <c r="AD44" i="9"/>
  <c r="BK43" i="9"/>
  <c r="AD43" i="9"/>
  <c r="S42" i="9"/>
  <c r="BZ41" i="9"/>
  <c r="BO41" i="9"/>
  <c r="AH41" i="9"/>
  <c r="W41" i="9"/>
  <c r="S41" i="9"/>
  <c r="L41" i="9"/>
  <c r="BZ40" i="9"/>
  <c r="BK40" i="9"/>
  <c r="AZ40" i="9"/>
  <c r="AD40" i="9"/>
  <c r="S40" i="9"/>
  <c r="CK38" i="9"/>
  <c r="CE38" i="9"/>
  <c r="BO38" i="9"/>
  <c r="AZ38" i="9"/>
  <c r="AZ29" i="9" s="1"/>
  <c r="AH38" i="9"/>
  <c r="AD38" i="9"/>
  <c r="W38" i="9"/>
  <c r="W48" i="9" s="1"/>
  <c r="L38" i="9"/>
  <c r="L48" i="9" s="1"/>
  <c r="BK37" i="9"/>
  <c r="AZ37" i="9"/>
  <c r="AD37" i="9"/>
  <c r="S36" i="9"/>
  <c r="BQ35" i="9"/>
  <c r="BQ34" i="9"/>
  <c r="S34" i="9"/>
  <c r="BQ33" i="9"/>
  <c r="S33" i="9"/>
  <c r="BQ32" i="9"/>
  <c r="Y32" i="9"/>
  <c r="BQ31" i="9"/>
  <c r="Y31" i="9"/>
  <c r="BQ30" i="9"/>
  <c r="BK30" i="9"/>
  <c r="AZ30" i="9"/>
  <c r="AD30" i="9"/>
  <c r="Y30" i="9"/>
  <c r="BQ29" i="9"/>
  <c r="BK29" i="9"/>
  <c r="AD29" i="9"/>
  <c r="Y29" i="9"/>
  <c r="S29" i="9"/>
  <c r="BQ28" i="9"/>
  <c r="Y28" i="9"/>
  <c r="S28" i="9"/>
  <c r="BQ27" i="9"/>
  <c r="Y27" i="9"/>
  <c r="H27" i="9"/>
  <c r="BQ26" i="9"/>
  <c r="Y26" i="9"/>
  <c r="N26" i="9"/>
  <c r="BQ25" i="9"/>
  <c r="Y25" i="9"/>
  <c r="N25" i="9"/>
  <c r="H25" i="9"/>
  <c r="BQ24" i="9"/>
  <c r="Y24" i="9"/>
  <c r="N24" i="9"/>
  <c r="H24" i="9"/>
  <c r="BQ23" i="9"/>
  <c r="AK23" i="9"/>
  <c r="AJ23" i="9"/>
  <c r="Y23" i="9"/>
  <c r="N23" i="9"/>
  <c r="H23" i="9"/>
  <c r="AK22" i="9"/>
  <c r="AJ22" i="9"/>
  <c r="Y22" i="9"/>
  <c r="N22" i="9"/>
  <c r="BV21" i="9"/>
  <c r="AK21" i="9"/>
  <c r="AJ21" i="9"/>
  <c r="Y21" i="9"/>
  <c r="N21" i="9"/>
  <c r="BV20" i="9"/>
  <c r="AK20" i="9"/>
  <c r="AJ20" i="9"/>
  <c r="Y20" i="9"/>
  <c r="N20" i="9"/>
  <c r="AK19" i="9"/>
  <c r="AJ19" i="9"/>
  <c r="Y19" i="9"/>
  <c r="N19" i="9"/>
  <c r="AK18" i="9"/>
  <c r="AJ18" i="9"/>
  <c r="Y18" i="9"/>
  <c r="N18" i="9"/>
  <c r="AK17" i="9"/>
  <c r="AJ17" i="9"/>
  <c r="Y17" i="9"/>
  <c r="N17" i="9"/>
  <c r="BK16" i="9"/>
  <c r="AK16" i="9"/>
  <c r="AJ16" i="9"/>
  <c r="Y16" i="9"/>
  <c r="S16" i="9"/>
  <c r="N16" i="9"/>
  <c r="H16" i="9"/>
  <c r="AK15" i="9"/>
  <c r="AJ15" i="9"/>
  <c r="Y15" i="9"/>
  <c r="N15" i="9"/>
  <c r="H15" i="9"/>
  <c r="AK14" i="9"/>
  <c r="AJ14" i="9"/>
  <c r="Y14" i="9"/>
  <c r="N14" i="9"/>
  <c r="BK13" i="9"/>
  <c r="AK13" i="9"/>
  <c r="AJ13" i="9"/>
  <c r="Y13" i="9"/>
  <c r="S13" i="9"/>
  <c r="N13" i="9"/>
  <c r="H13" i="9"/>
  <c r="AZ12" i="9"/>
  <c r="AO12" i="9"/>
  <c r="AK12" i="9"/>
  <c r="AJ12" i="9"/>
  <c r="AD12" i="9"/>
  <c r="Y12" i="9"/>
  <c r="N12" i="9"/>
  <c r="AK11" i="9"/>
  <c r="AJ11" i="9"/>
  <c r="Y11" i="9"/>
  <c r="N11" i="9"/>
  <c r="AK10" i="9"/>
  <c r="AJ10" i="9"/>
  <c r="Y10" i="9"/>
  <c r="N10" i="9"/>
  <c r="AK9" i="9"/>
  <c r="AJ9" i="9"/>
  <c r="Y9" i="9"/>
  <c r="N9" i="9"/>
  <c r="AK8" i="9"/>
  <c r="AJ8" i="9"/>
  <c r="Y8" i="9"/>
  <c r="N8" i="9"/>
  <c r="AR1" i="3"/>
  <c r="CS7" i="9" a="1"/>
  <c r="AR6" i="3" l="1"/>
  <c r="AH14" i="9"/>
  <c r="AH22" i="9"/>
  <c r="AH18" i="9"/>
  <c r="C8" i="6"/>
  <c r="AH21" i="9"/>
  <c r="AH20" i="9"/>
  <c r="AH9" i="9"/>
  <c r="AH15" i="9"/>
  <c r="AH23" i="9"/>
  <c r="AH10" i="9"/>
  <c r="AH12" i="9"/>
  <c r="AH16" i="9"/>
  <c r="AH8" i="9"/>
  <c r="AH13" i="9"/>
  <c r="AH17" i="9"/>
  <c r="AH19" i="9"/>
  <c r="AH11" i="9"/>
  <c r="CV103" i="9"/>
  <c r="CV101" i="9"/>
  <c r="CV99" i="9"/>
  <c r="CV97" i="9"/>
  <c r="CV95" i="9"/>
  <c r="CV93" i="9"/>
  <c r="CV91" i="9"/>
  <c r="CV89" i="9"/>
  <c r="CV87" i="9"/>
  <c r="CV83" i="9"/>
  <c r="CV81" i="9"/>
  <c r="CV79" i="9"/>
  <c r="CV77" i="9"/>
  <c r="CV73" i="9"/>
  <c r="CS72" i="9"/>
  <c r="CS68" i="9"/>
  <c r="CS66" i="9"/>
  <c r="CS62" i="9"/>
  <c r="CV58" i="9"/>
  <c r="CU103" i="9"/>
  <c r="CU101" i="9"/>
  <c r="CU99" i="9"/>
  <c r="CU97" i="9"/>
  <c r="CU95" i="9"/>
  <c r="CU93" i="9"/>
  <c r="CU91" i="9"/>
  <c r="CU89" i="9"/>
  <c r="CU87" i="9"/>
  <c r="CU85" i="9"/>
  <c r="CU83" i="9"/>
  <c r="CU81" i="9"/>
  <c r="CU79" i="9"/>
  <c r="CU77" i="9"/>
  <c r="CU75" i="9"/>
  <c r="CU73" i="9"/>
  <c r="CV71" i="9"/>
  <c r="CV69" i="9"/>
  <c r="CV67" i="9"/>
  <c r="CV65" i="9"/>
  <c r="CV63" i="9"/>
  <c r="CV61" i="9"/>
  <c r="CS60" i="9"/>
  <c r="CU58" i="9"/>
  <c r="CV56" i="9"/>
  <c r="CT103" i="9"/>
  <c r="CT99" i="9"/>
  <c r="CT97" i="9"/>
  <c r="CT95" i="9"/>
  <c r="CT93" i="9"/>
  <c r="CT79" i="9"/>
  <c r="CT75" i="9"/>
  <c r="CU71" i="9"/>
  <c r="CU69" i="9"/>
  <c r="CU67" i="9"/>
  <c r="CU65" i="9"/>
  <c r="CU63" i="9"/>
  <c r="CU61" i="9"/>
  <c r="CT101" i="9"/>
  <c r="CT91" i="9"/>
  <c r="CT89" i="9"/>
  <c r="CT87" i="9"/>
  <c r="CT85" i="9"/>
  <c r="CT83" i="9"/>
  <c r="CT81" i="9"/>
  <c r="CT77" i="9"/>
  <c r="CT73" i="9"/>
  <c r="CT58" i="9"/>
  <c r="CU56" i="9"/>
  <c r="CS103" i="9"/>
  <c r="CS101" i="9"/>
  <c r="CS99" i="9"/>
  <c r="CS97" i="9"/>
  <c r="CS95" i="9"/>
  <c r="CS93" i="9"/>
  <c r="CS91" i="9"/>
  <c r="CS89" i="9"/>
  <c r="CS87" i="9"/>
  <c r="CS85" i="9"/>
  <c r="CS83" i="9"/>
  <c r="CS81" i="9"/>
  <c r="CS79" i="9"/>
  <c r="CS77" i="9"/>
  <c r="CS75" i="9"/>
  <c r="CS73" i="9"/>
  <c r="CT71" i="9"/>
  <c r="CT69" i="9"/>
  <c r="CT67" i="9"/>
  <c r="CT65" i="9"/>
  <c r="CT63" i="9"/>
  <c r="CT61" i="9"/>
  <c r="CV59" i="9"/>
  <c r="CS58" i="9"/>
  <c r="CT56" i="9"/>
  <c r="CS56" i="9"/>
  <c r="CV55" i="9"/>
  <c r="CT59" i="9"/>
  <c r="CV57" i="9"/>
  <c r="CU55" i="9"/>
  <c r="CS92" i="9"/>
  <c r="CS84" i="9"/>
  <c r="CS78" i="9"/>
  <c r="CS74" i="9"/>
  <c r="CT70" i="9"/>
  <c r="CT66" i="9"/>
  <c r="CT62" i="9"/>
  <c r="CV75" i="9"/>
  <c r="CS57" i="9"/>
  <c r="CV102" i="9"/>
  <c r="CV100" i="9"/>
  <c r="CV98" i="9"/>
  <c r="CV96" i="9"/>
  <c r="CV94" i="9"/>
  <c r="CV92" i="9"/>
  <c r="CV90" i="9"/>
  <c r="CV88" i="9"/>
  <c r="CV86" i="9"/>
  <c r="CV84" i="9"/>
  <c r="CV82" i="9"/>
  <c r="CV80" i="9"/>
  <c r="CV78" i="9"/>
  <c r="CV76" i="9"/>
  <c r="CV74" i="9"/>
  <c r="CS71" i="9"/>
  <c r="CS69" i="9"/>
  <c r="CS67" i="9"/>
  <c r="CS65" i="9"/>
  <c r="CS63" i="9"/>
  <c r="CS61" i="9"/>
  <c r="CU59" i="9"/>
  <c r="CU102" i="9"/>
  <c r="CU100" i="9"/>
  <c r="CU98" i="9"/>
  <c r="CU96" i="9"/>
  <c r="CU94" i="9"/>
  <c r="CU92" i="9"/>
  <c r="CU90" i="9"/>
  <c r="CU88" i="9"/>
  <c r="CU86" i="9"/>
  <c r="CU84" i="9"/>
  <c r="CU82" i="9"/>
  <c r="CU80" i="9"/>
  <c r="CU78" i="9"/>
  <c r="CU76" i="9"/>
  <c r="CU74" i="9"/>
  <c r="CV72" i="9"/>
  <c r="CV70" i="9"/>
  <c r="CV68" i="9"/>
  <c r="CV66" i="9"/>
  <c r="CV64" i="9"/>
  <c r="CV62" i="9"/>
  <c r="CT102" i="9"/>
  <c r="CT100" i="9"/>
  <c r="CT98" i="9"/>
  <c r="CT96" i="9"/>
  <c r="CT94" i="9"/>
  <c r="CT92" i="9"/>
  <c r="CT90" i="9"/>
  <c r="CT88" i="9"/>
  <c r="CT86" i="9"/>
  <c r="CT84" i="9"/>
  <c r="CT82" i="9"/>
  <c r="CT80" i="9"/>
  <c r="CT78" i="9"/>
  <c r="CT76" i="9"/>
  <c r="CT74" i="9"/>
  <c r="CU72" i="9"/>
  <c r="CU70" i="9"/>
  <c r="CU68" i="9"/>
  <c r="CU66" i="9"/>
  <c r="CU64" i="9"/>
  <c r="CU62" i="9"/>
  <c r="CV60" i="9"/>
  <c r="CS59" i="9"/>
  <c r="CU57" i="9"/>
  <c r="CT55" i="9"/>
  <c r="CS102" i="9"/>
  <c r="CS100" i="9"/>
  <c r="CS98" i="9"/>
  <c r="CS96" i="9"/>
  <c r="CS94" i="9"/>
  <c r="CS90" i="9"/>
  <c r="CS88" i="9"/>
  <c r="CS86" i="9"/>
  <c r="CS82" i="9"/>
  <c r="CS80" i="9"/>
  <c r="CS76" i="9"/>
  <c r="CT72" i="9"/>
  <c r="CT68" i="9"/>
  <c r="CT64" i="9"/>
  <c r="CU60" i="9"/>
  <c r="CT57" i="9"/>
  <c r="CS55" i="9"/>
  <c r="CV85" i="9"/>
  <c r="CS70" i="9"/>
  <c r="CS64" i="9"/>
  <c r="CT60" i="9"/>
  <c r="CS54" i="9"/>
  <c r="CT54" i="9"/>
  <c r="CV54" i="9"/>
  <c r="CU54" i="9"/>
  <c r="CU53" i="9"/>
  <c r="CS52" i="9"/>
  <c r="CV48" i="9"/>
  <c r="CS46" i="9"/>
  <c r="CS48" i="9"/>
  <c r="CT47" i="9"/>
  <c r="CT45" i="9"/>
  <c r="CS47" i="9"/>
  <c r="CS45" i="9"/>
  <c r="CV46" i="9"/>
  <c r="CT53" i="9"/>
  <c r="CU48" i="9"/>
  <c r="CV47" i="9"/>
  <c r="CV45" i="9"/>
  <c r="CS53" i="9"/>
  <c r="CV50" i="9"/>
  <c r="CT48" i="9"/>
  <c r="CU47" i="9"/>
  <c r="CU45" i="9"/>
  <c r="CU50" i="9"/>
  <c r="CT46" i="9"/>
  <c r="CV51" i="9"/>
  <c r="CT50" i="9"/>
  <c r="CV49" i="9"/>
  <c r="CV52" i="9"/>
  <c r="CU51" i="9"/>
  <c r="CS50" i="9"/>
  <c r="CU49" i="9"/>
  <c r="CU52" i="9"/>
  <c r="CT51" i="9"/>
  <c r="CT49" i="9"/>
  <c r="CU46" i="9"/>
  <c r="CV53" i="9"/>
  <c r="CT52" i="9"/>
  <c r="CS51" i="9"/>
  <c r="CS49" i="9"/>
  <c r="CV44" i="9"/>
  <c r="CS43" i="9"/>
  <c r="CV41" i="9"/>
  <c r="CS39" i="9"/>
  <c r="CS37" i="9"/>
  <c r="CV34" i="9"/>
  <c r="CV33" i="9"/>
  <c r="CV32" i="9"/>
  <c r="CU28" i="9"/>
  <c r="CS26" i="9"/>
  <c r="CV24" i="9"/>
  <c r="CV23" i="9"/>
  <c r="CT20" i="9"/>
  <c r="CV19" i="9"/>
  <c r="CU15" i="9"/>
  <c r="CT12" i="9"/>
  <c r="CS8" i="9"/>
  <c r="CU7" i="9"/>
  <c r="CS12" i="9"/>
  <c r="CV11" i="9"/>
  <c r="CU44" i="9"/>
  <c r="CU41" i="9"/>
  <c r="CV38" i="9"/>
  <c r="CV35" i="9"/>
  <c r="CU34" i="9"/>
  <c r="CU33" i="9"/>
  <c r="CU32" i="9"/>
  <c r="CV29" i="9"/>
  <c r="CT28" i="9"/>
  <c r="CU24" i="9"/>
  <c r="CU23" i="9"/>
  <c r="CS20" i="9"/>
  <c r="CU19" i="9"/>
  <c r="CV18" i="9"/>
  <c r="CT15" i="9"/>
  <c r="CV14" i="9"/>
  <c r="CT44" i="9"/>
  <c r="CT41" i="9"/>
  <c r="CU38" i="9"/>
  <c r="CU35" i="9"/>
  <c r="CT34" i="9"/>
  <c r="CT33" i="9"/>
  <c r="CT32" i="9"/>
  <c r="CV31" i="9"/>
  <c r="CU29" i="9"/>
  <c r="CS28" i="9"/>
  <c r="CV27" i="9"/>
  <c r="CV25" i="9"/>
  <c r="CT24" i="9"/>
  <c r="CT23" i="9"/>
  <c r="CT19" i="9"/>
  <c r="CU18" i="9"/>
  <c r="CV17" i="9"/>
  <c r="CS15" i="9"/>
  <c r="CU14" i="9"/>
  <c r="CV13" i="9"/>
  <c r="CS44" i="9"/>
  <c r="CV42" i="9"/>
  <c r="CS41" i="9"/>
  <c r="CT38" i="9"/>
  <c r="CT35" i="9"/>
  <c r="CS34" i="9"/>
  <c r="CS33" i="9"/>
  <c r="CS32" i="9"/>
  <c r="CU31" i="9"/>
  <c r="CT29" i="9"/>
  <c r="CU27" i="9"/>
  <c r="CU25" i="9"/>
  <c r="CS24" i="9"/>
  <c r="CS23" i="9"/>
  <c r="CV22" i="9"/>
  <c r="CS19" i="9"/>
  <c r="CT18" i="9"/>
  <c r="CU17" i="9"/>
  <c r="CV16" i="9"/>
  <c r="CT14" i="9"/>
  <c r="CU13" i="9"/>
  <c r="CU11" i="9"/>
  <c r="CV10" i="9"/>
  <c r="CU42" i="9"/>
  <c r="CV40" i="9"/>
  <c r="CS38" i="9"/>
  <c r="CV36" i="9"/>
  <c r="CS35" i="9"/>
  <c r="CT31" i="9"/>
  <c r="CV30" i="9"/>
  <c r="CS29" i="9"/>
  <c r="CT27" i="9"/>
  <c r="CT25" i="9"/>
  <c r="CU22" i="9"/>
  <c r="CV21" i="9"/>
  <c r="CS18" i="9"/>
  <c r="CT17" i="9"/>
  <c r="CU16" i="9"/>
  <c r="CS14" i="9"/>
  <c r="CT13" i="9"/>
  <c r="CT11" i="9"/>
  <c r="CU10" i="9"/>
  <c r="CV9" i="9"/>
  <c r="CU8" i="9"/>
  <c r="CV7" i="9"/>
  <c r="CV43" i="9"/>
  <c r="CT42" i="9"/>
  <c r="CU40" i="9"/>
  <c r="CV39" i="9"/>
  <c r="CV37" i="9"/>
  <c r="CU36" i="9"/>
  <c r="CS31" i="9"/>
  <c r="CU30" i="9"/>
  <c r="CS27" i="9"/>
  <c r="CV26" i="9"/>
  <c r="CS25" i="9"/>
  <c r="CT22" i="9"/>
  <c r="CU21" i="9"/>
  <c r="CS17" i="9"/>
  <c r="CT16" i="9"/>
  <c r="CS13" i="9"/>
  <c r="CS11" i="9"/>
  <c r="CT10" i="9"/>
  <c r="CU9" i="9"/>
  <c r="CV8" i="9"/>
  <c r="CT7" i="9"/>
  <c r="CS7" i="9"/>
  <c r="CU43" i="9"/>
  <c r="CS42" i="9"/>
  <c r="CT40" i="9"/>
  <c r="CU39" i="9"/>
  <c r="CU37" i="9"/>
  <c r="CT36" i="9"/>
  <c r="CT30" i="9"/>
  <c r="CU26" i="9"/>
  <c r="CS22" i="9"/>
  <c r="CT21" i="9"/>
  <c r="CV20" i="9"/>
  <c r="CS16" i="9"/>
  <c r="CV12" i="9"/>
  <c r="CS10" i="9"/>
  <c r="CT9" i="9"/>
  <c r="CT43" i="9"/>
  <c r="CS40" i="9"/>
  <c r="CT39" i="9"/>
  <c r="CT37" i="9"/>
  <c r="CS36" i="9"/>
  <c r="CS30" i="9"/>
  <c r="CV28" i="9"/>
  <c r="CT26" i="9"/>
  <c r="CS21" i="9"/>
  <c r="CU20" i="9"/>
  <c r="CV15" i="9"/>
  <c r="CU12" i="9"/>
  <c r="CS9" i="9"/>
  <c r="CT8" i="9"/>
  <c r="L44" i="9"/>
  <c r="W44" i="9"/>
  <c r="CK7" i="9"/>
  <c r="CE7" i="9"/>
  <c r="BV7" i="9"/>
  <c r="BK7" i="9"/>
  <c r="AZ7" i="9"/>
  <c r="AO7" i="9"/>
  <c r="AK7" i="9"/>
  <c r="AJ7" i="9"/>
  <c r="AD7" i="9"/>
  <c r="Y7" i="9"/>
  <c r="S7" i="9"/>
  <c r="N7" i="9"/>
  <c r="H7" i="9"/>
  <c r="BN2" i="9"/>
  <c r="BC2" i="9"/>
  <c r="AR2" i="9"/>
  <c r="AG2" i="9"/>
  <c r="V2" i="9"/>
  <c r="K2" i="9"/>
  <c r="BK73" i="30"/>
  <c r="BK68" i="30"/>
  <c r="S61" i="30"/>
  <c r="S60" i="30"/>
  <c r="S59" i="30"/>
  <c r="S58" i="30"/>
  <c r="S57" i="30"/>
  <c r="H57" i="30"/>
  <c r="AZ56" i="30"/>
  <c r="AO56" i="30"/>
  <c r="AD56" i="30"/>
  <c r="H56" i="30"/>
  <c r="BK8" i="9"/>
  <c r="CK8" i="9"/>
  <c r="AO8" i="9"/>
  <c r="H8" i="9"/>
  <c r="CE8" i="9"/>
  <c r="S8" i="9"/>
  <c r="BV8" i="9"/>
  <c r="AD8" i="9"/>
  <c r="AZ8" i="9"/>
  <c r="AH7" i="9" l="1"/>
  <c r="W49" i="9"/>
  <c r="CE49" i="9"/>
  <c r="CK49" i="9"/>
  <c r="BO49" i="9"/>
  <c r="L49" i="9"/>
  <c r="AH49" i="9"/>
  <c r="BK55" i="30"/>
  <c r="AZ55" i="30"/>
  <c r="AO55" i="30"/>
  <c r="AD55" i="30"/>
  <c r="H55" i="30"/>
  <c r="BK54" i="30"/>
  <c r="AZ53" i="30"/>
  <c r="AO53" i="30"/>
  <c r="AD53" i="30"/>
  <c r="BK52" i="30"/>
  <c r="AZ52" i="30"/>
  <c r="AO52" i="30"/>
  <c r="AD52" i="30"/>
  <c r="BK51" i="30"/>
  <c r="BO50" i="30"/>
  <c r="AO50" i="30"/>
  <c r="AH50" i="30"/>
  <c r="W50" i="30"/>
  <c r="S50" i="30"/>
  <c r="L50" i="30"/>
  <c r="H50" i="30"/>
  <c r="AZ49" i="30"/>
  <c r="AO49" i="30"/>
  <c r="AD49" i="30"/>
  <c r="S49" i="30"/>
  <c r="H49" i="30"/>
  <c r="BO48" i="30"/>
  <c r="AZ48" i="30"/>
  <c r="AO48" i="30"/>
  <c r="AH48" i="30"/>
  <c r="AD48" i="30"/>
  <c r="S48" i="30"/>
  <c r="BK47" i="30"/>
  <c r="CK44" i="30"/>
  <c r="CE44" i="30"/>
  <c r="BO44" i="30"/>
  <c r="BK44" i="30"/>
  <c r="AZ44" i="30"/>
  <c r="AO44" i="30"/>
  <c r="AH44" i="30"/>
  <c r="AD44" i="30"/>
  <c r="BK43" i="30"/>
  <c r="AZ43" i="30"/>
  <c r="AO43" i="30"/>
  <c r="AD43" i="30"/>
  <c r="S42" i="30"/>
  <c r="BZ41" i="30"/>
  <c r="BK41" i="30"/>
  <c r="AZ41" i="30"/>
  <c r="AO41" i="30"/>
  <c r="AD41" i="30"/>
  <c r="S41" i="30"/>
  <c r="BK40" i="30"/>
  <c r="AZ40" i="30"/>
  <c r="AO40" i="30"/>
  <c r="AD40" i="30"/>
  <c r="S40" i="30"/>
  <c r="CK38" i="30"/>
  <c r="CE38" i="30"/>
  <c r="BZ38" i="30"/>
  <c r="BO38" i="30"/>
  <c r="BK38" i="30"/>
  <c r="AZ38" i="30"/>
  <c r="AZ29" i="30" s="1"/>
  <c r="AO38" i="30"/>
  <c r="AH38" i="30"/>
  <c r="AD38" i="30"/>
  <c r="W38" i="30"/>
  <c r="L38" i="30"/>
  <c r="L48" i="30" s="1"/>
  <c r="BK37" i="30"/>
  <c r="AZ37" i="30"/>
  <c r="AO37" i="30"/>
  <c r="AD37" i="30"/>
  <c r="S36" i="30"/>
  <c r="AZ35" i="30"/>
  <c r="AZ34" i="30"/>
  <c r="AO34" i="30"/>
  <c r="AD34" i="30"/>
  <c r="S34" i="30"/>
  <c r="BK33" i="30"/>
  <c r="AZ33" i="30"/>
  <c r="AO33" i="30"/>
  <c r="AD33" i="30"/>
  <c r="S33" i="30"/>
  <c r="BK30" i="30"/>
  <c r="AZ30" i="30"/>
  <c r="AO30" i="30"/>
  <c r="AD30" i="30"/>
  <c r="BQ29" i="30"/>
  <c r="BK29" i="30"/>
  <c r="AO29" i="30"/>
  <c r="AD29" i="30"/>
  <c r="S29" i="30"/>
  <c r="BQ28" i="30"/>
  <c r="S28" i="30"/>
  <c r="BQ27" i="30"/>
  <c r="H27" i="30"/>
  <c r="BQ26" i="30"/>
  <c r="N26" i="30"/>
  <c r="BQ25" i="30"/>
  <c r="N25" i="30"/>
  <c r="BQ24" i="30"/>
  <c r="N24" i="30"/>
  <c r="H24" i="30"/>
  <c r="BQ23" i="30"/>
  <c r="N23" i="30"/>
  <c r="H23" i="30"/>
  <c r="BQ22" i="30"/>
  <c r="N22" i="30"/>
  <c r="BV21" i="30"/>
  <c r="BQ21" i="30"/>
  <c r="Y21" i="30"/>
  <c r="N21" i="30"/>
  <c r="BV20" i="30"/>
  <c r="BQ20" i="30"/>
  <c r="Y20" i="30"/>
  <c r="N20" i="30"/>
  <c r="BQ19" i="30"/>
  <c r="Y19" i="30"/>
  <c r="N19" i="30"/>
  <c r="BQ18" i="30"/>
  <c r="Y18" i="30"/>
  <c r="N18" i="30"/>
  <c r="BQ17" i="30"/>
  <c r="Y17" i="30"/>
  <c r="N17" i="30"/>
  <c r="BK16" i="30"/>
  <c r="AZ16" i="30"/>
  <c r="AO16" i="30"/>
  <c r="AK16" i="30"/>
  <c r="AJ16" i="30"/>
  <c r="Y16" i="30"/>
  <c r="S16" i="30"/>
  <c r="N16" i="30"/>
  <c r="H16" i="30"/>
  <c r="AK15" i="30"/>
  <c r="AJ15" i="30"/>
  <c r="Y15" i="30"/>
  <c r="S15" i="30"/>
  <c r="N15" i="30"/>
  <c r="H15" i="30"/>
  <c r="AK14" i="30"/>
  <c r="AJ14" i="30"/>
  <c r="Y14" i="30"/>
  <c r="N14" i="30"/>
  <c r="AK13" i="30"/>
  <c r="AJ13" i="30"/>
  <c r="Y13" i="30"/>
  <c r="S13" i="30"/>
  <c r="N13" i="30"/>
  <c r="H13" i="30"/>
  <c r="AZ12" i="30"/>
  <c r="AO12" i="30"/>
  <c r="AK12" i="30"/>
  <c r="AJ12" i="30"/>
  <c r="AD12" i="30"/>
  <c r="Y12" i="30"/>
  <c r="N12" i="30"/>
  <c r="AK11" i="30"/>
  <c r="AJ11" i="30"/>
  <c r="Y11" i="30"/>
  <c r="N11" i="30"/>
  <c r="AK10" i="30"/>
  <c r="AJ10" i="30"/>
  <c r="Y10" i="30"/>
  <c r="N10" i="30"/>
  <c r="AK9" i="30"/>
  <c r="AJ9" i="30"/>
  <c r="Y9" i="30"/>
  <c r="N9" i="30"/>
  <c r="AO8" i="30"/>
  <c r="AK8" i="30"/>
  <c r="AJ8" i="30"/>
  <c r="Y8" i="30"/>
  <c r="N8" i="30"/>
  <c r="CK7" i="30"/>
  <c r="CE7" i="30"/>
  <c r="BV7" i="30"/>
  <c r="BK7" i="30"/>
  <c r="AZ7" i="30"/>
  <c r="AO7" i="30"/>
  <c r="AK7" i="30"/>
  <c r="AJ7" i="30"/>
  <c r="AD7" i="30"/>
  <c r="Y7" i="30"/>
  <c r="S7" i="30"/>
  <c r="N7" i="30"/>
  <c r="H7" i="30"/>
  <c r="BN2" i="30"/>
  <c r="BC2" i="30"/>
  <c r="AR2" i="30"/>
  <c r="AG2" i="30"/>
  <c r="V2" i="30"/>
  <c r="K2" i="30"/>
  <c r="AO68" i="36"/>
  <c r="AO67" i="36"/>
  <c r="AO65" i="36"/>
  <c r="AD65" i="36"/>
  <c r="BK64" i="36"/>
  <c r="AO64" i="36"/>
  <c r="AD63" i="36"/>
  <c r="BK62" i="36"/>
  <c r="AD62" i="36"/>
  <c r="BK61" i="36"/>
  <c r="AO61" i="36"/>
  <c r="AO60" i="36"/>
  <c r="H57" i="36"/>
  <c r="AZ56" i="36"/>
  <c r="AO56" i="36"/>
  <c r="H56" i="36"/>
  <c r="AH45" i="9"/>
  <c r="CE8" i="30"/>
  <c r="H8" i="30"/>
  <c r="BK8" i="30"/>
  <c r="BV8" i="30"/>
  <c r="AD8" i="30"/>
  <c r="S8" i="30"/>
  <c r="CK8" i="30"/>
  <c r="AZ8" i="30"/>
  <c r="AH12" i="30" l="1"/>
  <c r="AH13" i="30"/>
  <c r="AH16" i="30"/>
  <c r="AH8" i="30"/>
  <c r="AH11" i="30"/>
  <c r="AH14" i="30"/>
  <c r="AH7" i="30"/>
  <c r="AH15" i="30"/>
  <c r="AH10" i="30"/>
  <c r="AH9" i="30"/>
  <c r="CK49" i="30"/>
  <c r="W49" i="30"/>
  <c r="L49" i="30"/>
  <c r="AH49" i="30"/>
  <c r="CE49" i="30"/>
  <c r="BO49" i="30"/>
  <c r="W48" i="30"/>
  <c r="W44" i="30"/>
  <c r="L44" i="30"/>
  <c r="AZ55" i="36"/>
  <c r="AO55" i="36"/>
  <c r="AD55" i="36"/>
  <c r="H55" i="36"/>
  <c r="BK54" i="36"/>
  <c r="AD54" i="36"/>
  <c r="BK53" i="36"/>
  <c r="AZ53" i="36"/>
  <c r="AO53" i="36"/>
  <c r="AO52" i="36"/>
  <c r="S52" i="36"/>
  <c r="AD51" i="36"/>
  <c r="S51" i="36"/>
  <c r="H51" i="36"/>
  <c r="BO50" i="36"/>
  <c r="BK50" i="36"/>
  <c r="AS50" i="36"/>
  <c r="AO50" i="36"/>
  <c r="AH50" i="36"/>
  <c r="W50" i="36"/>
  <c r="S50" i="36"/>
  <c r="L50" i="36"/>
  <c r="H50" i="36"/>
  <c r="AZ49" i="36"/>
  <c r="AO49" i="36"/>
  <c r="AD49" i="36"/>
  <c r="S49" i="36"/>
  <c r="H49" i="36"/>
  <c r="BO48" i="36"/>
  <c r="BK48" i="36"/>
  <c r="AZ48" i="36"/>
  <c r="AS48" i="36"/>
  <c r="AH48" i="36"/>
  <c r="AD48" i="36"/>
  <c r="S48" i="36"/>
  <c r="BK47" i="36"/>
  <c r="AO46" i="36"/>
  <c r="AO45" i="36"/>
  <c r="CK44" i="36"/>
  <c r="CE44" i="36"/>
  <c r="BO44" i="36"/>
  <c r="AS44" i="36"/>
  <c r="AH44" i="36"/>
  <c r="AZ43" i="36"/>
  <c r="AO42" i="36"/>
  <c r="BZ41" i="36"/>
  <c r="AZ41" i="36"/>
  <c r="AO41" i="36"/>
  <c r="AD41" i="36"/>
  <c r="S41" i="36"/>
  <c r="BK40" i="36"/>
  <c r="AZ40" i="36"/>
  <c r="AD40" i="36"/>
  <c r="S40" i="36"/>
  <c r="BK39" i="36"/>
  <c r="CK38" i="36"/>
  <c r="CE38" i="36"/>
  <c r="BO38" i="36"/>
  <c r="AZ38" i="36"/>
  <c r="AZ29" i="36" s="1"/>
  <c r="AS38" i="36"/>
  <c r="AH38" i="36"/>
  <c r="W38" i="36"/>
  <c r="W48" i="36" s="1"/>
  <c r="L38" i="36"/>
  <c r="L48" i="36" s="1"/>
  <c r="AZ35" i="36"/>
  <c r="AZ34" i="36"/>
  <c r="S34" i="36"/>
  <c r="AZ33" i="36"/>
  <c r="S33" i="36"/>
  <c r="AO32" i="36"/>
  <c r="AD32" i="36"/>
  <c r="BK31" i="36"/>
  <c r="AO31" i="36"/>
  <c r="AD31" i="36"/>
  <c r="S29" i="36"/>
  <c r="S28" i="36"/>
  <c r="BK27" i="36"/>
  <c r="AO27" i="36"/>
  <c r="AD27" i="36"/>
  <c r="H27" i="36"/>
  <c r="BK26" i="36"/>
  <c r="AO26" i="36"/>
  <c r="AD26" i="36"/>
  <c r="N26" i="36"/>
  <c r="N25" i="36"/>
  <c r="H25" i="36"/>
  <c r="Y24" i="36"/>
  <c r="N24" i="36"/>
  <c r="H24" i="36"/>
  <c r="BQ23" i="36"/>
  <c r="Y23" i="36"/>
  <c r="N23" i="36"/>
  <c r="H23" i="36"/>
  <c r="BQ22" i="36"/>
  <c r="Y22" i="36"/>
  <c r="N22" i="36"/>
  <c r="BV21" i="36"/>
  <c r="BQ21" i="36"/>
  <c r="Y21" i="36"/>
  <c r="N21" i="36"/>
  <c r="BV20" i="36"/>
  <c r="BQ20" i="36"/>
  <c r="Y20" i="36"/>
  <c r="N20" i="36"/>
  <c r="BQ19" i="36"/>
  <c r="Y19" i="36"/>
  <c r="N19" i="36"/>
  <c r="BQ18" i="36"/>
  <c r="AU18" i="36"/>
  <c r="Y18" i="36"/>
  <c r="N18" i="36"/>
  <c r="BQ17" i="36"/>
  <c r="AU17" i="36"/>
  <c r="AJ17" i="36"/>
  <c r="Y17" i="36"/>
  <c r="N17" i="36"/>
  <c r="BQ16" i="36"/>
  <c r="BK16" i="36"/>
  <c r="AZ16" i="36"/>
  <c r="AU16" i="36"/>
  <c r="AO16" i="36"/>
  <c r="AJ16" i="36"/>
  <c r="Y16" i="36"/>
  <c r="S16" i="36"/>
  <c r="N16" i="36"/>
  <c r="H16" i="36"/>
  <c r="BQ15" i="36"/>
  <c r="AU15" i="36"/>
  <c r="AJ15" i="36"/>
  <c r="Y15" i="36"/>
  <c r="S15" i="36"/>
  <c r="N15" i="36"/>
  <c r="H15" i="36"/>
  <c r="BQ14" i="36"/>
  <c r="AU14" i="36"/>
  <c r="AJ14" i="36"/>
  <c r="Y14" i="36"/>
  <c r="N14" i="36"/>
  <c r="BQ13" i="36"/>
  <c r="AU13" i="36"/>
  <c r="AJ13" i="36"/>
  <c r="Y13" i="36"/>
  <c r="S13" i="36"/>
  <c r="N13" i="36"/>
  <c r="H13" i="36"/>
  <c r="BQ12" i="36"/>
  <c r="AZ12" i="36"/>
  <c r="AU12" i="36"/>
  <c r="AO12" i="36"/>
  <c r="AJ12" i="36"/>
  <c r="AD12" i="36"/>
  <c r="Y12" i="36"/>
  <c r="N12" i="36"/>
  <c r="BQ11" i="36"/>
  <c r="AU11" i="36"/>
  <c r="AJ11" i="36"/>
  <c r="Y11" i="36"/>
  <c r="N11" i="36"/>
  <c r="BQ10" i="36"/>
  <c r="AU10" i="36"/>
  <c r="AJ10" i="36"/>
  <c r="Y10" i="36"/>
  <c r="N10" i="36"/>
  <c r="BQ9" i="36"/>
  <c r="AU9" i="36"/>
  <c r="AJ9" i="36"/>
  <c r="Y9" i="36"/>
  <c r="N9" i="36"/>
  <c r="BQ8" i="36"/>
  <c r="AR8" i="36"/>
  <c r="AJ8" i="36"/>
  <c r="Y8" i="36"/>
  <c r="N8" i="36"/>
  <c r="CO7" i="36" a="1"/>
  <c r="CO103" i="36" l="1"/>
  <c r="CQ92" i="36"/>
  <c r="DE92" i="29" s="1"/>
  <c r="CQ76" i="36"/>
  <c r="DE76" i="29" s="1"/>
  <c r="CR101" i="36"/>
  <c r="CP96" i="36"/>
  <c r="CR93" i="36"/>
  <c r="CP92" i="36"/>
  <c r="CR89" i="36"/>
  <c r="CP80" i="36"/>
  <c r="CP76" i="36"/>
  <c r="CR97" i="36"/>
  <c r="CR85" i="36"/>
  <c r="CS103" i="36"/>
  <c r="CQ102" i="36"/>
  <c r="DE102" i="29" s="1"/>
  <c r="CO101" i="36"/>
  <c r="CS99" i="36"/>
  <c r="CQ98" i="36"/>
  <c r="DE98" i="29" s="1"/>
  <c r="CO97" i="36"/>
  <c r="CS95" i="36"/>
  <c r="CQ94" i="36"/>
  <c r="DE94" i="29" s="1"/>
  <c r="CO93" i="36"/>
  <c r="CS91" i="36"/>
  <c r="CQ90" i="36"/>
  <c r="CO89" i="36"/>
  <c r="CQ103" i="36"/>
  <c r="DE103" i="29" s="1"/>
  <c r="CO102" i="36"/>
  <c r="CS100" i="36"/>
  <c r="CQ99" i="36"/>
  <c r="DE99" i="29" s="1"/>
  <c r="CO98" i="36"/>
  <c r="CS96" i="36"/>
  <c r="CQ95" i="36"/>
  <c r="CO94" i="36"/>
  <c r="CS92" i="36"/>
  <c r="CQ91" i="36"/>
  <c r="DE91" i="29" s="1"/>
  <c r="CO90" i="36"/>
  <c r="CS88" i="36"/>
  <c r="CQ87" i="36"/>
  <c r="DE87" i="29" s="1"/>
  <c r="CO86" i="36"/>
  <c r="CS84" i="36"/>
  <c r="CQ83" i="36"/>
  <c r="DE83" i="29" s="1"/>
  <c r="CO82" i="36"/>
  <c r="CS80" i="36"/>
  <c r="CQ79" i="36"/>
  <c r="DE79" i="29" s="1"/>
  <c r="CO78" i="36"/>
  <c r="CS76" i="36"/>
  <c r="CQ75" i="36"/>
  <c r="DE75" i="29" s="1"/>
  <c r="CO74" i="36"/>
  <c r="CS72" i="36"/>
  <c r="CQ71" i="36"/>
  <c r="DE71" i="29" s="1"/>
  <c r="CO70" i="36"/>
  <c r="CS68" i="36"/>
  <c r="CR67" i="36"/>
  <c r="CQ66" i="36"/>
  <c r="DE66" i="29" s="1"/>
  <c r="CO65" i="36"/>
  <c r="CO64" i="36"/>
  <c r="CO63" i="36"/>
  <c r="CS58" i="36"/>
  <c r="CQ57" i="36"/>
  <c r="DE57" i="29" s="1"/>
  <c r="CO56" i="36"/>
  <c r="CO55" i="36"/>
  <c r="CR58" i="36"/>
  <c r="CP57" i="36"/>
  <c r="CS101" i="36"/>
  <c r="CQ100" i="36"/>
  <c r="DE100" i="29" s="1"/>
  <c r="CO99" i="36"/>
  <c r="CQ96" i="36"/>
  <c r="DE96" i="29" s="1"/>
  <c r="CS93" i="36"/>
  <c r="CS89" i="36"/>
  <c r="CO87" i="36"/>
  <c r="CQ84" i="36"/>
  <c r="DE84" i="29" s="1"/>
  <c r="CS81" i="36"/>
  <c r="CO79" i="36"/>
  <c r="CO75" i="36"/>
  <c r="CQ72" i="36"/>
  <c r="DE72" i="29" s="1"/>
  <c r="CS69" i="36"/>
  <c r="CP67" i="36"/>
  <c r="CQ58" i="36"/>
  <c r="DE58" i="29" s="1"/>
  <c r="CP100" i="36"/>
  <c r="CP88" i="36"/>
  <c r="CP84" i="36"/>
  <c r="CR77" i="36"/>
  <c r="CP103" i="36"/>
  <c r="CR100" i="36"/>
  <c r="CP99" i="36"/>
  <c r="CR96" i="36"/>
  <c r="CP95" i="36"/>
  <c r="CR92" i="36"/>
  <c r="CP91" i="36"/>
  <c r="CR88" i="36"/>
  <c r="CP87" i="36"/>
  <c r="CR84" i="36"/>
  <c r="CP83" i="36"/>
  <c r="CR80" i="36"/>
  <c r="CP79" i="36"/>
  <c r="CR76" i="36"/>
  <c r="CP75" i="36"/>
  <c r="CR72" i="36"/>
  <c r="CP71" i="36"/>
  <c r="CR68" i="36"/>
  <c r="CQ67" i="36"/>
  <c r="DE67" i="29" s="1"/>
  <c r="CP66" i="36"/>
  <c r="CS97" i="36"/>
  <c r="CO95" i="36"/>
  <c r="CO91" i="36"/>
  <c r="CQ88" i="36"/>
  <c r="DE88" i="29" s="1"/>
  <c r="CS85" i="36"/>
  <c r="CO83" i="36"/>
  <c r="CQ80" i="36"/>
  <c r="DE80" i="29" s="1"/>
  <c r="CS77" i="36"/>
  <c r="CS73" i="36"/>
  <c r="CO71" i="36"/>
  <c r="CQ68" i="36"/>
  <c r="DE68" i="29" s="1"/>
  <c r="CO66" i="36"/>
  <c r="CS59" i="36"/>
  <c r="CO57" i="36"/>
  <c r="CR81" i="36"/>
  <c r="CR73" i="36"/>
  <c r="CO100" i="36"/>
  <c r="CR103" i="36"/>
  <c r="CS102" i="36"/>
  <c r="CR99" i="36"/>
  <c r="CO92" i="36"/>
  <c r="CP86" i="36"/>
  <c r="CR83" i="36"/>
  <c r="CP78" i="36"/>
  <c r="CR75" i="36"/>
  <c r="CO73" i="36"/>
  <c r="CS70" i="36"/>
  <c r="CR62" i="36"/>
  <c r="CQ61" i="36"/>
  <c r="DE61" i="29" s="1"/>
  <c r="CP60" i="36"/>
  <c r="CP58" i="36"/>
  <c r="CR55" i="36"/>
  <c r="CR102" i="36"/>
  <c r="CS98" i="36"/>
  <c r="CR95" i="36"/>
  <c r="CO88" i="36"/>
  <c r="CQ85" i="36"/>
  <c r="CS82" i="36"/>
  <c r="CS66" i="36"/>
  <c r="CQ62" i="36"/>
  <c r="DE62" i="29" s="1"/>
  <c r="CP102" i="36"/>
  <c r="CR98" i="36"/>
  <c r="CS94" i="36"/>
  <c r="CR91" i="36"/>
  <c r="CP85" i="36"/>
  <c r="CR82" i="36"/>
  <c r="CP77" i="36"/>
  <c r="CS74" i="36"/>
  <c r="CP72" i="36"/>
  <c r="CQ70" i="36"/>
  <c r="DE70" i="29" s="1"/>
  <c r="CO68" i="36"/>
  <c r="CR66" i="36"/>
  <c r="CS63" i="36"/>
  <c r="CP62" i="36"/>
  <c r="CO61" i="36"/>
  <c r="CP55" i="36"/>
  <c r="CQ101" i="36"/>
  <c r="DE101" i="29" s="1"/>
  <c r="CP98" i="36"/>
  <c r="CR94" i="36"/>
  <c r="CS90" i="36"/>
  <c r="CS87" i="36"/>
  <c r="CO85" i="36"/>
  <c r="CQ82" i="36"/>
  <c r="DE82" i="29" s="1"/>
  <c r="CS79" i="36"/>
  <c r="CO77" i="36"/>
  <c r="CR74" i="36"/>
  <c r="CO72" i="36"/>
  <c r="CP70" i="36"/>
  <c r="CS64" i="36"/>
  <c r="CR63" i="36"/>
  <c r="CO62" i="36"/>
  <c r="CR59" i="36"/>
  <c r="CS57" i="36"/>
  <c r="CS83" i="36"/>
  <c r="CO69" i="36"/>
  <c r="CQ60" i="36"/>
  <c r="DE60" i="29" s="1"/>
  <c r="CS55" i="36"/>
  <c r="CQ77" i="36"/>
  <c r="DE77" i="29" s="1"/>
  <c r="CR70" i="36"/>
  <c r="CP61" i="36"/>
  <c r="CO96" i="36"/>
  <c r="CP89" i="36"/>
  <c r="CO81" i="36"/>
  <c r="CP73" i="36"/>
  <c r="CP65" i="36"/>
  <c r="CS62" i="36"/>
  <c r="CO60" i="36"/>
  <c r="CP101" i="36"/>
  <c r="CQ97" i="36"/>
  <c r="CP94" i="36"/>
  <c r="CR90" i="36"/>
  <c r="CR87" i="36"/>
  <c r="CP82" i="36"/>
  <c r="CR79" i="36"/>
  <c r="CQ74" i="36"/>
  <c r="DE74" i="29" s="1"/>
  <c r="CR69" i="36"/>
  <c r="CS65" i="36"/>
  <c r="CR64" i="36"/>
  <c r="CQ63" i="36"/>
  <c r="DE63" i="29" s="1"/>
  <c r="CQ59" i="36"/>
  <c r="DE59" i="29" s="1"/>
  <c r="CR57" i="36"/>
  <c r="CS56" i="36"/>
  <c r="CQ69" i="36"/>
  <c r="DE69" i="29" s="1"/>
  <c r="CR65" i="36"/>
  <c r="CP63" i="36"/>
  <c r="CS60" i="36"/>
  <c r="CR56" i="36"/>
  <c r="CP93" i="36"/>
  <c r="CQ73" i="36"/>
  <c r="DE73" i="29" s="1"/>
  <c r="CP69" i="36"/>
  <c r="CQ65" i="36"/>
  <c r="DE65" i="29" s="1"/>
  <c r="CR60" i="36"/>
  <c r="CQ56" i="36"/>
  <c r="CS75" i="36"/>
  <c r="CO58" i="36"/>
  <c r="CQ55" i="36"/>
  <c r="DE55" i="29" s="1"/>
  <c r="CP97" i="36"/>
  <c r="CQ93" i="36"/>
  <c r="CT93" i="36" s="1"/>
  <c r="CP90" i="36"/>
  <c r="CS86" i="36"/>
  <c r="CO84" i="36"/>
  <c r="CQ81" i="36"/>
  <c r="CS78" i="36"/>
  <c r="CO76" i="36"/>
  <c r="CP74" i="36"/>
  <c r="CS71" i="36"/>
  <c r="CS67" i="36"/>
  <c r="CQ64" i="36"/>
  <c r="DE64" i="29" s="1"/>
  <c r="CP59" i="36"/>
  <c r="CQ89" i="36"/>
  <c r="CR86" i="36"/>
  <c r="CP81" i="36"/>
  <c r="CR78" i="36"/>
  <c r="CR71" i="36"/>
  <c r="CO67" i="36"/>
  <c r="CP64" i="36"/>
  <c r="CS61" i="36"/>
  <c r="CO59" i="36"/>
  <c r="CQ86" i="36"/>
  <c r="DE86" i="29" s="1"/>
  <c r="CQ78" i="36"/>
  <c r="DE78" i="29" s="1"/>
  <c r="CR61" i="36"/>
  <c r="CP56" i="36"/>
  <c r="CO80" i="36"/>
  <c r="CP68" i="36"/>
  <c r="CR54" i="36"/>
  <c r="CQ54" i="36"/>
  <c r="CS54" i="36"/>
  <c r="CP54" i="36"/>
  <c r="CO54" i="36"/>
  <c r="CS46" i="36"/>
  <c r="CR45" i="36"/>
  <c r="CS47" i="36"/>
  <c r="CQ45" i="36"/>
  <c r="CP52" i="36"/>
  <c r="CR50" i="36"/>
  <c r="CR46" i="36"/>
  <c r="CP53" i="36"/>
  <c r="CQ52" i="36"/>
  <c r="CR51" i="36"/>
  <c r="CS50" i="36"/>
  <c r="CR49" i="36"/>
  <c r="CO53" i="36"/>
  <c r="CQ51" i="36"/>
  <c r="CQ49" i="36"/>
  <c r="CR47" i="36"/>
  <c r="CO52" i="36"/>
  <c r="CP51" i="36"/>
  <c r="CQ50" i="36"/>
  <c r="CP49" i="36"/>
  <c r="CR48" i="36"/>
  <c r="CQ47" i="36"/>
  <c r="CP46" i="36"/>
  <c r="CO45" i="36"/>
  <c r="CO49" i="36"/>
  <c r="CQ48" i="36"/>
  <c r="CP48" i="36"/>
  <c r="CO47" i="36"/>
  <c r="CR53" i="36"/>
  <c r="CR52" i="36"/>
  <c r="CS49" i="36"/>
  <c r="CO51" i="36"/>
  <c r="CP50" i="36"/>
  <c r="CP47" i="36"/>
  <c r="CO46" i="36"/>
  <c r="CO50" i="36"/>
  <c r="CS53" i="36"/>
  <c r="CO48" i="36"/>
  <c r="CS52" i="36"/>
  <c r="CS45" i="36"/>
  <c r="CQ53" i="36"/>
  <c r="CS51" i="36"/>
  <c r="CS48" i="36"/>
  <c r="CQ46" i="36"/>
  <c r="CP45" i="36"/>
  <c r="CR43" i="36"/>
  <c r="CQ42" i="36"/>
  <c r="CP41" i="36"/>
  <c r="CR40" i="36"/>
  <c r="CR37" i="36"/>
  <c r="CQ36" i="36"/>
  <c r="CO35" i="36"/>
  <c r="CR25" i="36"/>
  <c r="CP23" i="36"/>
  <c r="CQ22" i="36"/>
  <c r="CP8" i="36"/>
  <c r="CQ9" i="36"/>
  <c r="CS44" i="36"/>
  <c r="CQ43" i="36"/>
  <c r="CP42" i="36"/>
  <c r="CO41" i="36"/>
  <c r="CQ40" i="36"/>
  <c r="CS38" i="36"/>
  <c r="CQ37" i="36"/>
  <c r="CP36" i="36"/>
  <c r="CS16" i="36"/>
  <c r="CS10" i="36"/>
  <c r="CR44" i="36"/>
  <c r="CP43" i="36"/>
  <c r="CO42" i="36"/>
  <c r="CP40" i="36"/>
  <c r="CS39" i="36"/>
  <c r="CR38" i="36"/>
  <c r="CP37" i="36"/>
  <c r="CO36" i="36"/>
  <c r="CS27" i="36"/>
  <c r="CP25" i="36"/>
  <c r="CQ24" i="36"/>
  <c r="CO22" i="36"/>
  <c r="CO21" i="36"/>
  <c r="CP20" i="36"/>
  <c r="CQ19" i="36"/>
  <c r="CQ18" i="36"/>
  <c r="CR16" i="36"/>
  <c r="CQ44" i="36"/>
  <c r="CO43" i="36"/>
  <c r="CO40" i="36"/>
  <c r="CR39" i="36"/>
  <c r="CQ38" i="36"/>
  <c r="CO37" i="36"/>
  <c r="CS34" i="36"/>
  <c r="CS33" i="36"/>
  <c r="CS32" i="36"/>
  <c r="CS31" i="36"/>
  <c r="CS29" i="36"/>
  <c r="CS28" i="36"/>
  <c r="CR27" i="36"/>
  <c r="CO25" i="36"/>
  <c r="CP24" i="36"/>
  <c r="CO20" i="36"/>
  <c r="CP19" i="36"/>
  <c r="CP18" i="36"/>
  <c r="CS17" i="36"/>
  <c r="CQ16" i="36"/>
  <c r="CR13" i="36"/>
  <c r="CR12" i="36"/>
  <c r="CS11" i="36"/>
  <c r="CP44" i="36"/>
  <c r="CQ39" i="36"/>
  <c r="CP38" i="36"/>
  <c r="CS35" i="36"/>
  <c r="CR34" i="36"/>
  <c r="CR33" i="36"/>
  <c r="CR32" i="36"/>
  <c r="CR31" i="36"/>
  <c r="CS30" i="36"/>
  <c r="CR29" i="36"/>
  <c r="CR28" i="36"/>
  <c r="CQ27" i="36"/>
  <c r="CS26" i="36"/>
  <c r="CO24" i="36"/>
  <c r="CO19" i="36"/>
  <c r="CO18" i="36"/>
  <c r="CR17" i="36"/>
  <c r="CP16" i="36"/>
  <c r="CS15" i="36"/>
  <c r="CS14" i="36"/>
  <c r="CQ13" i="36"/>
  <c r="CQ12" i="36"/>
  <c r="CR11" i="36"/>
  <c r="CP10" i="36"/>
  <c r="CR7" i="36"/>
  <c r="CO44" i="36"/>
  <c r="CS41" i="36"/>
  <c r="CP39" i="36"/>
  <c r="CO38" i="36"/>
  <c r="CR35" i="36"/>
  <c r="CQ34" i="36"/>
  <c r="CQ33" i="36"/>
  <c r="CQ32" i="36"/>
  <c r="CQ31" i="36"/>
  <c r="CR30" i="36"/>
  <c r="CQ29" i="36"/>
  <c r="CQ28" i="36"/>
  <c r="CP27" i="36"/>
  <c r="CR26" i="36"/>
  <c r="CS23" i="36"/>
  <c r="CQ17" i="36"/>
  <c r="CO16" i="36"/>
  <c r="CR15" i="36"/>
  <c r="CR14" i="36"/>
  <c r="CP13" i="36"/>
  <c r="CS42" i="36"/>
  <c r="CR41" i="36"/>
  <c r="CO39" i="36"/>
  <c r="CS36" i="36"/>
  <c r="CQ35" i="36"/>
  <c r="CP34" i="36"/>
  <c r="CP33" i="36"/>
  <c r="CP32" i="36"/>
  <c r="CP31" i="36"/>
  <c r="CQ30" i="36"/>
  <c r="CP29" i="36"/>
  <c r="CP28" i="36"/>
  <c r="CO27" i="36"/>
  <c r="CQ26" i="36"/>
  <c r="CR23" i="36"/>
  <c r="CS22" i="36"/>
  <c r="CS21" i="36"/>
  <c r="CP17" i="36"/>
  <c r="CQ15" i="36"/>
  <c r="CQ14" i="36"/>
  <c r="CO13" i="36"/>
  <c r="CO12" i="36"/>
  <c r="CP11" i="36"/>
  <c r="CR8" i="36"/>
  <c r="CP7" i="36"/>
  <c r="CO7" i="36"/>
  <c r="CO26" i="36"/>
  <c r="CQ21" i="36"/>
  <c r="CR20" i="36"/>
  <c r="CR9" i="36"/>
  <c r="CQ25" i="36"/>
  <c r="CP22" i="36"/>
  <c r="CO8" i="36"/>
  <c r="CS43" i="36"/>
  <c r="CR42" i="36"/>
  <c r="CQ41" i="36"/>
  <c r="CS40" i="36"/>
  <c r="CS37" i="36"/>
  <c r="CR36" i="36"/>
  <c r="CP35" i="36"/>
  <c r="CO34" i="36"/>
  <c r="CO33" i="36"/>
  <c r="CO32" i="36"/>
  <c r="CO31" i="36"/>
  <c r="CP30" i="36"/>
  <c r="CO29" i="36"/>
  <c r="CO28" i="36"/>
  <c r="CP26" i="36"/>
  <c r="CS25" i="36"/>
  <c r="CQ23" i="36"/>
  <c r="CR22" i="36"/>
  <c r="CR21" i="36"/>
  <c r="CS20" i="36"/>
  <c r="CO17" i="36"/>
  <c r="CP15" i="36"/>
  <c r="CP14" i="36"/>
  <c r="CO11" i="36"/>
  <c r="CS9" i="36"/>
  <c r="CQ8" i="36"/>
  <c r="CO30" i="36"/>
  <c r="CS24" i="36"/>
  <c r="CS19" i="36"/>
  <c r="CS18" i="36"/>
  <c r="CO15" i="36"/>
  <c r="CO14" i="36"/>
  <c r="CR24" i="36"/>
  <c r="CO23" i="36"/>
  <c r="CP21" i="36"/>
  <c r="CQ20" i="36"/>
  <c r="CR19" i="36"/>
  <c r="CR18" i="36"/>
  <c r="CQ11" i="36"/>
  <c r="CP9" i="36"/>
  <c r="CO9" i="36"/>
  <c r="CS7" i="36"/>
  <c r="CS13" i="36"/>
  <c r="CS8" i="36"/>
  <c r="CQ7" i="36"/>
  <c r="CR10" i="36"/>
  <c r="CQ10" i="36"/>
  <c r="CS12" i="36"/>
  <c r="CP12" i="36"/>
  <c r="CO10" i="36"/>
  <c r="L44" i="36"/>
  <c r="W44" i="36"/>
  <c r="CK7" i="36"/>
  <c r="CE7" i="36"/>
  <c r="BV7" i="36"/>
  <c r="BO7" i="36"/>
  <c r="BK7" i="36"/>
  <c r="AZ7" i="36"/>
  <c r="AR7" i="36"/>
  <c r="AO7" i="36"/>
  <c r="AD7" i="36"/>
  <c r="S7" i="36"/>
  <c r="N7" i="36"/>
  <c r="H7" i="36"/>
  <c r="BN2" i="36"/>
  <c r="BC2" i="36"/>
  <c r="AR2" i="36"/>
  <c r="AG2" i="36"/>
  <c r="V2" i="36"/>
  <c r="K2" i="36"/>
  <c r="DF128" i="29"/>
  <c r="DE128" i="29"/>
  <c r="DC128" i="29"/>
  <c r="DF127" i="29"/>
  <c r="DE127" i="29"/>
  <c r="DC127" i="29"/>
  <c r="DF126" i="29"/>
  <c r="DE126" i="29"/>
  <c r="DC126" i="29"/>
  <c r="DF125" i="29"/>
  <c r="DE125" i="29"/>
  <c r="DC125" i="29"/>
  <c r="DF124" i="29"/>
  <c r="DE124" i="29"/>
  <c r="DC124" i="29"/>
  <c r="DF123" i="29"/>
  <c r="DE123" i="29"/>
  <c r="DC123" i="29"/>
  <c r="DF122" i="29"/>
  <c r="DE122" i="29"/>
  <c r="DC122" i="29"/>
  <c r="DF121" i="29"/>
  <c r="DE121" i="29"/>
  <c r="DC121" i="29"/>
  <c r="DF120" i="29"/>
  <c r="DE120" i="29"/>
  <c r="DC120" i="29"/>
  <c r="DF119" i="29"/>
  <c r="DE119" i="29"/>
  <c r="DC119" i="29"/>
  <c r="DF118" i="29"/>
  <c r="DE118" i="29"/>
  <c r="DC118" i="29"/>
  <c r="DF117" i="29"/>
  <c r="DE117" i="29"/>
  <c r="DC117" i="29"/>
  <c r="DF116" i="29"/>
  <c r="DE116" i="29"/>
  <c r="DC116" i="29"/>
  <c r="DF115" i="29"/>
  <c r="DE115" i="29"/>
  <c r="DC115" i="29"/>
  <c r="DF114" i="29"/>
  <c r="DE114" i="29"/>
  <c r="DC114" i="29"/>
  <c r="DF113" i="29"/>
  <c r="DE113" i="29"/>
  <c r="DC113" i="29"/>
  <c r="DF112" i="29"/>
  <c r="DE112" i="29"/>
  <c r="DC112" i="29"/>
  <c r="DF111" i="29"/>
  <c r="DE111" i="29"/>
  <c r="DC111" i="29"/>
  <c r="DF110" i="29"/>
  <c r="DE110" i="29"/>
  <c r="DC110" i="29"/>
  <c r="DF109" i="29"/>
  <c r="DE109" i="29"/>
  <c r="DC109" i="29"/>
  <c r="DF108" i="29"/>
  <c r="DE108" i="29"/>
  <c r="DC108" i="29"/>
  <c r="DF107" i="29"/>
  <c r="DE107" i="29"/>
  <c r="DC107" i="29"/>
  <c r="DF106" i="29"/>
  <c r="DE106" i="29"/>
  <c r="DC106" i="29"/>
  <c r="DF105" i="29"/>
  <c r="DE105" i="29"/>
  <c r="DC105" i="29"/>
  <c r="DF104" i="29"/>
  <c r="DE104" i="29"/>
  <c r="DC104" i="29"/>
  <c r="DF103" i="29"/>
  <c r="DC103" i="29"/>
  <c r="DF102" i="29"/>
  <c r="DC102" i="29"/>
  <c r="DF101" i="29"/>
  <c r="DC101" i="29"/>
  <c r="DF100" i="29"/>
  <c r="DC100" i="29"/>
  <c r="DF99" i="29"/>
  <c r="DC99" i="29"/>
  <c r="DF98" i="29"/>
  <c r="DC98" i="29"/>
  <c r="DF97" i="29"/>
  <c r="DC97" i="29"/>
  <c r="DF96" i="29"/>
  <c r="DC96" i="29"/>
  <c r="DF95" i="29"/>
  <c r="DC95" i="29"/>
  <c r="DF94" i="29"/>
  <c r="DC94" i="29"/>
  <c r="DF93" i="29"/>
  <c r="DC93" i="29"/>
  <c r="DF92" i="29"/>
  <c r="DC92" i="29"/>
  <c r="DF91" i="29"/>
  <c r="DC91" i="29"/>
  <c r="DF90" i="29"/>
  <c r="DC90" i="29"/>
  <c r="DF89" i="29"/>
  <c r="DC89" i="29"/>
  <c r="DF88" i="29"/>
  <c r="DC88" i="29"/>
  <c r="DF87" i="29"/>
  <c r="DF86" i="29"/>
  <c r="DF85" i="29"/>
  <c r="DF84" i="29"/>
  <c r="DF83" i="29"/>
  <c r="DF82" i="29"/>
  <c r="DF81" i="29"/>
  <c r="DF80" i="29"/>
  <c r="DF79" i="29"/>
  <c r="DF78" i="29"/>
  <c r="DF77" i="29"/>
  <c r="DF76" i="29"/>
  <c r="DF75" i="29"/>
  <c r="DF74" i="29"/>
  <c r="DF73" i="29"/>
  <c r="DF72" i="29"/>
  <c r="DF71" i="29"/>
  <c r="DF70" i="29"/>
  <c r="DF69" i="29"/>
  <c r="DF68" i="29"/>
  <c r="DF67" i="29"/>
  <c r="DF66" i="29"/>
  <c r="DF65" i="29"/>
  <c r="BK65" i="29"/>
  <c r="DF64" i="29"/>
  <c r="DF63" i="29"/>
  <c r="DF62" i="29"/>
  <c r="BK62" i="29"/>
  <c r="DF61" i="29"/>
  <c r="DF60" i="29"/>
  <c r="DF59" i="29"/>
  <c r="DF58" i="29"/>
  <c r="DF57" i="29"/>
  <c r="DF56" i="29"/>
  <c r="AZ56" i="29"/>
  <c r="AO56" i="29"/>
  <c r="AD56" i="29"/>
  <c r="S56" i="29"/>
  <c r="DF55" i="29"/>
  <c r="BK8" i="36"/>
  <c r="AD8" i="36"/>
  <c r="CE8" i="36"/>
  <c r="CK8" i="36"/>
  <c r="S8" i="36"/>
  <c r="H8" i="36"/>
  <c r="BV8" i="36"/>
  <c r="AO8" i="36"/>
  <c r="CT50" i="36" l="1"/>
  <c r="CT20" i="36"/>
  <c r="CT81" i="36"/>
  <c r="DE93" i="29"/>
  <c r="CT97" i="36"/>
  <c r="CT56" i="36"/>
  <c r="CT28" i="36"/>
  <c r="CT85" i="36"/>
  <c r="CT21" i="36"/>
  <c r="CT46" i="36"/>
  <c r="CT89" i="36"/>
  <c r="CT51" i="36"/>
  <c r="DE89" i="29"/>
  <c r="CT29" i="36"/>
  <c r="CT95" i="36"/>
  <c r="CT14" i="36"/>
  <c r="CT17" i="36"/>
  <c r="CT10" i="36"/>
  <c r="CT11" i="36"/>
  <c r="CT35" i="36"/>
  <c r="DE97" i="29"/>
  <c r="DE85" i="29"/>
  <c r="CT44" i="36"/>
  <c r="CT90" i="36"/>
  <c r="CT58" i="36"/>
  <c r="DE56" i="29"/>
  <c r="CT31" i="36"/>
  <c r="CT54" i="36"/>
  <c r="CT41" i="36"/>
  <c r="CT32" i="36"/>
  <c r="CT101" i="36"/>
  <c r="CT84" i="36"/>
  <c r="CT102" i="36"/>
  <c r="DE90" i="29"/>
  <c r="CT15" i="36"/>
  <c r="CT43" i="36"/>
  <c r="CT66" i="36"/>
  <c r="CT38" i="36"/>
  <c r="CT9" i="36"/>
  <c r="CT52" i="36"/>
  <c r="CT77" i="36"/>
  <c r="CT79" i="36"/>
  <c r="CT76" i="36"/>
  <c r="CT70" i="36"/>
  <c r="DE95" i="29"/>
  <c r="DE81" i="29"/>
  <c r="CT16" i="36"/>
  <c r="CT37" i="36"/>
  <c r="CT73" i="36"/>
  <c r="CT72" i="36"/>
  <c r="CT96" i="36"/>
  <c r="CT91" i="36"/>
  <c r="CT92" i="36"/>
  <c r="CT78" i="36"/>
  <c r="CT88" i="36"/>
  <c r="CT103" i="36"/>
  <c r="CK49" i="36"/>
  <c r="AH49" i="36"/>
  <c r="BO49" i="36"/>
  <c r="L49" i="36"/>
  <c r="AS49" i="36"/>
  <c r="W49" i="36"/>
  <c r="CE49" i="36"/>
  <c r="CT26" i="36"/>
  <c r="CT24" i="36"/>
  <c r="CT40" i="36"/>
  <c r="CT47" i="36"/>
  <c r="CT86" i="36"/>
  <c r="CT63" i="36"/>
  <c r="CT68" i="36"/>
  <c r="CT100" i="36"/>
  <c r="CT83" i="36"/>
  <c r="CT39" i="36"/>
  <c r="CT45" i="36"/>
  <c r="CT75" i="36"/>
  <c r="CT8" i="36"/>
  <c r="CT33" i="36"/>
  <c r="CT18" i="36"/>
  <c r="CT36" i="36"/>
  <c r="CT64" i="36"/>
  <c r="CT62" i="36"/>
  <c r="CT87" i="36"/>
  <c r="CT23" i="36"/>
  <c r="CT30" i="36"/>
  <c r="CT34" i="36"/>
  <c r="CT19" i="36"/>
  <c r="CT48" i="36"/>
  <c r="CT65" i="36"/>
  <c r="CT69" i="36"/>
  <c r="CT74" i="36"/>
  <c r="CT82" i="36"/>
  <c r="CT80" i="36"/>
  <c r="CT67" i="36"/>
  <c r="CT99" i="36"/>
  <c r="CT94" i="36"/>
  <c r="CT12" i="36"/>
  <c r="CT53" i="36"/>
  <c r="CT13" i="36"/>
  <c r="CT61" i="36"/>
  <c r="CT57" i="36"/>
  <c r="CT25" i="36"/>
  <c r="CT27" i="36"/>
  <c r="CT22" i="36"/>
  <c r="CT42" i="36"/>
  <c r="CT49" i="36"/>
  <c r="CT55" i="36"/>
  <c r="CT59" i="36"/>
  <c r="CT60" i="36"/>
  <c r="CT71" i="36"/>
  <c r="CT98" i="36"/>
  <c r="BK55" i="29"/>
  <c r="AZ55" i="29"/>
  <c r="AO55" i="29"/>
  <c r="AD55" i="29"/>
  <c r="DF54" i="29"/>
  <c r="DE54" i="29"/>
  <c r="CQ54" i="29"/>
  <c r="DF53" i="29"/>
  <c r="DE53" i="29"/>
  <c r="AZ53" i="29"/>
  <c r="AO53" i="29"/>
  <c r="AD53" i="29"/>
  <c r="DF52" i="29"/>
  <c r="DE52" i="29"/>
  <c r="AZ52" i="29"/>
  <c r="AO52" i="29"/>
  <c r="AD52" i="29"/>
  <c r="S52" i="29"/>
  <c r="DF51" i="29"/>
  <c r="DE51" i="29"/>
  <c r="BK51" i="29"/>
  <c r="S51" i="29"/>
  <c r="DF50" i="29"/>
  <c r="DE50" i="29"/>
  <c r="BO50" i="29"/>
  <c r="AO50" i="29"/>
  <c r="AH50" i="29"/>
  <c r="AD50" i="29"/>
  <c r="W50" i="29"/>
  <c r="S50" i="29"/>
  <c r="L50" i="29"/>
  <c r="H50" i="29"/>
  <c r="DF49" i="29"/>
  <c r="DE49" i="29"/>
  <c r="AO49" i="29"/>
  <c r="AD49" i="29"/>
  <c r="S49" i="29"/>
  <c r="H49" i="29"/>
  <c r="DF48" i="29"/>
  <c r="DE48" i="29"/>
  <c r="BO48" i="29"/>
  <c r="BK48" i="29"/>
  <c r="AZ48" i="29"/>
  <c r="AO48" i="29"/>
  <c r="AH48" i="29"/>
  <c r="AD48" i="29"/>
  <c r="S48" i="29"/>
  <c r="H48" i="29"/>
  <c r="DF47" i="29"/>
  <c r="DE47" i="29"/>
  <c r="DF46" i="29"/>
  <c r="DE46" i="29"/>
  <c r="DF45" i="29"/>
  <c r="DE45" i="29"/>
  <c r="DF44" i="29"/>
  <c r="DE44" i="29"/>
  <c r="CQ44" i="29"/>
  <c r="CK44" i="29"/>
  <c r="CE44" i="29"/>
  <c r="BO44" i="29"/>
  <c r="AZ44" i="29"/>
  <c r="AO44" i="29"/>
  <c r="AH44" i="29"/>
  <c r="AD44" i="29"/>
  <c r="DF43" i="29"/>
  <c r="DE43" i="29"/>
  <c r="AZ43" i="29"/>
  <c r="AO43" i="29"/>
  <c r="AD43" i="29"/>
  <c r="H43" i="29"/>
  <c r="DF42" i="29"/>
  <c r="DE42" i="29"/>
  <c r="H42" i="29"/>
  <c r="DF41" i="29"/>
  <c r="DE41" i="29"/>
  <c r="BZ41" i="29"/>
  <c r="BK41" i="29"/>
  <c r="AZ41" i="29"/>
  <c r="AO41" i="29"/>
  <c r="AD41" i="29"/>
  <c r="S41" i="29"/>
  <c r="DF40" i="29"/>
  <c r="DE40" i="29"/>
  <c r="BO40" i="29"/>
  <c r="BK40" i="29"/>
  <c r="AZ40" i="29"/>
  <c r="AO40" i="29"/>
  <c r="AD40" i="29"/>
  <c r="S40" i="29"/>
  <c r="DF39" i="29"/>
  <c r="DE39" i="29"/>
  <c r="DF38" i="29"/>
  <c r="DE38" i="29"/>
  <c r="CQ38" i="29"/>
  <c r="CK38" i="29"/>
  <c r="CE38" i="29"/>
  <c r="BO38" i="29"/>
  <c r="AZ38" i="29"/>
  <c r="AZ29" i="29" s="1"/>
  <c r="AO38" i="29"/>
  <c r="AH38" i="29"/>
  <c r="AD38" i="29"/>
  <c r="W38" i="29"/>
  <c r="W48" i="29" s="1"/>
  <c r="L38" i="29"/>
  <c r="L48" i="29" s="1"/>
  <c r="DF37" i="29"/>
  <c r="DE37" i="29"/>
  <c r="AZ37" i="29"/>
  <c r="AO37" i="29"/>
  <c r="AD37" i="29"/>
  <c r="DF36" i="29"/>
  <c r="DE36" i="29"/>
  <c r="S36" i="29"/>
  <c r="DF35" i="29"/>
  <c r="DE35" i="29"/>
  <c r="AZ35" i="29"/>
  <c r="AO35" i="29"/>
  <c r="DF34" i="29"/>
  <c r="DE34" i="29"/>
  <c r="AZ34" i="29"/>
  <c r="AO34" i="29"/>
  <c r="S34" i="29"/>
  <c r="DF33" i="29"/>
  <c r="DE33" i="29"/>
  <c r="AZ33" i="29"/>
  <c r="AO33" i="29"/>
  <c r="AD33" i="29"/>
  <c r="S33" i="29"/>
  <c r="DF32" i="29"/>
  <c r="DE32" i="29"/>
  <c r="BK32" i="29"/>
  <c r="DF31" i="29"/>
  <c r="DE31" i="29"/>
  <c r="DF30" i="29"/>
  <c r="DE30" i="29"/>
  <c r="AZ30" i="29"/>
  <c r="AO30" i="29"/>
  <c r="AD30" i="29"/>
  <c r="DF29" i="29"/>
  <c r="DE29" i="29"/>
  <c r="BQ29" i="29"/>
  <c r="AO29" i="29"/>
  <c r="AD29" i="29"/>
  <c r="Y29" i="29"/>
  <c r="S29" i="29"/>
  <c r="DF28" i="29"/>
  <c r="DE28" i="29"/>
  <c r="BQ28" i="29"/>
  <c r="Y28" i="29"/>
  <c r="S28" i="29"/>
  <c r="DF27" i="29"/>
  <c r="DE27" i="29"/>
  <c r="BQ27" i="29"/>
  <c r="BK27" i="29"/>
  <c r="Y27" i="29"/>
  <c r="N27" i="29"/>
  <c r="H27" i="29"/>
  <c r="DF26" i="29"/>
  <c r="DE26" i="29"/>
  <c r="BQ26" i="29"/>
  <c r="Y26" i="29"/>
  <c r="N26" i="29"/>
  <c r="DF25" i="29"/>
  <c r="DE25" i="29"/>
  <c r="BQ25" i="29"/>
  <c r="Y25" i="29"/>
  <c r="N25" i="29"/>
  <c r="H25" i="29"/>
  <c r="DF24" i="29"/>
  <c r="DE24" i="29"/>
  <c r="BQ24" i="29"/>
  <c r="Y24" i="29"/>
  <c r="N24" i="29"/>
  <c r="H24" i="29"/>
  <c r="DF23" i="29"/>
  <c r="DE23" i="29"/>
  <c r="BQ23" i="29"/>
  <c r="Y23" i="29"/>
  <c r="N23" i="29"/>
  <c r="H23" i="29"/>
  <c r="DF22" i="29"/>
  <c r="DE22" i="29"/>
  <c r="BQ22" i="29"/>
  <c r="Y22" i="29"/>
  <c r="N22" i="29"/>
  <c r="DF21" i="29"/>
  <c r="DE21" i="29"/>
  <c r="BQ21" i="29"/>
  <c r="AO21" i="29"/>
  <c r="Y21" i="29"/>
  <c r="N21" i="29"/>
  <c r="DF20" i="29"/>
  <c r="DE20" i="29"/>
  <c r="BV20" i="29"/>
  <c r="BQ20" i="29"/>
  <c r="Y20" i="29"/>
  <c r="N20" i="29"/>
  <c r="DF19" i="29"/>
  <c r="DE19" i="29"/>
  <c r="BQ19" i="29"/>
  <c r="AK19" i="29"/>
  <c r="AJ19" i="29"/>
  <c r="Y19" i="29"/>
  <c r="N19" i="29"/>
  <c r="DF18" i="29"/>
  <c r="DE18" i="29"/>
  <c r="BQ18" i="29"/>
  <c r="AK18" i="29"/>
  <c r="AJ18" i="29"/>
  <c r="Y18" i="29"/>
  <c r="N18" i="29"/>
  <c r="DF17" i="29"/>
  <c r="DE17" i="29"/>
  <c r="BQ17" i="29"/>
  <c r="AK17" i="29"/>
  <c r="AJ17" i="29"/>
  <c r="Y17" i="29"/>
  <c r="N17" i="29"/>
  <c r="DF16" i="29"/>
  <c r="DE16" i="29"/>
  <c r="BQ16" i="29"/>
  <c r="BK16" i="29"/>
  <c r="AZ16" i="29"/>
  <c r="AO16" i="29"/>
  <c r="AK16" i="29"/>
  <c r="AJ16" i="29"/>
  <c r="Y16" i="29"/>
  <c r="S16" i="29"/>
  <c r="N16" i="29"/>
  <c r="H16" i="29"/>
  <c r="DF15" i="29"/>
  <c r="DE15" i="29"/>
  <c r="BQ15" i="29"/>
  <c r="AK15" i="29"/>
  <c r="AJ15" i="29"/>
  <c r="Y15" i="29"/>
  <c r="S15" i="29"/>
  <c r="N15" i="29"/>
  <c r="H15" i="29"/>
  <c r="DF14" i="29"/>
  <c r="DE14" i="29"/>
  <c r="BQ14" i="29"/>
  <c r="AK14" i="29"/>
  <c r="AJ14" i="29"/>
  <c r="Y14" i="29"/>
  <c r="N14" i="29"/>
  <c r="DF13" i="29"/>
  <c r="DE13" i="29"/>
  <c r="BQ13" i="29"/>
  <c r="AK13" i="29"/>
  <c r="AJ13" i="29"/>
  <c r="Y13" i="29"/>
  <c r="S13" i="29"/>
  <c r="N13" i="29"/>
  <c r="H13" i="29"/>
  <c r="DF12" i="29"/>
  <c r="DE12" i="29"/>
  <c r="BQ12" i="29"/>
  <c r="AZ12" i="29"/>
  <c r="AO12" i="29"/>
  <c r="AK12" i="29"/>
  <c r="AJ12" i="29"/>
  <c r="AD12" i="29"/>
  <c r="Y12" i="29"/>
  <c r="N12" i="29"/>
  <c r="DF11" i="29"/>
  <c r="DE11" i="29"/>
  <c r="BQ11" i="29"/>
  <c r="AK11" i="29"/>
  <c r="AJ11" i="29"/>
  <c r="Y11" i="29"/>
  <c r="N11" i="29"/>
  <c r="DF10" i="29"/>
  <c r="DE10" i="29"/>
  <c r="BQ10" i="29"/>
  <c r="AK10" i="29"/>
  <c r="AJ10" i="29"/>
  <c r="Y10" i="29"/>
  <c r="N10" i="29"/>
  <c r="DF9" i="29"/>
  <c r="DE9" i="29"/>
  <c r="BQ9" i="29"/>
  <c r="AK9" i="29"/>
  <c r="AJ9" i="29"/>
  <c r="Y9" i="29"/>
  <c r="N9" i="29"/>
  <c r="DF8" i="29"/>
  <c r="DE8" i="29"/>
  <c r="BQ8" i="29"/>
  <c r="AK8" i="29"/>
  <c r="AJ8" i="29"/>
  <c r="Y8" i="29"/>
  <c r="N8" i="29"/>
  <c r="DF7" i="29"/>
  <c r="DE7" i="29"/>
  <c r="CQ58" i="29"/>
  <c r="CS7" i="29" a="1"/>
  <c r="AH9" i="29" l="1"/>
  <c r="AH13" i="29"/>
  <c r="AH15" i="29"/>
  <c r="AH17" i="29"/>
  <c r="AH11" i="29"/>
  <c r="AH18" i="29"/>
  <c r="AH10" i="29"/>
  <c r="AH19" i="29"/>
  <c r="CW144" i="29"/>
  <c r="CT143" i="29"/>
  <c r="CV141" i="29"/>
  <c r="CS140" i="29"/>
  <c r="CU138" i="29"/>
  <c r="CW136" i="29"/>
  <c r="CT135" i="29"/>
  <c r="CV133" i="29"/>
  <c r="CS132" i="29"/>
  <c r="CU130" i="29"/>
  <c r="CU128" i="29"/>
  <c r="DD128" i="29" s="1"/>
  <c r="CS126" i="29"/>
  <c r="DB126" i="29" s="1"/>
  <c r="CV125" i="29"/>
  <c r="CT123" i="29"/>
  <c r="CW122" i="29"/>
  <c r="CU120" i="29"/>
  <c r="DD120" i="29" s="1"/>
  <c r="CS118" i="29"/>
  <c r="DB118" i="29" s="1"/>
  <c r="CV117" i="29"/>
  <c r="CT115" i="29"/>
  <c r="CW114" i="29"/>
  <c r="CU112" i="29"/>
  <c r="DD112" i="29" s="1"/>
  <c r="CS110" i="29"/>
  <c r="DB110" i="29" s="1"/>
  <c r="CV109" i="29"/>
  <c r="CT107" i="29"/>
  <c r="CW106" i="29"/>
  <c r="CU104" i="29"/>
  <c r="DD104" i="29" s="1"/>
  <c r="CS102" i="29"/>
  <c r="DB102" i="29" s="1"/>
  <c r="CV101" i="29"/>
  <c r="CT99" i="29"/>
  <c r="CW98" i="29"/>
  <c r="CU96" i="29"/>
  <c r="DD96" i="29" s="1"/>
  <c r="CS94" i="29"/>
  <c r="DB94" i="29" s="1"/>
  <c r="CV93" i="29"/>
  <c r="CT91" i="29"/>
  <c r="CW90" i="29"/>
  <c r="CU88" i="29"/>
  <c r="DD88" i="29" s="1"/>
  <c r="CS86" i="29"/>
  <c r="DB86" i="29" s="1"/>
  <c r="CV85" i="29"/>
  <c r="CT83" i="29"/>
  <c r="CW82" i="29"/>
  <c r="CU80" i="29"/>
  <c r="DD80" i="29" s="1"/>
  <c r="CS78" i="29"/>
  <c r="DB78" i="29" s="1"/>
  <c r="CV77" i="29"/>
  <c r="CT75" i="29"/>
  <c r="CW74" i="29"/>
  <c r="CU72" i="29"/>
  <c r="DD72" i="29" s="1"/>
  <c r="CS70" i="29"/>
  <c r="DB70" i="29" s="1"/>
  <c r="CV144" i="29"/>
  <c r="CS143" i="29"/>
  <c r="CU141" i="29"/>
  <c r="CW139" i="29"/>
  <c r="CT138" i="29"/>
  <c r="CV136" i="29"/>
  <c r="CS135" i="29"/>
  <c r="CU133" i="29"/>
  <c r="CW131" i="29"/>
  <c r="CT130" i="29"/>
  <c r="CT128" i="29"/>
  <c r="CW127" i="29"/>
  <c r="CU125" i="29"/>
  <c r="DD125" i="29" s="1"/>
  <c r="CS123" i="29"/>
  <c r="DB123" i="29" s="1"/>
  <c r="CV122" i="29"/>
  <c r="CT120" i="29"/>
  <c r="CW119" i="29"/>
  <c r="CU117" i="29"/>
  <c r="DD117" i="29" s="1"/>
  <c r="CS115" i="29"/>
  <c r="DB115" i="29" s="1"/>
  <c r="CV114" i="29"/>
  <c r="CT112" i="29"/>
  <c r="CW111" i="29"/>
  <c r="CU109" i="29"/>
  <c r="DD109" i="29" s="1"/>
  <c r="CS107" i="29"/>
  <c r="DB107" i="29" s="1"/>
  <c r="CV106" i="29"/>
  <c r="CT104" i="29"/>
  <c r="CW103" i="29"/>
  <c r="CU101" i="29"/>
  <c r="DD101" i="29" s="1"/>
  <c r="CS99" i="29"/>
  <c r="DB99" i="29" s="1"/>
  <c r="CV98" i="29"/>
  <c r="CT96" i="29"/>
  <c r="CW95" i="29"/>
  <c r="CU93" i="29"/>
  <c r="DD93" i="29" s="1"/>
  <c r="CU144" i="29"/>
  <c r="CW142" i="29"/>
  <c r="CT141" i="29"/>
  <c r="CV139" i="29"/>
  <c r="CS138" i="29"/>
  <c r="CU136" i="29"/>
  <c r="CW134" i="29"/>
  <c r="CT133" i="29"/>
  <c r="CV131" i="29"/>
  <c r="CS130" i="29"/>
  <c r="CW145" i="29"/>
  <c r="CV145" i="29"/>
  <c r="CS144" i="29"/>
  <c r="CU142" i="29"/>
  <c r="CW140" i="29"/>
  <c r="CT139" i="29"/>
  <c r="CV137" i="29"/>
  <c r="CS136" i="29"/>
  <c r="CU134" i="29"/>
  <c r="CW132" i="29"/>
  <c r="CT131" i="29"/>
  <c r="CV129" i="29"/>
  <c r="CT127" i="29"/>
  <c r="CW126" i="29"/>
  <c r="CU124" i="29"/>
  <c r="DD124" i="29" s="1"/>
  <c r="CS122" i="29"/>
  <c r="DB122" i="29" s="1"/>
  <c r="CV121" i="29"/>
  <c r="CT119" i="29"/>
  <c r="CW118" i="29"/>
  <c r="CU116" i="29"/>
  <c r="DD116" i="29" s="1"/>
  <c r="CS114" i="29"/>
  <c r="DB114" i="29" s="1"/>
  <c r="CV113" i="29"/>
  <c r="CT111" i="29"/>
  <c r="CW110" i="29"/>
  <c r="CU108" i="29"/>
  <c r="DD108" i="29" s="1"/>
  <c r="CS106" i="29"/>
  <c r="DB106" i="29" s="1"/>
  <c r="CV105" i="29"/>
  <c r="CT103" i="29"/>
  <c r="CW102" i="29"/>
  <c r="CU100" i="29"/>
  <c r="DD100" i="29" s="1"/>
  <c r="CS98" i="29"/>
  <c r="DB98" i="29" s="1"/>
  <c r="CV97" i="29"/>
  <c r="CT95" i="29"/>
  <c r="CW94" i="29"/>
  <c r="CU92" i="29"/>
  <c r="DD92" i="29" s="1"/>
  <c r="CS90" i="29"/>
  <c r="DB90" i="29" s="1"/>
  <c r="CV89" i="29"/>
  <c r="CT87" i="29"/>
  <c r="CW86" i="29"/>
  <c r="CU84" i="29"/>
  <c r="DD84" i="29" s="1"/>
  <c r="CS82" i="29"/>
  <c r="DB82" i="29" s="1"/>
  <c r="CV81" i="29"/>
  <c r="CT79" i="29"/>
  <c r="CW78" i="29"/>
  <c r="CU76" i="29"/>
  <c r="DD76" i="29" s="1"/>
  <c r="CS74" i="29"/>
  <c r="DB74" i="29" s="1"/>
  <c r="CV73" i="29"/>
  <c r="CT71" i="29"/>
  <c r="CW70" i="29"/>
  <c r="CU145" i="29"/>
  <c r="CW143" i="29"/>
  <c r="CT142" i="29"/>
  <c r="CV140" i="29"/>
  <c r="CS139" i="29"/>
  <c r="CU137" i="29"/>
  <c r="CW135" i="29"/>
  <c r="CT134" i="29"/>
  <c r="CV132" i="29"/>
  <c r="CS131" i="29"/>
  <c r="CU129" i="29"/>
  <c r="CS127" i="29"/>
  <c r="DB127" i="29" s="1"/>
  <c r="CV126" i="29"/>
  <c r="CT124" i="29"/>
  <c r="CW123" i="29"/>
  <c r="CU121" i="29"/>
  <c r="DD121" i="29" s="1"/>
  <c r="CS119" i="29"/>
  <c r="DB119" i="29" s="1"/>
  <c r="CV118" i="29"/>
  <c r="CT116" i="29"/>
  <c r="CW115" i="29"/>
  <c r="CU113" i="29"/>
  <c r="DD113" i="29" s="1"/>
  <c r="CS111" i="29"/>
  <c r="DB111" i="29" s="1"/>
  <c r="CV110" i="29"/>
  <c r="CT108" i="29"/>
  <c r="CW107" i="29"/>
  <c r="CU105" i="29"/>
  <c r="DD105" i="29" s="1"/>
  <c r="CS103" i="29"/>
  <c r="DB103" i="29" s="1"/>
  <c r="CV102" i="29"/>
  <c r="CT100" i="29"/>
  <c r="CW99" i="29"/>
  <c r="CU97" i="29"/>
  <c r="DD97" i="29" s="1"/>
  <c r="CS95" i="29"/>
  <c r="DB95" i="29" s="1"/>
  <c r="CV94" i="29"/>
  <c r="CT145" i="29"/>
  <c r="CV143" i="29"/>
  <c r="CS142" i="29"/>
  <c r="CU140" i="29"/>
  <c r="CW138" i="29"/>
  <c r="CT137" i="29"/>
  <c r="CV135" i="29"/>
  <c r="CS134" i="29"/>
  <c r="CU132" i="29"/>
  <c r="CW130" i="29"/>
  <c r="CT129" i="29"/>
  <c r="CW128" i="29"/>
  <c r="CU126" i="29"/>
  <c r="DD126" i="29" s="1"/>
  <c r="CS145" i="29"/>
  <c r="CU143" i="29"/>
  <c r="CW141" i="29"/>
  <c r="CT140" i="29"/>
  <c r="CV138" i="29"/>
  <c r="CS137" i="29"/>
  <c r="CU135" i="29"/>
  <c r="CW133" i="29"/>
  <c r="CT132" i="29"/>
  <c r="CV130" i="29"/>
  <c r="CS129" i="29"/>
  <c r="CV128" i="29"/>
  <c r="CT126" i="29"/>
  <c r="CW125" i="29"/>
  <c r="CU123" i="29"/>
  <c r="DD123" i="29" s="1"/>
  <c r="CS121" i="29"/>
  <c r="DB121" i="29" s="1"/>
  <c r="CV120" i="29"/>
  <c r="CT118" i="29"/>
  <c r="CW117" i="29"/>
  <c r="CU115" i="29"/>
  <c r="DD115" i="29" s="1"/>
  <c r="CS113" i="29"/>
  <c r="DB113" i="29" s="1"/>
  <c r="CV112" i="29"/>
  <c r="CT110" i="29"/>
  <c r="CW109" i="29"/>
  <c r="CU107" i="29"/>
  <c r="DD107" i="29" s="1"/>
  <c r="CS105" i="29"/>
  <c r="DB105" i="29" s="1"/>
  <c r="CV104" i="29"/>
  <c r="CT102" i="29"/>
  <c r="CW101" i="29"/>
  <c r="CU99" i="29"/>
  <c r="DD99" i="29" s="1"/>
  <c r="CS97" i="29"/>
  <c r="DB97" i="29" s="1"/>
  <c r="CV96" i="29"/>
  <c r="CT94" i="29"/>
  <c r="CW93" i="29"/>
  <c r="CU91" i="29"/>
  <c r="DD91" i="29" s="1"/>
  <c r="CS89" i="29"/>
  <c r="DB89" i="29" s="1"/>
  <c r="CV88" i="29"/>
  <c r="CT86" i="29"/>
  <c r="CW85" i="29"/>
  <c r="CU83" i="29"/>
  <c r="DD83" i="29" s="1"/>
  <c r="CS81" i="29"/>
  <c r="DB81" i="29" s="1"/>
  <c r="CV80" i="29"/>
  <c r="CT78" i="29"/>
  <c r="CW77" i="29"/>
  <c r="CU75" i="29"/>
  <c r="DD75" i="29" s="1"/>
  <c r="CS73" i="29"/>
  <c r="DB73" i="29" s="1"/>
  <c r="CV72" i="29"/>
  <c r="CS133" i="29"/>
  <c r="CU118" i="29"/>
  <c r="DD118" i="29" s="1"/>
  <c r="CU110" i="29"/>
  <c r="DD110" i="29" s="1"/>
  <c r="CU102" i="29"/>
  <c r="DD102" i="29" s="1"/>
  <c r="CU94" i="29"/>
  <c r="DD94" i="29" s="1"/>
  <c r="CW84" i="29"/>
  <c r="CW83" i="29"/>
  <c r="CV82" i="29"/>
  <c r="CW81" i="29"/>
  <c r="CT80" i="29"/>
  <c r="CU79" i="29"/>
  <c r="DD79" i="29" s="1"/>
  <c r="CV78" i="29"/>
  <c r="CT77" i="29"/>
  <c r="CS76" i="29"/>
  <c r="DB76" i="29" s="1"/>
  <c r="CT69" i="29"/>
  <c r="CV68" i="29"/>
  <c r="CT66" i="29"/>
  <c r="CW65" i="29"/>
  <c r="CS64" i="29"/>
  <c r="DB64" i="29" s="1"/>
  <c r="CV63" i="29"/>
  <c r="CV61" i="29"/>
  <c r="CT144" i="29"/>
  <c r="CU131" i="29"/>
  <c r="CV123" i="29"/>
  <c r="CV119" i="29"/>
  <c r="CV115" i="29"/>
  <c r="CV111" i="29"/>
  <c r="CV107" i="29"/>
  <c r="CV103" i="29"/>
  <c r="CV99" i="29"/>
  <c r="CV95" i="29"/>
  <c r="CW87" i="29"/>
  <c r="CV84" i="29"/>
  <c r="CV83" i="29"/>
  <c r="CU82" i="29"/>
  <c r="DD82" i="29" s="1"/>
  <c r="CU81" i="29"/>
  <c r="DD81" i="29" s="1"/>
  <c r="CS80" i="29"/>
  <c r="DB80" i="29" s="1"/>
  <c r="CS79" i="29"/>
  <c r="DB79" i="29" s="1"/>
  <c r="CU78" i="29"/>
  <c r="DD78" i="29" s="1"/>
  <c r="CS77" i="29"/>
  <c r="DB77" i="29" s="1"/>
  <c r="CS69" i="29"/>
  <c r="DB69" i="29" s="1"/>
  <c r="CU68" i="29"/>
  <c r="DD68" i="29" s="1"/>
  <c r="CV142" i="29"/>
  <c r="CW129" i="29"/>
  <c r="CW124" i="29"/>
  <c r="CW120" i="29"/>
  <c r="CU119" i="29"/>
  <c r="DD119" i="29" s="1"/>
  <c r="CW116" i="29"/>
  <c r="CW112" i="29"/>
  <c r="CU111" i="29"/>
  <c r="DD111" i="29" s="1"/>
  <c r="CW108" i="29"/>
  <c r="CW104" i="29"/>
  <c r="CU103" i="29"/>
  <c r="DD103" i="29" s="1"/>
  <c r="CW100" i="29"/>
  <c r="CW96" i="29"/>
  <c r="CU95" i="29"/>
  <c r="DD95" i="29" s="1"/>
  <c r="CW92" i="29"/>
  <c r="CW91" i="29"/>
  <c r="CV90" i="29"/>
  <c r="CW89" i="29"/>
  <c r="CW88" i="29"/>
  <c r="CV87" i="29"/>
  <c r="CU85" i="29"/>
  <c r="DD85" i="29" s="1"/>
  <c r="CT84" i="29"/>
  <c r="CS83" i="29"/>
  <c r="DB83" i="29" s="1"/>
  <c r="CT82" i="29"/>
  <c r="CT81" i="29"/>
  <c r="CT68" i="29"/>
  <c r="CW67" i="29"/>
  <c r="CU65" i="29"/>
  <c r="DD65" i="29" s="1"/>
  <c r="CT63" i="29"/>
  <c r="CT61" i="29"/>
  <c r="CW60" i="29"/>
  <c r="CU58" i="29"/>
  <c r="DD58" i="29" s="1"/>
  <c r="CW55" i="29"/>
  <c r="CV124" i="29"/>
  <c r="CS120" i="29"/>
  <c r="DB120" i="29" s="1"/>
  <c r="CV116" i="29"/>
  <c r="CS112" i="29"/>
  <c r="DB112" i="29" s="1"/>
  <c r="CV100" i="29"/>
  <c r="CS96" i="29"/>
  <c r="DB96" i="29" s="1"/>
  <c r="CV92" i="29"/>
  <c r="CV91" i="29"/>
  <c r="CU90" i="29"/>
  <c r="DD90" i="29" s="1"/>
  <c r="CU89" i="29"/>
  <c r="DD89" i="29" s="1"/>
  <c r="CT88" i="29"/>
  <c r="CU87" i="29"/>
  <c r="DD87" i="29" s="1"/>
  <c r="CV86" i="29"/>
  <c r="CT85" i="29"/>
  <c r="CS68" i="29"/>
  <c r="DB68" i="29" s="1"/>
  <c r="CV67" i="29"/>
  <c r="CS63" i="29"/>
  <c r="DB63" i="29" s="1"/>
  <c r="CW62" i="29"/>
  <c r="CS141" i="29"/>
  <c r="CV108" i="29"/>
  <c r="CS104" i="29"/>
  <c r="DB104" i="29" s="1"/>
  <c r="CS84" i="29"/>
  <c r="DB84" i="29" s="1"/>
  <c r="CW71" i="29"/>
  <c r="CT65" i="29"/>
  <c r="CS61" i="29"/>
  <c r="DB61" i="29" s="1"/>
  <c r="CV60" i="29"/>
  <c r="CT58" i="29"/>
  <c r="CU139" i="29"/>
  <c r="CV127" i="29"/>
  <c r="CS124" i="29"/>
  <c r="DB124" i="29" s="1"/>
  <c r="CW121" i="29"/>
  <c r="CS116" i="29"/>
  <c r="DB116" i="29" s="1"/>
  <c r="CW113" i="29"/>
  <c r="CS108" i="29"/>
  <c r="DB108" i="29" s="1"/>
  <c r="CW105" i="29"/>
  <c r="CS100" i="29"/>
  <c r="DB100" i="29" s="1"/>
  <c r="CW97" i="29"/>
  <c r="CT92" i="29"/>
  <c r="CS91" i="29"/>
  <c r="DB91" i="29" s="1"/>
  <c r="CT90" i="29"/>
  <c r="CT89" i="29"/>
  <c r="CS88" i="29"/>
  <c r="DB88" i="29" s="1"/>
  <c r="CS87" i="29"/>
  <c r="DB87" i="29" s="1"/>
  <c r="CU86" i="29"/>
  <c r="DD86" i="29" s="1"/>
  <c r="CS85" i="29"/>
  <c r="DB85" i="29" s="1"/>
  <c r="CW72" i="29"/>
  <c r="CV71" i="29"/>
  <c r="CU67" i="29"/>
  <c r="DD67" i="29" s="1"/>
  <c r="CS65" i="29"/>
  <c r="DB65" i="29" s="1"/>
  <c r="CW64" i="29"/>
  <c r="CV62" i="29"/>
  <c r="CU60" i="29"/>
  <c r="DD60" i="29" s="1"/>
  <c r="CS58" i="29"/>
  <c r="DB58" i="29" s="1"/>
  <c r="CW57" i="29"/>
  <c r="CU55" i="29"/>
  <c r="DD55" i="29" s="1"/>
  <c r="CW75" i="29"/>
  <c r="CV74" i="29"/>
  <c r="CW73" i="29"/>
  <c r="CT72" i="29"/>
  <c r="CU71" i="29"/>
  <c r="DD71" i="29" s="1"/>
  <c r="CV70" i="29"/>
  <c r="CT67" i="29"/>
  <c r="CW66" i="29"/>
  <c r="CV57" i="29"/>
  <c r="CW56" i="29"/>
  <c r="CW68" i="29"/>
  <c r="CU66" i="29"/>
  <c r="DD66" i="29" s="1"/>
  <c r="CT64" i="29"/>
  <c r="CW137" i="29"/>
  <c r="CU127" i="29"/>
  <c r="DD127" i="29" s="1"/>
  <c r="CT125" i="29"/>
  <c r="CT121" i="29"/>
  <c r="CT117" i="29"/>
  <c r="CT113" i="29"/>
  <c r="CT109" i="29"/>
  <c r="CT105" i="29"/>
  <c r="CT101" i="29"/>
  <c r="CT97" i="29"/>
  <c r="CT93" i="29"/>
  <c r="CS92" i="29"/>
  <c r="DB92" i="29" s="1"/>
  <c r="CW76" i="29"/>
  <c r="CW69" i="29"/>
  <c r="CV64" i="29"/>
  <c r="CU62" i="29"/>
  <c r="DD62" i="29" s="1"/>
  <c r="CT60" i="29"/>
  <c r="CW59" i="29"/>
  <c r="CT55" i="29"/>
  <c r="CT70" i="29"/>
  <c r="CW63" i="29"/>
  <c r="CS62" i="29"/>
  <c r="DB62" i="29" s="1"/>
  <c r="CW61" i="29"/>
  <c r="CU59" i="29"/>
  <c r="DD59" i="29" s="1"/>
  <c r="CT136" i="29"/>
  <c r="CS125" i="29"/>
  <c r="DB125" i="29" s="1"/>
  <c r="CU122" i="29"/>
  <c r="DD122" i="29" s="1"/>
  <c r="CS117" i="29"/>
  <c r="DB117" i="29" s="1"/>
  <c r="CU114" i="29"/>
  <c r="DD114" i="29" s="1"/>
  <c r="CS109" i="29"/>
  <c r="DB109" i="29" s="1"/>
  <c r="CU106" i="29"/>
  <c r="DD106" i="29" s="1"/>
  <c r="CS101" i="29"/>
  <c r="DB101" i="29" s="1"/>
  <c r="CU98" i="29"/>
  <c r="DD98" i="29" s="1"/>
  <c r="CS93" i="29"/>
  <c r="DB93" i="29" s="1"/>
  <c r="CW79" i="29"/>
  <c r="CV76" i="29"/>
  <c r="CV75" i="29"/>
  <c r="CU74" i="29"/>
  <c r="DD74" i="29" s="1"/>
  <c r="CU73" i="29"/>
  <c r="DD73" i="29" s="1"/>
  <c r="CS72" i="29"/>
  <c r="DB72" i="29" s="1"/>
  <c r="CS71" i="29"/>
  <c r="DB71" i="29" s="1"/>
  <c r="CU70" i="29"/>
  <c r="DD70" i="29" s="1"/>
  <c r="CV69" i="29"/>
  <c r="CS67" i="29"/>
  <c r="DB67" i="29" s="1"/>
  <c r="CV66" i="29"/>
  <c r="CU64" i="29"/>
  <c r="DD64" i="29" s="1"/>
  <c r="CT62" i="29"/>
  <c r="CS60" i="29"/>
  <c r="DB60" i="29" s="1"/>
  <c r="CV59" i="29"/>
  <c r="CU57" i="29"/>
  <c r="DD57" i="29" s="1"/>
  <c r="CV56" i="29"/>
  <c r="CS55" i="29"/>
  <c r="DB55" i="29" s="1"/>
  <c r="CV134" i="29"/>
  <c r="CS128" i="29"/>
  <c r="DB128" i="29" s="1"/>
  <c r="CT122" i="29"/>
  <c r="CT114" i="29"/>
  <c r="CT106" i="29"/>
  <c r="CT98" i="29"/>
  <c r="CW80" i="29"/>
  <c r="CV79" i="29"/>
  <c r="CU77" i="29"/>
  <c r="DD77" i="29" s="1"/>
  <c r="CT76" i="29"/>
  <c r="CS75" i="29"/>
  <c r="DB75" i="29" s="1"/>
  <c r="CT74" i="29"/>
  <c r="CT73" i="29"/>
  <c r="CU69" i="29"/>
  <c r="DD69" i="29" s="1"/>
  <c r="CS66" i="29"/>
  <c r="DB66" i="29" s="1"/>
  <c r="CU56" i="29"/>
  <c r="DD56" i="29" s="1"/>
  <c r="CU63" i="29"/>
  <c r="DD63" i="29" s="1"/>
  <c r="CT59" i="29"/>
  <c r="CT56" i="29"/>
  <c r="CS59" i="29"/>
  <c r="DB59" i="29" s="1"/>
  <c r="CT57" i="29"/>
  <c r="CV65" i="29"/>
  <c r="CU61" i="29"/>
  <c r="DD61" i="29" s="1"/>
  <c r="CV55" i="29"/>
  <c r="CS56" i="29"/>
  <c r="DB56" i="29" s="1"/>
  <c r="CS57" i="29"/>
  <c r="DB57" i="29" s="1"/>
  <c r="CW58" i="29"/>
  <c r="CV58" i="29"/>
  <c r="CW54" i="29"/>
  <c r="CV54" i="29"/>
  <c r="CU54" i="29"/>
  <c r="DD54" i="29" s="1"/>
  <c r="CT54" i="29"/>
  <c r="CS54" i="29"/>
  <c r="DB54" i="29" s="1"/>
  <c r="CU53" i="29"/>
  <c r="DD53" i="29" s="1"/>
  <c r="CT46" i="29"/>
  <c r="CW47" i="29"/>
  <c r="CS46" i="29"/>
  <c r="DB46" i="29" s="1"/>
  <c r="CW45" i="29"/>
  <c r="CU50" i="29"/>
  <c r="DD50" i="29" s="1"/>
  <c r="CV47" i="29"/>
  <c r="CS53" i="29"/>
  <c r="DB53" i="29" s="1"/>
  <c r="CW51" i="29"/>
  <c r="CT50" i="29"/>
  <c r="CW49" i="29"/>
  <c r="CW48" i="29"/>
  <c r="CU47" i="29"/>
  <c r="DD47" i="29" s="1"/>
  <c r="CU45" i="29"/>
  <c r="DD45" i="29" s="1"/>
  <c r="CW52" i="29"/>
  <c r="CV49" i="29"/>
  <c r="CV48" i="29"/>
  <c r="CT47" i="29"/>
  <c r="CT45" i="29"/>
  <c r="CV52" i="29"/>
  <c r="CV51" i="29"/>
  <c r="CS50" i="29"/>
  <c r="DB50" i="29" s="1"/>
  <c r="CU51" i="29"/>
  <c r="DD51" i="29" s="1"/>
  <c r="CU49" i="29"/>
  <c r="DD49" i="29" s="1"/>
  <c r="CS47" i="29"/>
  <c r="DB47" i="29" s="1"/>
  <c r="CU48" i="29"/>
  <c r="DD48" i="29" s="1"/>
  <c r="CW46" i="29"/>
  <c r="CS45" i="29"/>
  <c r="DB45" i="29" s="1"/>
  <c r="CT48" i="29"/>
  <c r="CW53" i="29"/>
  <c r="CU52" i="29"/>
  <c r="DD52" i="29" s="1"/>
  <c r="CT51" i="29"/>
  <c r="CT49" i="29"/>
  <c r="CV46" i="29"/>
  <c r="CV45" i="29"/>
  <c r="CV53" i="29"/>
  <c r="CT52" i="29"/>
  <c r="CS51" i="29"/>
  <c r="DB51" i="29" s="1"/>
  <c r="CS49" i="29"/>
  <c r="DB49" i="29" s="1"/>
  <c r="CS48" i="29"/>
  <c r="DB48" i="29" s="1"/>
  <c r="CU46" i="29"/>
  <c r="DD46" i="29" s="1"/>
  <c r="CS52" i="29"/>
  <c r="DB52" i="29" s="1"/>
  <c r="CW50" i="29"/>
  <c r="CT53" i="29"/>
  <c r="CV50" i="29"/>
  <c r="CV44" i="29"/>
  <c r="CT43" i="29"/>
  <c r="CT42" i="29"/>
  <c r="CU39" i="29"/>
  <c r="DD39" i="29" s="1"/>
  <c r="CU44" i="29"/>
  <c r="DD44" i="29" s="1"/>
  <c r="CS43" i="29"/>
  <c r="DB43" i="29" s="1"/>
  <c r="CS42" i="29"/>
  <c r="DB42" i="29" s="1"/>
  <c r="CT39" i="29"/>
  <c r="CV37" i="29"/>
  <c r="CU36" i="29"/>
  <c r="DD36" i="29" s="1"/>
  <c r="CW33" i="29"/>
  <c r="CW32" i="29"/>
  <c r="CT31" i="29"/>
  <c r="CW29" i="29"/>
  <c r="CU28" i="29"/>
  <c r="DD28" i="29" s="1"/>
  <c r="CW26" i="29"/>
  <c r="CT25" i="29"/>
  <c r="CW21" i="29"/>
  <c r="CW20" i="29"/>
  <c r="CW19" i="29"/>
  <c r="CS17" i="29"/>
  <c r="DB17" i="29" s="1"/>
  <c r="CU16" i="29"/>
  <c r="DD16" i="29" s="1"/>
  <c r="CT15" i="29"/>
  <c r="CV12" i="29"/>
  <c r="CS11" i="29"/>
  <c r="DB11" i="29" s="1"/>
  <c r="CU10" i="29"/>
  <c r="DD10" i="29" s="1"/>
  <c r="CW9" i="29"/>
  <c r="CT44" i="29"/>
  <c r="CW41" i="29"/>
  <c r="CS39" i="29"/>
  <c r="DB39" i="29" s="1"/>
  <c r="CW38" i="29"/>
  <c r="CU37" i="29"/>
  <c r="DD37" i="29" s="1"/>
  <c r="CT36" i="29"/>
  <c r="CW34" i="29"/>
  <c r="CV33" i="29"/>
  <c r="CV32" i="29"/>
  <c r="CS31" i="29"/>
  <c r="DB31" i="29" s="1"/>
  <c r="CW30" i="29"/>
  <c r="CV29" i="29"/>
  <c r="CT28" i="29"/>
  <c r="CW27" i="29"/>
  <c r="CV26" i="29"/>
  <c r="CS25" i="29"/>
  <c r="DB25" i="29" s="1"/>
  <c r="CW23" i="29"/>
  <c r="CW22" i="29"/>
  <c r="CV21" i="29"/>
  <c r="CV20" i="29"/>
  <c r="CV19" i="29"/>
  <c r="CT16" i="29"/>
  <c r="CS15" i="29"/>
  <c r="DB15" i="29" s="1"/>
  <c r="CW14" i="29"/>
  <c r="CU12" i="29"/>
  <c r="DD12" i="29" s="1"/>
  <c r="CT10" i="29"/>
  <c r="CV9" i="29"/>
  <c r="CS7" i="29"/>
  <c r="DB7" i="29" s="1"/>
  <c r="CW35" i="29"/>
  <c r="CU34" i="29"/>
  <c r="DD34" i="29" s="1"/>
  <c r="CT33" i="29"/>
  <c r="CS44" i="29"/>
  <c r="DB44" i="29" s="1"/>
  <c r="CV41" i="29"/>
  <c r="CW40" i="29"/>
  <c r="CV38" i="29"/>
  <c r="CT37" i="29"/>
  <c r="CS36" i="29"/>
  <c r="DB36" i="29" s="1"/>
  <c r="CV34" i="29"/>
  <c r="CU33" i="29"/>
  <c r="DD33" i="29" s="1"/>
  <c r="CU32" i="29"/>
  <c r="DD32" i="29" s="1"/>
  <c r="CV30" i="29"/>
  <c r="CU29" i="29"/>
  <c r="DD29" i="29" s="1"/>
  <c r="CS28" i="29"/>
  <c r="DB28" i="29" s="1"/>
  <c r="CV27" i="29"/>
  <c r="CU26" i="29"/>
  <c r="DD26" i="29" s="1"/>
  <c r="CV23" i="29"/>
  <c r="CV22" i="29"/>
  <c r="CU21" i="29"/>
  <c r="DD21" i="29" s="1"/>
  <c r="CU20" i="29"/>
  <c r="DD20" i="29" s="1"/>
  <c r="CU19" i="29"/>
  <c r="DD19" i="29" s="1"/>
  <c r="CW18" i="29"/>
  <c r="CS16" i="29"/>
  <c r="DB16" i="29" s="1"/>
  <c r="CV14" i="29"/>
  <c r="CT12" i="29"/>
  <c r="CS10" i="29"/>
  <c r="DB10" i="29" s="1"/>
  <c r="CU9" i="29"/>
  <c r="DD9" i="29" s="1"/>
  <c r="CW8" i="29"/>
  <c r="CU41" i="29"/>
  <c r="DD41" i="29" s="1"/>
  <c r="CV40" i="29"/>
  <c r="CU38" i="29"/>
  <c r="DD38" i="29" s="1"/>
  <c r="CS37" i="29"/>
  <c r="DB37" i="29" s="1"/>
  <c r="CT32" i="29"/>
  <c r="CW43" i="29"/>
  <c r="CW42" i="29"/>
  <c r="CT41" i="29"/>
  <c r="CU40" i="29"/>
  <c r="DD40" i="29" s="1"/>
  <c r="CT38" i="29"/>
  <c r="CV35" i="29"/>
  <c r="CT34" i="29"/>
  <c r="CS33" i="29"/>
  <c r="DB33" i="29" s="1"/>
  <c r="CS32" i="29"/>
  <c r="DB32" i="29" s="1"/>
  <c r="CT30" i="29"/>
  <c r="CS29" i="29"/>
  <c r="DB29" i="29" s="1"/>
  <c r="CT27" i="29"/>
  <c r="CS26" i="29"/>
  <c r="DB26" i="29" s="1"/>
  <c r="CV24" i="29"/>
  <c r="CT23" i="29"/>
  <c r="CT22" i="29"/>
  <c r="CS21" i="29"/>
  <c r="DB21" i="29" s="1"/>
  <c r="CS20" i="29"/>
  <c r="DB20" i="29" s="1"/>
  <c r="CS19" i="29"/>
  <c r="DB19" i="29" s="1"/>
  <c r="CV43" i="29"/>
  <c r="CV42" i="29"/>
  <c r="CS41" i="29"/>
  <c r="DB41" i="29" s="1"/>
  <c r="CT40" i="29"/>
  <c r="CW39" i="29"/>
  <c r="CS38" i="29"/>
  <c r="DB38" i="29" s="1"/>
  <c r="CU35" i="29"/>
  <c r="DD35" i="29" s="1"/>
  <c r="CS34" i="29"/>
  <c r="DB34" i="29" s="1"/>
  <c r="CW31" i="29"/>
  <c r="CS30" i="29"/>
  <c r="DB30" i="29" s="1"/>
  <c r="CS27" i="29"/>
  <c r="DB27" i="29" s="1"/>
  <c r="CW25" i="29"/>
  <c r="CU24" i="29"/>
  <c r="DD24" i="29" s="1"/>
  <c r="CS23" i="29"/>
  <c r="DB23" i="29" s="1"/>
  <c r="CS22" i="29"/>
  <c r="DB22" i="29" s="1"/>
  <c r="CT18" i="29"/>
  <c r="CV17" i="29"/>
  <c r="CW15" i="29"/>
  <c r="CS14" i="29"/>
  <c r="DB14" i="29" s="1"/>
  <c r="CU13" i="29"/>
  <c r="DD13" i="29" s="1"/>
  <c r="CV11" i="29"/>
  <c r="CT8" i="29"/>
  <c r="CW7" i="29"/>
  <c r="CW37" i="29"/>
  <c r="CV36" i="29"/>
  <c r="CS35" i="29"/>
  <c r="DB35" i="29" s="1"/>
  <c r="CV28" i="29"/>
  <c r="CV16" i="29"/>
  <c r="CW44" i="29"/>
  <c r="CU43" i="29"/>
  <c r="DD43" i="29" s="1"/>
  <c r="CU42" i="29"/>
  <c r="DD42" i="29" s="1"/>
  <c r="CS40" i="29"/>
  <c r="DB40" i="29" s="1"/>
  <c r="CV39" i="29"/>
  <c r="CW36" i="29"/>
  <c r="CT35" i="29"/>
  <c r="CV31" i="29"/>
  <c r="CW28" i="29"/>
  <c r="CV25" i="29"/>
  <c r="CT24" i="29"/>
  <c r="CS18" i="29"/>
  <c r="DB18" i="29" s="1"/>
  <c r="CU17" i="29"/>
  <c r="DD17" i="29" s="1"/>
  <c r="CW16" i="29"/>
  <c r="CV15" i="29"/>
  <c r="CT13" i="29"/>
  <c r="CU11" i="29"/>
  <c r="DD11" i="29" s="1"/>
  <c r="CW10" i="29"/>
  <c r="CS8" i="29"/>
  <c r="DB8" i="29" s="1"/>
  <c r="CV7" i="29"/>
  <c r="CU31" i="29"/>
  <c r="DD31" i="29" s="1"/>
  <c r="CU25" i="29"/>
  <c r="DD25" i="29" s="1"/>
  <c r="CS24" i="29"/>
  <c r="DB24" i="29" s="1"/>
  <c r="CT17" i="29"/>
  <c r="CW17" i="29"/>
  <c r="CS9" i="29"/>
  <c r="DB9" i="29" s="1"/>
  <c r="CU7" i="29"/>
  <c r="DD7" i="29" s="1"/>
  <c r="CW13" i="29"/>
  <c r="CT7" i="29"/>
  <c r="CU14" i="29"/>
  <c r="DD14" i="29" s="1"/>
  <c r="CV8" i="29"/>
  <c r="CV10" i="29"/>
  <c r="CV13" i="29"/>
  <c r="CW12" i="29"/>
  <c r="CW11" i="29"/>
  <c r="CU30" i="29"/>
  <c r="DD30" i="29" s="1"/>
  <c r="CT9" i="29"/>
  <c r="CT21" i="29"/>
  <c r="CT20" i="29"/>
  <c r="CT19" i="29"/>
  <c r="CS13" i="29"/>
  <c r="DB13" i="29" s="1"/>
  <c r="CS12" i="29"/>
  <c r="DB12" i="29" s="1"/>
  <c r="CT11" i="29"/>
  <c r="CW24" i="29"/>
  <c r="CU23" i="29"/>
  <c r="DD23" i="29" s="1"/>
  <c r="CU22" i="29"/>
  <c r="DD22" i="29" s="1"/>
  <c r="CV18" i="29"/>
  <c r="CT26" i="29"/>
  <c r="CT29" i="29"/>
  <c r="CU18" i="29"/>
  <c r="DD18" i="29" s="1"/>
  <c r="CT14" i="29"/>
  <c r="CU27" i="29"/>
  <c r="DD27" i="29" s="1"/>
  <c r="CU15" i="29"/>
  <c r="DD15" i="29" s="1"/>
  <c r="CU8" i="29"/>
  <c r="DD8" i="29" s="1"/>
  <c r="AH16" i="29"/>
  <c r="AH8" i="29"/>
  <c r="AH12" i="29"/>
  <c r="AH14" i="29"/>
  <c r="L44" i="29"/>
  <c r="W44" i="29"/>
  <c r="BK54" i="29"/>
  <c r="BK63" i="29" s="1"/>
  <c r="BK49" i="29"/>
  <c r="CQ7" i="29"/>
  <c r="CK7" i="29"/>
  <c r="CE7" i="29"/>
  <c r="BV7" i="29"/>
  <c r="BK7" i="29"/>
  <c r="AZ7" i="29"/>
  <c r="AO7" i="29"/>
  <c r="AK7" i="29"/>
  <c r="AJ7" i="29"/>
  <c r="AD7" i="29"/>
  <c r="Y7" i="29"/>
  <c r="S7" i="29"/>
  <c r="N7" i="29"/>
  <c r="H7" i="29"/>
  <c r="BN2" i="29"/>
  <c r="BC2" i="29"/>
  <c r="AR2" i="29"/>
  <c r="AG2" i="29"/>
  <c r="V2" i="29"/>
  <c r="K2" i="29"/>
  <c r="BK73" i="39"/>
  <c r="BK69" i="39"/>
  <c r="BK68" i="39"/>
  <c r="H57" i="39"/>
  <c r="AZ56" i="39"/>
  <c r="AO56" i="39"/>
  <c r="AD56" i="39"/>
  <c r="H56" i="39"/>
  <c r="H8" i="29"/>
  <c r="CQ8" i="29"/>
  <c r="CE8" i="29"/>
  <c r="BV8" i="29"/>
  <c r="CK8" i="29"/>
  <c r="BK8" i="29"/>
  <c r="AO8" i="29"/>
  <c r="S8" i="29"/>
  <c r="AD8" i="29"/>
  <c r="AZ8" i="29"/>
  <c r="CX10" i="29" l="1"/>
  <c r="CX16" i="29"/>
  <c r="AH7" i="29"/>
  <c r="CX37" i="29"/>
  <c r="CX13" i="29"/>
  <c r="CX36" i="29"/>
  <c r="CX31" i="29"/>
  <c r="CX22" i="29"/>
  <c r="CX8" i="29"/>
  <c r="CX32" i="29"/>
  <c r="CX24" i="29"/>
  <c r="CX28" i="29"/>
  <c r="CX25" i="29"/>
  <c r="CX35" i="29"/>
  <c r="CX45" i="29"/>
  <c r="BO49" i="29"/>
  <c r="CQ49" i="29"/>
  <c r="L49" i="29"/>
  <c r="AH49" i="29"/>
  <c r="W49" i="29"/>
  <c r="CE49" i="29"/>
  <c r="CK49" i="29"/>
  <c r="CX40" i="29"/>
  <c r="CX41" i="29"/>
  <c r="CX19" i="29"/>
  <c r="CX26" i="29"/>
  <c r="CX38" i="29"/>
  <c r="CX48" i="29"/>
  <c r="CX23" i="29"/>
  <c r="CX15" i="29"/>
  <c r="CX18" i="29"/>
  <c r="CX30" i="29"/>
  <c r="CX29" i="29"/>
  <c r="CX46" i="29"/>
  <c r="CX47" i="29"/>
  <c r="CX11" i="29"/>
  <c r="CX42" i="29"/>
  <c r="CX14" i="29"/>
  <c r="CX9" i="29"/>
  <c r="CX20" i="29"/>
  <c r="CX33" i="29"/>
  <c r="CX12" i="29"/>
  <c r="CX43" i="29"/>
  <c r="CX34" i="29"/>
  <c r="CX21" i="29"/>
  <c r="CX17" i="29"/>
  <c r="CX44" i="29"/>
  <c r="CX39" i="29"/>
  <c r="CX27" i="29"/>
  <c r="BK55" i="39"/>
  <c r="AZ55" i="39"/>
  <c r="AO55" i="39"/>
  <c r="AD55" i="39"/>
  <c r="H55" i="39"/>
  <c r="BK54" i="39"/>
  <c r="AZ53" i="39"/>
  <c r="AO53" i="39"/>
  <c r="AD53" i="39"/>
  <c r="BK52" i="39"/>
  <c r="AO52" i="39"/>
  <c r="AD52" i="39"/>
  <c r="BK51" i="39"/>
  <c r="H51" i="39"/>
  <c r="BO50" i="39"/>
  <c r="AO50" i="39"/>
  <c r="AH50" i="39"/>
  <c r="W50" i="39"/>
  <c r="L50" i="39"/>
  <c r="H50" i="39"/>
  <c r="AZ49" i="39"/>
  <c r="AO49" i="39"/>
  <c r="AD49" i="39"/>
  <c r="S49" i="39"/>
  <c r="H49" i="39"/>
  <c r="BO48" i="39"/>
  <c r="AZ48" i="39"/>
  <c r="AO48" i="39"/>
  <c r="AH48" i="39"/>
  <c r="AD48" i="39"/>
  <c r="S45" i="39"/>
  <c r="BO44" i="39"/>
  <c r="BK44" i="39"/>
  <c r="AO44" i="39"/>
  <c r="AH44" i="39"/>
  <c r="AD44" i="39"/>
  <c r="S44" i="39"/>
  <c r="BK43" i="39"/>
  <c r="AZ43" i="39"/>
  <c r="AO43" i="39"/>
  <c r="AD43" i="39"/>
  <c r="S43" i="39"/>
  <c r="S42" i="39"/>
  <c r="BZ41" i="39"/>
  <c r="BO41" i="39"/>
  <c r="BK41" i="39"/>
  <c r="AZ41" i="39"/>
  <c r="AO41" i="39"/>
  <c r="AH41" i="39"/>
  <c r="AD41" i="39"/>
  <c r="W41" i="39"/>
  <c r="S41" i="39"/>
  <c r="L41" i="39"/>
  <c r="BZ40" i="39"/>
  <c r="BK40" i="39"/>
  <c r="AZ40" i="39"/>
  <c r="AO40" i="39"/>
  <c r="AD40" i="39"/>
  <c r="BZ38" i="39"/>
  <c r="BO38" i="39"/>
  <c r="BK38" i="39"/>
  <c r="AZ38" i="39"/>
  <c r="AZ29" i="39" s="1"/>
  <c r="AO38" i="39"/>
  <c r="AH38" i="39"/>
  <c r="AD38" i="39"/>
  <c r="W38" i="39"/>
  <c r="W48" i="39" s="1"/>
  <c r="L38" i="39"/>
  <c r="L48" i="39" s="1"/>
  <c r="BK37" i="39"/>
  <c r="AO37" i="39"/>
  <c r="AD37" i="39"/>
  <c r="AZ35" i="39"/>
  <c r="AZ34" i="39"/>
  <c r="AO34" i="39"/>
  <c r="AD34" i="39"/>
  <c r="S34" i="39"/>
  <c r="BK33" i="39"/>
  <c r="AZ33" i="39"/>
  <c r="AO33" i="39"/>
  <c r="AD33" i="39"/>
  <c r="S33" i="39"/>
  <c r="BK30" i="39"/>
  <c r="AO30" i="39"/>
  <c r="AD30" i="39"/>
  <c r="BK29" i="39"/>
  <c r="AO29" i="39"/>
  <c r="AD29" i="39"/>
  <c r="S29" i="39"/>
  <c r="S28" i="39"/>
  <c r="BQ27" i="39"/>
  <c r="BQ26" i="39"/>
  <c r="N26" i="39"/>
  <c r="BQ25" i="39"/>
  <c r="N25" i="39"/>
  <c r="H25" i="39"/>
  <c r="BQ24" i="39"/>
  <c r="N24" i="39"/>
  <c r="BQ23" i="39"/>
  <c r="N23" i="39"/>
  <c r="H23" i="39"/>
  <c r="BQ22" i="39"/>
  <c r="N22" i="39"/>
  <c r="BV21" i="39"/>
  <c r="BQ21" i="39"/>
  <c r="Y21" i="39"/>
  <c r="N21" i="39"/>
  <c r="BV20" i="39"/>
  <c r="BQ20" i="39"/>
  <c r="Y20" i="39"/>
  <c r="N20" i="39"/>
  <c r="BQ19" i="39"/>
  <c r="Y19" i="39"/>
  <c r="N19" i="39"/>
  <c r="BQ18" i="39"/>
  <c r="Y18" i="39"/>
  <c r="N18" i="39"/>
  <c r="Y17" i="39"/>
  <c r="N17" i="39"/>
  <c r="BK16" i="39"/>
  <c r="AZ16" i="39"/>
  <c r="AO16" i="39"/>
  <c r="AK16" i="39"/>
  <c r="AJ16" i="39"/>
  <c r="Y16" i="39"/>
  <c r="S16" i="39"/>
  <c r="N16" i="39"/>
  <c r="H16" i="39"/>
  <c r="AK15" i="39"/>
  <c r="AJ15" i="39"/>
  <c r="Y15" i="39"/>
  <c r="S15" i="39"/>
  <c r="N15" i="39"/>
  <c r="H15" i="39"/>
  <c r="AK14" i="39"/>
  <c r="AJ14" i="39"/>
  <c r="Y14" i="39"/>
  <c r="N14" i="39"/>
  <c r="AK13" i="39"/>
  <c r="AJ13" i="39"/>
  <c r="Y13" i="39"/>
  <c r="S13" i="39"/>
  <c r="N13" i="39"/>
  <c r="AZ12" i="39"/>
  <c r="AO12" i="39"/>
  <c r="AK12" i="39"/>
  <c r="AJ12" i="39"/>
  <c r="AD12" i="39"/>
  <c r="Y12" i="39"/>
  <c r="N12" i="39"/>
  <c r="AK11" i="39"/>
  <c r="AJ11" i="39"/>
  <c r="Y11" i="39"/>
  <c r="N11" i="39"/>
  <c r="AK10" i="39"/>
  <c r="AJ10" i="39"/>
  <c r="Y10" i="39"/>
  <c r="N10" i="39"/>
  <c r="AK9" i="39"/>
  <c r="AJ9" i="39"/>
  <c r="AH9" i="39" s="1"/>
  <c r="Y9" i="39"/>
  <c r="N9" i="39"/>
  <c r="AK8" i="39"/>
  <c r="AJ8" i="39"/>
  <c r="Y8" i="39"/>
  <c r="N8" i="39"/>
  <c r="BV7" i="39"/>
  <c r="BO7" i="39"/>
  <c r="BK7" i="39"/>
  <c r="AZ7" i="39"/>
  <c r="AO7" i="39"/>
  <c r="AK7" i="39"/>
  <c r="AJ7" i="39"/>
  <c r="AD7" i="39"/>
  <c r="Y7" i="39"/>
  <c r="S7" i="39"/>
  <c r="N7" i="39"/>
  <c r="H7" i="39"/>
  <c r="BN2" i="39"/>
  <c r="BC2" i="39"/>
  <c r="AR2" i="39"/>
  <c r="AG2" i="39"/>
  <c r="V2" i="39"/>
  <c r="K2" i="39"/>
  <c r="S98" i="34"/>
  <c r="S97" i="34"/>
  <c r="S95" i="34"/>
  <c r="S94" i="34"/>
  <c r="S90" i="34"/>
  <c r="S87" i="34"/>
  <c r="S86" i="34"/>
  <c r="S84" i="34"/>
  <c r="S83" i="34"/>
  <c r="S81" i="34"/>
  <c r="S80" i="34"/>
  <c r="AD76" i="34"/>
  <c r="S76" i="34"/>
  <c r="AD75" i="34"/>
  <c r="BK73" i="34"/>
  <c r="AD73" i="34"/>
  <c r="S73" i="34"/>
  <c r="AD72" i="34"/>
  <c r="S72" i="34"/>
  <c r="BK69" i="34"/>
  <c r="BK68" i="34"/>
  <c r="AD68" i="34"/>
  <c r="AZ67" i="34"/>
  <c r="AZ66" i="34"/>
  <c r="AD66" i="34"/>
  <c r="S66" i="34"/>
  <c r="AZ64" i="34"/>
  <c r="AD64" i="34"/>
  <c r="AZ63" i="34"/>
  <c r="AD63" i="34"/>
  <c r="W62" i="34"/>
  <c r="AD61" i="34"/>
  <c r="AD60" i="34"/>
  <c r="AZ59" i="34"/>
  <c r="AD58" i="34"/>
  <c r="AD57" i="34"/>
  <c r="BV8" i="39"/>
  <c r="AO8" i="39"/>
  <c r="S8" i="39"/>
  <c r="H8" i="39"/>
  <c r="AD8" i="39"/>
  <c r="BK8" i="39"/>
  <c r="AH7" i="39" l="1"/>
  <c r="AH8" i="39"/>
  <c r="AH12" i="39"/>
  <c r="AH15" i="39"/>
  <c r="AH11" i="39"/>
  <c r="AH14" i="39"/>
  <c r="AH10" i="39"/>
  <c r="AH13" i="39"/>
  <c r="AH16" i="39"/>
  <c r="W49" i="39"/>
  <c r="BO49" i="39"/>
  <c r="AH49" i="39"/>
  <c r="L49" i="39"/>
  <c r="W44" i="39"/>
  <c r="L44" i="39"/>
  <c r="S56" i="34"/>
  <c r="L45" i="39"/>
  <c r="AH45" i="39"/>
  <c r="L54" i="39" a="1"/>
  <c r="L57" i="39" l="1"/>
  <c r="L56" i="39"/>
  <c r="L55" i="39"/>
  <c r="L54" i="39"/>
  <c r="BK55" i="34"/>
  <c r="AZ55" i="34"/>
  <c r="BK54" i="34"/>
  <c r="AZ54" i="34"/>
  <c r="S54" i="34"/>
  <c r="AD53" i="34"/>
  <c r="S53" i="34"/>
  <c r="BK52" i="34"/>
  <c r="AZ52" i="34"/>
  <c r="S52" i="34"/>
  <c r="BK51" i="34"/>
  <c r="AZ51" i="34"/>
  <c r="S51" i="34"/>
  <c r="BO50" i="34"/>
  <c r="BD50" i="34"/>
  <c r="AH50" i="34"/>
  <c r="AD50" i="34"/>
  <c r="W50" i="34"/>
  <c r="S50" i="34"/>
  <c r="L50" i="34"/>
  <c r="H50" i="34"/>
  <c r="AZ49" i="34"/>
  <c r="AD49" i="34"/>
  <c r="H49" i="34"/>
  <c r="BO48" i="34"/>
  <c r="BD48" i="34"/>
  <c r="AZ48" i="34"/>
  <c r="AH48" i="34"/>
  <c r="H48" i="34"/>
  <c r="BK47" i="34"/>
  <c r="W60" i="34" l="1"/>
  <c r="W56" i="34"/>
  <c r="CK44" i="34"/>
  <c r="CE44" i="34"/>
  <c r="BO44" i="34"/>
  <c r="BK44" i="34"/>
  <c r="BD44" i="34"/>
  <c r="AZ44" i="34"/>
  <c r="AH44" i="34"/>
  <c r="S44" i="34"/>
  <c r="H44" i="34"/>
  <c r="BK43" i="34"/>
  <c r="S43" i="34"/>
  <c r="H43" i="34"/>
  <c r="Y42" i="34"/>
  <c r="S42" i="34"/>
  <c r="H42" i="34"/>
  <c r="BZ41" i="34"/>
  <c r="BK41" i="34"/>
  <c r="AZ41" i="34"/>
  <c r="AD41" i="34"/>
  <c r="Y41" i="34"/>
  <c r="BK40" i="34"/>
  <c r="AZ40" i="34"/>
  <c r="AD40" i="34"/>
  <c r="Y40" i="34"/>
  <c r="AD39" i="34"/>
  <c r="Y39" i="34"/>
  <c r="CK38" i="34"/>
  <c r="CE38" i="34"/>
  <c r="BO38" i="34"/>
  <c r="BK38" i="34"/>
  <c r="BD38" i="34"/>
  <c r="AH38" i="34"/>
  <c r="Y38" i="34"/>
  <c r="S38" i="34"/>
  <c r="L38" i="34"/>
  <c r="L48" i="34" s="1"/>
  <c r="BK37" i="34"/>
  <c r="Y37" i="34"/>
  <c r="Y36" i="34"/>
  <c r="S36" i="34"/>
  <c r="AD35" i="34"/>
  <c r="Y35" i="34"/>
  <c r="S35" i="34"/>
  <c r="AZ34" i="34"/>
  <c r="Y34" i="34"/>
  <c r="BQ33" i="34"/>
  <c r="BK33" i="34"/>
  <c r="AD33" i="34"/>
  <c r="Y33" i="34"/>
  <c r="BQ32" i="34"/>
  <c r="AZ32" i="34"/>
  <c r="AD32" i="34"/>
  <c r="Y32" i="34"/>
  <c r="BQ31" i="34"/>
  <c r="AZ31" i="34"/>
  <c r="Y31" i="34"/>
  <c r="S31" i="34"/>
  <c r="N31" i="34"/>
  <c r="BQ30" i="34"/>
  <c r="BK30" i="34"/>
  <c r="Y30" i="34"/>
  <c r="S30" i="34"/>
  <c r="N30" i="34"/>
  <c r="BQ29" i="34"/>
  <c r="BK29" i="34"/>
  <c r="AJ29" i="34"/>
  <c r="W29" i="34"/>
  <c r="N29" i="34"/>
  <c r="BQ28" i="34"/>
  <c r="AJ28" i="34"/>
  <c r="AD28" i="34"/>
  <c r="W28" i="34"/>
  <c r="N28" i="34"/>
  <c r="BQ27" i="34"/>
  <c r="AZ27" i="34"/>
  <c r="AJ27" i="34"/>
  <c r="AD27" i="34"/>
  <c r="W27" i="34"/>
  <c r="N27" i="34"/>
  <c r="H27" i="34"/>
  <c r="BQ26" i="34"/>
  <c r="AZ26" i="34"/>
  <c r="AJ26" i="34"/>
  <c r="W26" i="34"/>
  <c r="N26" i="34"/>
  <c r="BQ25" i="34"/>
  <c r="AJ25" i="34"/>
  <c r="W25" i="34"/>
  <c r="N25" i="34"/>
  <c r="H25" i="34"/>
  <c r="BQ24" i="34"/>
  <c r="AJ24" i="34"/>
  <c r="W24" i="34"/>
  <c r="N24" i="34"/>
  <c r="H24" i="34"/>
  <c r="BQ23" i="34"/>
  <c r="AJ23" i="34"/>
  <c r="W23" i="34"/>
  <c r="N23" i="34"/>
  <c r="H23" i="34"/>
  <c r="BQ22" i="34"/>
  <c r="AJ22" i="34"/>
  <c r="W22" i="34"/>
  <c r="N22" i="34"/>
  <c r="BV21" i="34"/>
  <c r="BQ21" i="34"/>
  <c r="AJ21" i="34"/>
  <c r="W21" i="34"/>
  <c r="N21" i="34"/>
  <c r="BV20" i="34"/>
  <c r="AJ20" i="34"/>
  <c r="W20" i="34"/>
  <c r="N20" i="34"/>
  <c r="AJ19" i="34"/>
  <c r="W19" i="34"/>
  <c r="N19" i="34"/>
  <c r="BF18" i="34"/>
  <c r="AJ18" i="34"/>
  <c r="W18" i="34"/>
  <c r="N18" i="34"/>
  <c r="BF17" i="34"/>
  <c r="AJ17" i="34"/>
  <c r="Y17" i="34"/>
  <c r="N17" i="34"/>
  <c r="CE16" i="34"/>
  <c r="BK16" i="34"/>
  <c r="BF16" i="34"/>
  <c r="AJ16" i="34"/>
  <c r="Y16" i="34"/>
  <c r="S16" i="34"/>
  <c r="N16" i="34"/>
  <c r="H16" i="34"/>
  <c r="BF15" i="34"/>
  <c r="AJ15" i="34"/>
  <c r="Y15" i="34"/>
  <c r="S15" i="34"/>
  <c r="N15" i="34"/>
  <c r="H15" i="34"/>
  <c r="BF14" i="34"/>
  <c r="AJ14" i="34"/>
  <c r="Y14" i="34"/>
  <c r="N14" i="34"/>
  <c r="BF13" i="34"/>
  <c r="AJ13" i="34"/>
  <c r="Y13" i="34"/>
  <c r="S13" i="34"/>
  <c r="W52" i="34" s="1"/>
  <c r="N13" i="34"/>
  <c r="H13" i="34"/>
  <c r="BV12" i="34"/>
  <c r="BF12" i="34"/>
  <c r="AZ12" i="34"/>
  <c r="AO12" i="34"/>
  <c r="AJ12" i="34"/>
  <c r="AD12" i="34"/>
  <c r="Y12" i="34"/>
  <c r="N12" i="34"/>
  <c r="BF11" i="34"/>
  <c r="AJ11" i="34"/>
  <c r="Y11" i="34"/>
  <c r="N11" i="34"/>
  <c r="BF10" i="34"/>
  <c r="AJ10" i="34"/>
  <c r="Y10" i="34"/>
  <c r="N10" i="34"/>
  <c r="BF9" i="34"/>
  <c r="Y9" i="34"/>
  <c r="N9" i="34"/>
  <c r="Y8" i="34"/>
  <c r="N8" i="34"/>
  <c r="CK7" i="34"/>
  <c r="CE7" i="34"/>
  <c r="BV7" i="34"/>
  <c r="BK7" i="34"/>
  <c r="AZ7" i="34"/>
  <c r="AO7" i="34"/>
  <c r="AD7" i="34"/>
  <c r="Y7" i="34"/>
  <c r="S7" i="34"/>
  <c r="N7" i="34"/>
  <c r="H7" i="34"/>
  <c r="BN2" i="34"/>
  <c r="BC2" i="34"/>
  <c r="AR2" i="34"/>
  <c r="AG2" i="34"/>
  <c r="V2" i="34"/>
  <c r="K2" i="34"/>
  <c r="BK66" i="56"/>
  <c r="BK65" i="56"/>
  <c r="BK62" i="56"/>
  <c r="BK58" i="56"/>
  <c r="AZ56" i="56"/>
  <c r="AO56" i="56"/>
  <c r="AD56" i="56"/>
  <c r="S56" i="56"/>
  <c r="BK55" i="56"/>
  <c r="AZ55" i="56"/>
  <c r="AO55" i="56"/>
  <c r="AD55" i="56"/>
  <c r="AO8" i="34"/>
  <c r="BV8" i="34"/>
  <c r="AD8" i="34"/>
  <c r="AZ8" i="34"/>
  <c r="H8" i="34"/>
  <c r="S8" i="34"/>
  <c r="BK8" i="34"/>
  <c r="CE8" i="34"/>
  <c r="CK8" i="34"/>
  <c r="CE49" i="34" l="1"/>
  <c r="CK49" i="34"/>
  <c r="BO49" i="34"/>
  <c r="AH49" i="34"/>
  <c r="L49" i="34"/>
  <c r="W61" i="34"/>
  <c r="BD49" i="34"/>
  <c r="L44" i="34"/>
  <c r="AZ53" i="56"/>
  <c r="AO53" i="56"/>
  <c r="AD53" i="56"/>
  <c r="BK52" i="56"/>
  <c r="AZ52" i="56"/>
  <c r="AO52" i="56"/>
  <c r="AD52" i="56"/>
  <c r="S52" i="56"/>
  <c r="BK51" i="56"/>
  <c r="S51" i="56"/>
  <c r="BO50" i="56"/>
  <c r="AO50" i="56"/>
  <c r="AH50" i="56"/>
  <c r="AD50" i="56"/>
  <c r="W50" i="56"/>
  <c r="S50" i="56"/>
  <c r="L50" i="56"/>
  <c r="H50" i="56"/>
  <c r="AO49" i="56"/>
  <c r="AD49" i="56"/>
  <c r="S49" i="56"/>
  <c r="H49" i="56"/>
  <c r="BO48" i="56"/>
  <c r="BK48" i="56"/>
  <c r="AZ48" i="56"/>
  <c r="AO48" i="56"/>
  <c r="AH48" i="56"/>
  <c r="AD48" i="56"/>
  <c r="S48" i="56"/>
  <c r="H48" i="56"/>
  <c r="CK44" i="56"/>
  <c r="CE44" i="56"/>
  <c r="BO44" i="56"/>
  <c r="BK44" i="56"/>
  <c r="AZ44" i="56"/>
  <c r="AO44" i="56"/>
  <c r="AH44" i="56"/>
  <c r="AD44" i="56"/>
  <c r="AZ43" i="56"/>
  <c r="AO43" i="56"/>
  <c r="AD43" i="56"/>
  <c r="H43" i="56"/>
  <c r="H42" i="56"/>
  <c r="BK41" i="56"/>
  <c r="AZ41" i="56"/>
  <c r="AO41" i="56"/>
  <c r="AD41" i="56"/>
  <c r="S41" i="56"/>
  <c r="BO40" i="56"/>
  <c r="BK40" i="56"/>
  <c r="AZ40" i="56"/>
  <c r="AO40" i="56"/>
  <c r="AD40" i="56"/>
  <c r="S40" i="56"/>
  <c r="CK38" i="56"/>
  <c r="CE38" i="56"/>
  <c r="BO38" i="56"/>
  <c r="AZ38" i="56"/>
  <c r="AZ29" i="56" s="1"/>
  <c r="AO38" i="56"/>
  <c r="AH38" i="56"/>
  <c r="AD38" i="56"/>
  <c r="W38" i="56"/>
  <c r="L38" i="56"/>
  <c r="L48" i="56" s="1"/>
  <c r="AZ37" i="56"/>
  <c r="AO37" i="56"/>
  <c r="AD37" i="56"/>
  <c r="S36" i="56"/>
  <c r="AZ35" i="56"/>
  <c r="AO35" i="56"/>
  <c r="AZ34" i="56"/>
  <c r="AO34" i="56"/>
  <c r="S34" i="56"/>
  <c r="AZ33" i="56"/>
  <c r="AO33" i="56"/>
  <c r="AD33" i="56"/>
  <c r="S33" i="56"/>
  <c r="BK32" i="56"/>
  <c r="AZ30" i="56"/>
  <c r="AO30" i="56"/>
  <c r="AD30" i="56"/>
  <c r="AO29" i="56"/>
  <c r="AD29" i="56"/>
  <c r="Y29" i="56"/>
  <c r="S29" i="56"/>
  <c r="BK28" i="56"/>
  <c r="Y28" i="56"/>
  <c r="S28" i="56"/>
  <c r="BK27" i="56"/>
  <c r="Y27" i="56"/>
  <c r="H27" i="56"/>
  <c r="Y26" i="56"/>
  <c r="Y25" i="56"/>
  <c r="H25" i="56"/>
  <c r="Y24" i="56"/>
  <c r="H24" i="56"/>
  <c r="Y23" i="56"/>
  <c r="H23" i="56"/>
  <c r="Y22" i="56"/>
  <c r="N22" i="56"/>
  <c r="AO21" i="56"/>
  <c r="Y21" i="56"/>
  <c r="N21" i="56"/>
  <c r="BV20" i="56"/>
  <c r="Y20" i="56"/>
  <c r="N20" i="56"/>
  <c r="BQ19" i="56"/>
  <c r="AK19" i="56"/>
  <c r="AJ19" i="56"/>
  <c r="Y19" i="56"/>
  <c r="N19" i="56"/>
  <c r="BQ18" i="56"/>
  <c r="AK18" i="56"/>
  <c r="AJ18" i="56"/>
  <c r="Y18" i="56"/>
  <c r="N18" i="56"/>
  <c r="BQ17" i="56"/>
  <c r="AK17" i="56"/>
  <c r="AJ17" i="56"/>
  <c r="Y17" i="56"/>
  <c r="N17" i="56"/>
  <c r="BQ16" i="56"/>
  <c r="BK16" i="56"/>
  <c r="AZ16" i="56"/>
  <c r="AO16" i="56"/>
  <c r="AK16" i="56"/>
  <c r="AJ16" i="56"/>
  <c r="Y16" i="56"/>
  <c r="S16" i="56"/>
  <c r="N16" i="56"/>
  <c r="H16" i="56"/>
  <c r="BQ15" i="56"/>
  <c r="AK15" i="56"/>
  <c r="AJ15" i="56"/>
  <c r="Y15" i="56"/>
  <c r="S15" i="56"/>
  <c r="N15" i="56"/>
  <c r="H15" i="56"/>
  <c r="BQ14" i="56"/>
  <c r="AK14" i="56"/>
  <c r="AJ14" i="56"/>
  <c r="Y14" i="56"/>
  <c r="N14" i="56"/>
  <c r="AK13" i="56"/>
  <c r="AJ13" i="56"/>
  <c r="Y13" i="56"/>
  <c r="S13" i="56"/>
  <c r="N13" i="56"/>
  <c r="H13" i="56"/>
  <c r="AZ12" i="56"/>
  <c r="AO12" i="56"/>
  <c r="AK12" i="56"/>
  <c r="AJ12" i="56"/>
  <c r="AD12" i="56"/>
  <c r="Y12" i="56"/>
  <c r="N12" i="56"/>
  <c r="AK11" i="56"/>
  <c r="AJ11" i="56"/>
  <c r="Y11" i="56"/>
  <c r="N11" i="56"/>
  <c r="AK10" i="56"/>
  <c r="AJ10" i="56"/>
  <c r="Y10" i="56"/>
  <c r="N10" i="56"/>
  <c r="AK9" i="56"/>
  <c r="AJ9" i="56"/>
  <c r="Y9" i="56"/>
  <c r="N9" i="56"/>
  <c r="BV8" i="56"/>
  <c r="AZ8" i="56"/>
  <c r="AO8" i="56"/>
  <c r="AK8" i="56"/>
  <c r="AJ8" i="56"/>
  <c r="Y8" i="56"/>
  <c r="N8" i="56"/>
  <c r="CK7" i="56"/>
  <c r="CE7" i="56"/>
  <c r="BV7" i="56"/>
  <c r="BO7" i="56"/>
  <c r="BK7" i="56"/>
  <c r="AZ7" i="56"/>
  <c r="AO7" i="56"/>
  <c r="AK7" i="56"/>
  <c r="AJ7" i="56"/>
  <c r="AD7" i="56"/>
  <c r="Y7" i="56"/>
  <c r="S7" i="56"/>
  <c r="N7" i="56"/>
  <c r="H7" i="56"/>
  <c r="BN2" i="56"/>
  <c r="BC2" i="56"/>
  <c r="AR2" i="56"/>
  <c r="AG2" i="56"/>
  <c r="V2" i="56"/>
  <c r="K2" i="56"/>
  <c r="BK65" i="40"/>
  <c r="BK64" i="40"/>
  <c r="BK62" i="40"/>
  <c r="BK61" i="40"/>
  <c r="BK57" i="40"/>
  <c r="S56" i="40"/>
  <c r="CK8" i="56"/>
  <c r="CE8" i="56"/>
  <c r="AD8" i="56"/>
  <c r="S8" i="56"/>
  <c r="H8" i="56"/>
  <c r="AH14" i="56" l="1"/>
  <c r="AH12" i="56"/>
  <c r="AH13" i="56"/>
  <c r="AH16" i="56"/>
  <c r="AH9" i="56"/>
  <c r="AH18" i="56"/>
  <c r="AH17" i="56"/>
  <c r="AH8" i="56"/>
  <c r="AH15" i="56"/>
  <c r="L44" i="56"/>
  <c r="AH19" i="56"/>
  <c r="AH10" i="56"/>
  <c r="AH11" i="56"/>
  <c r="AH7" i="56"/>
  <c r="W49" i="56"/>
  <c r="L49" i="56"/>
  <c r="AH49" i="56"/>
  <c r="CE49" i="56"/>
  <c r="CK49" i="56"/>
  <c r="BK54" i="56"/>
  <c r="BK63" i="56" s="1"/>
  <c r="BK49" i="56"/>
  <c r="AZ55" i="40"/>
  <c r="AD55" i="40"/>
  <c r="BK54" i="40"/>
  <c r="AD54" i="40"/>
  <c r="BK8" i="56"/>
  <c r="BO49" i="56" l="1"/>
  <c r="AZ53" i="40"/>
  <c r="AD52" i="40"/>
  <c r="S52" i="40"/>
  <c r="BK51" i="40"/>
  <c r="AD51" i="40"/>
  <c r="S51" i="40"/>
  <c r="BO50" i="40"/>
  <c r="AH50" i="40"/>
  <c r="W50" i="40"/>
  <c r="S50" i="40"/>
  <c r="L50" i="40"/>
  <c r="S49" i="40"/>
  <c r="H49" i="40"/>
  <c r="BO48" i="40"/>
  <c r="AH48" i="40"/>
  <c r="S48" i="40"/>
  <c r="H48" i="40"/>
  <c r="BK47" i="40"/>
  <c r="AD47" i="40"/>
  <c r="H47" i="40"/>
  <c r="CK44" i="40"/>
  <c r="CE44" i="40"/>
  <c r="BO44" i="40"/>
  <c r="AH44" i="40"/>
  <c r="AD44" i="40"/>
  <c r="BK43" i="40"/>
  <c r="AD43" i="40"/>
  <c r="H43" i="40"/>
  <c r="S42" i="40"/>
  <c r="H42" i="40"/>
  <c r="BZ41" i="40"/>
  <c r="BO41" i="40"/>
  <c r="AH41" i="40"/>
  <c r="AD41" i="40"/>
  <c r="W41" i="40"/>
  <c r="S41" i="40"/>
  <c r="L41" i="40"/>
  <c r="H41" i="40"/>
  <c r="BZ40" i="40"/>
  <c r="BK40" i="40"/>
  <c r="AZ40" i="40"/>
  <c r="AD40" i="40"/>
  <c r="S40" i="40"/>
  <c r="CK38" i="40"/>
  <c r="BO38" i="40"/>
  <c r="AZ38" i="40"/>
  <c r="AZ29" i="40" s="1"/>
  <c r="AH38" i="40"/>
  <c r="AD38" i="40"/>
  <c r="W38" i="40"/>
  <c r="W48" i="40" s="1"/>
  <c r="L38" i="40"/>
  <c r="L48" i="40" s="1"/>
  <c r="AD37" i="40"/>
  <c r="S36" i="40"/>
  <c r="S34" i="40"/>
  <c r="AD33" i="40"/>
  <c r="S33" i="40"/>
  <c r="BK31" i="40"/>
  <c r="AD30" i="40"/>
  <c r="AD29" i="40"/>
  <c r="S29" i="40"/>
  <c r="S28" i="40"/>
  <c r="BK27" i="40"/>
  <c r="H27" i="40"/>
  <c r="BK26" i="40"/>
  <c r="Y26" i="40"/>
  <c r="Y25" i="40"/>
  <c r="H25" i="40"/>
  <c r="Y24" i="40"/>
  <c r="H24" i="40"/>
  <c r="AK23" i="40"/>
  <c r="AJ23" i="40"/>
  <c r="Y23" i="40"/>
  <c r="H23" i="40"/>
  <c r="AK22" i="40"/>
  <c r="AJ22" i="40"/>
  <c r="Y22" i="40"/>
  <c r="BV21" i="40"/>
  <c r="BQ21" i="40"/>
  <c r="AK21" i="40"/>
  <c r="AJ21" i="40"/>
  <c r="Y21" i="40"/>
  <c r="BV20" i="40"/>
  <c r="BQ20" i="40"/>
  <c r="AK20" i="40"/>
  <c r="AJ20" i="40"/>
  <c r="Y20" i="40"/>
  <c r="N20" i="40"/>
  <c r="BQ19" i="40"/>
  <c r="AK19" i="40"/>
  <c r="AJ19" i="40"/>
  <c r="Y19" i="40"/>
  <c r="N19" i="40"/>
  <c r="BQ18" i="40"/>
  <c r="AK18" i="40"/>
  <c r="AJ18" i="40"/>
  <c r="Y18" i="40"/>
  <c r="N18" i="40"/>
  <c r="BQ17" i="40"/>
  <c r="AK17" i="40"/>
  <c r="AJ17" i="40"/>
  <c r="Y17" i="40"/>
  <c r="N17" i="40"/>
  <c r="BQ16" i="40"/>
  <c r="BK16" i="40"/>
  <c r="AK16" i="40"/>
  <c r="AJ16" i="40"/>
  <c r="Y16" i="40"/>
  <c r="S16" i="40"/>
  <c r="N16" i="40"/>
  <c r="H16" i="40"/>
  <c r="AK15" i="40"/>
  <c r="AJ15" i="40"/>
  <c r="Y15" i="40"/>
  <c r="N15" i="40"/>
  <c r="H15" i="40"/>
  <c r="AK14" i="40"/>
  <c r="AJ14" i="40"/>
  <c r="Y14" i="40"/>
  <c r="N14" i="40"/>
  <c r="BK13" i="40"/>
  <c r="AK13" i="40"/>
  <c r="AJ13" i="40"/>
  <c r="Y13" i="40"/>
  <c r="S13" i="40"/>
  <c r="N13" i="40"/>
  <c r="H13" i="40"/>
  <c r="AZ12" i="40"/>
  <c r="AO12" i="40"/>
  <c r="AK12" i="40"/>
  <c r="AJ12" i="40"/>
  <c r="AD12" i="40"/>
  <c r="Y12" i="40"/>
  <c r="N12" i="40"/>
  <c r="AK11" i="40"/>
  <c r="AJ11" i="40"/>
  <c r="Y11" i="40"/>
  <c r="N11" i="40"/>
  <c r="AK10" i="40"/>
  <c r="AJ10" i="40"/>
  <c r="Y10" i="40"/>
  <c r="N10" i="40"/>
  <c r="AK9" i="40"/>
  <c r="AJ9" i="40"/>
  <c r="Y9" i="40"/>
  <c r="N9" i="40"/>
  <c r="AO8" i="40"/>
  <c r="AK8" i="40"/>
  <c r="AJ8" i="40"/>
  <c r="Y8" i="40"/>
  <c r="N8" i="40"/>
  <c r="CK7" i="40"/>
  <c r="CE7" i="40"/>
  <c r="BV7" i="40"/>
  <c r="BK7" i="40"/>
  <c r="AZ7" i="40"/>
  <c r="AO7" i="40"/>
  <c r="AK7" i="40"/>
  <c r="AJ7" i="40"/>
  <c r="AD7" i="40"/>
  <c r="Y7" i="40"/>
  <c r="S7" i="40"/>
  <c r="N7" i="40"/>
  <c r="H7" i="40"/>
  <c r="BN2" i="40"/>
  <c r="BC2" i="40"/>
  <c r="AR2" i="40"/>
  <c r="AG2" i="40"/>
  <c r="V2" i="40"/>
  <c r="K2" i="40"/>
  <c r="S98" i="35"/>
  <c r="S97" i="35"/>
  <c r="S95" i="35"/>
  <c r="S94" i="35"/>
  <c r="S90" i="35"/>
  <c r="S87" i="35"/>
  <c r="S86" i="35"/>
  <c r="S84" i="35"/>
  <c r="S83" i="35"/>
  <c r="S81" i="35"/>
  <c r="S80" i="35"/>
  <c r="S76" i="35"/>
  <c r="AD74" i="35"/>
  <c r="BK73" i="35"/>
  <c r="S73" i="35"/>
  <c r="AD72" i="35"/>
  <c r="S72" i="35"/>
  <c r="AD71" i="35"/>
  <c r="BK69" i="35"/>
  <c r="BK68" i="35"/>
  <c r="AZ67" i="35"/>
  <c r="AD67" i="35"/>
  <c r="AZ66" i="35"/>
  <c r="AD65" i="35"/>
  <c r="AZ64" i="35"/>
  <c r="S64" i="35"/>
  <c r="AZ63" i="35"/>
  <c r="AD63" i="35"/>
  <c r="AD62" i="35"/>
  <c r="W62" i="35"/>
  <c r="AD60" i="35"/>
  <c r="AZ59" i="35"/>
  <c r="AD59" i="35"/>
  <c r="AD57" i="35"/>
  <c r="CE8" i="40"/>
  <c r="S8" i="40"/>
  <c r="CK8" i="40"/>
  <c r="BV8" i="40"/>
  <c r="AD8" i="40"/>
  <c r="H8" i="40"/>
  <c r="H9" i="40" s="1"/>
  <c r="S9" i="40"/>
  <c r="BK8" i="40"/>
  <c r="BK9" i="40" s="1"/>
  <c r="AD9" i="40"/>
  <c r="AH12" i="40" l="1"/>
  <c r="AH9" i="40"/>
  <c r="AH13" i="40"/>
  <c r="AH7" i="40"/>
  <c r="AH19" i="40"/>
  <c r="AH18" i="40"/>
  <c r="AH23" i="40"/>
  <c r="AH17" i="40"/>
  <c r="AH20" i="40"/>
  <c r="AH16" i="40"/>
  <c r="AH22" i="40"/>
  <c r="AH14" i="40"/>
  <c r="AH11" i="40"/>
  <c r="AH15" i="40"/>
  <c r="AH8" i="40"/>
  <c r="L44" i="40"/>
  <c r="AH10" i="40"/>
  <c r="AH21" i="40"/>
  <c r="W49" i="40"/>
  <c r="CE49" i="40"/>
  <c r="CK49" i="40"/>
  <c r="BO49" i="40"/>
  <c r="L49" i="40"/>
  <c r="AH49" i="40"/>
  <c r="W44" i="40"/>
  <c r="AD56" i="35"/>
  <c r="S56" i="35"/>
  <c r="BK55" i="35"/>
  <c r="AZ55" i="35"/>
  <c r="BK54" i="35"/>
  <c r="AZ54" i="35"/>
  <c r="S54" i="35"/>
  <c r="S53" i="35"/>
  <c r="BK52" i="35"/>
  <c r="AZ52" i="35"/>
  <c r="AD52" i="35"/>
  <c r="S52" i="35"/>
  <c r="BK51" i="35"/>
  <c r="AZ51" i="35"/>
  <c r="S51" i="35"/>
  <c r="BD50" i="35"/>
  <c r="AH50" i="35"/>
  <c r="W50" i="35"/>
  <c r="S50" i="35"/>
  <c r="L50" i="35"/>
  <c r="AZ49" i="35"/>
  <c r="AD49" i="35"/>
  <c r="H49" i="35"/>
  <c r="BD48" i="35"/>
  <c r="AZ48" i="35"/>
  <c r="AH48" i="35"/>
  <c r="AD48" i="35"/>
  <c r="H48" i="35"/>
  <c r="BK47" i="35"/>
  <c r="H47" i="35"/>
  <c r="BO46" i="35"/>
  <c r="AH45" i="40"/>
  <c r="W60" i="35" l="1"/>
  <c r="W56" i="35"/>
  <c r="CK44" i="35"/>
  <c r="CE44" i="35"/>
  <c r="BO44" i="35"/>
  <c r="BK44" i="35"/>
  <c r="BD44" i="35"/>
  <c r="AZ44" i="35"/>
  <c r="AH44" i="35"/>
  <c r="S44" i="35"/>
  <c r="BK43" i="35"/>
  <c r="S43" i="35"/>
  <c r="H43" i="35"/>
  <c r="Y42" i="35"/>
  <c r="S42" i="35"/>
  <c r="H42" i="35"/>
  <c r="BK41" i="35"/>
  <c r="AZ41" i="35"/>
  <c r="AH41" i="35"/>
  <c r="Y41" i="35"/>
  <c r="H41" i="35"/>
  <c r="BZ40" i="35"/>
  <c r="BO40" i="35"/>
  <c r="BK40" i="35"/>
  <c r="AZ40" i="35"/>
  <c r="AD40" i="35"/>
  <c r="Y40" i="35"/>
  <c r="AD39" i="35"/>
  <c r="Y39" i="35"/>
  <c r="CK38" i="35"/>
  <c r="CE38" i="35"/>
  <c r="BK38" i="35"/>
  <c r="BD38" i="35"/>
  <c r="AH38" i="35"/>
  <c r="AD38" i="35"/>
  <c r="Y38" i="35"/>
  <c r="S38" i="35"/>
  <c r="L38" i="35"/>
  <c r="BK37" i="35"/>
  <c r="Y37" i="35"/>
  <c r="Y36" i="35"/>
  <c r="S36" i="35"/>
  <c r="Y35" i="35"/>
  <c r="S35" i="35"/>
  <c r="BO34" i="35"/>
  <c r="AZ34" i="35"/>
  <c r="AD34" i="35"/>
  <c r="Y34" i="35"/>
  <c r="Y33" i="35"/>
  <c r="AZ32" i="35"/>
  <c r="AD32" i="35"/>
  <c r="Y32" i="35"/>
  <c r="AZ31" i="35"/>
  <c r="AD31" i="35"/>
  <c r="Y31" i="35"/>
  <c r="S31" i="35"/>
  <c r="N31" i="35"/>
  <c r="BK30" i="35"/>
  <c r="Y30" i="35"/>
  <c r="S30" i="35"/>
  <c r="N30" i="35"/>
  <c r="BQ29" i="35"/>
  <c r="BK29" i="35"/>
  <c r="W29" i="35"/>
  <c r="N29" i="35"/>
  <c r="BQ28" i="35"/>
  <c r="W28" i="35"/>
  <c r="N28" i="35"/>
  <c r="BQ27" i="35"/>
  <c r="AZ27" i="35"/>
  <c r="AJ27" i="35"/>
  <c r="AD27" i="35"/>
  <c r="W27" i="35"/>
  <c r="N27" i="35"/>
  <c r="H27" i="35"/>
  <c r="BQ26" i="35"/>
  <c r="AZ26" i="35"/>
  <c r="AJ26" i="35"/>
  <c r="AD26" i="35"/>
  <c r="W26" i="35"/>
  <c r="N26" i="35"/>
  <c r="BQ25" i="35"/>
  <c r="AJ25" i="35"/>
  <c r="W25" i="35"/>
  <c r="N25" i="35"/>
  <c r="H25" i="35"/>
  <c r="BQ24" i="35"/>
  <c r="AJ24" i="35"/>
  <c r="W24" i="35"/>
  <c r="N24" i="35"/>
  <c r="H24" i="35"/>
  <c r="BQ23" i="35"/>
  <c r="AJ23" i="35"/>
  <c r="W23" i="35"/>
  <c r="N23" i="35"/>
  <c r="H23" i="35"/>
  <c r="BQ22" i="35"/>
  <c r="AJ22" i="35"/>
  <c r="W22" i="35"/>
  <c r="N22" i="35"/>
  <c r="BV21" i="35"/>
  <c r="BQ21" i="35"/>
  <c r="AJ21" i="35"/>
  <c r="W21" i="35"/>
  <c r="N21" i="35"/>
  <c r="BV20" i="35"/>
  <c r="BQ20" i="35"/>
  <c r="AJ20" i="35"/>
  <c r="W20" i="35"/>
  <c r="N20" i="35"/>
  <c r="BQ19" i="35"/>
  <c r="AJ19" i="35"/>
  <c r="W19" i="35"/>
  <c r="N19" i="35"/>
  <c r="BQ18" i="35"/>
  <c r="BG18" i="35"/>
  <c r="BF18" i="35"/>
  <c r="AJ18" i="35"/>
  <c r="W18" i="35"/>
  <c r="N18" i="35"/>
  <c r="BQ17" i="35"/>
  <c r="BG17" i="35"/>
  <c r="BF17" i="35"/>
  <c r="AJ17" i="35"/>
  <c r="Y17" i="35"/>
  <c r="N17" i="35"/>
  <c r="BK16" i="35"/>
  <c r="BG16" i="35"/>
  <c r="BF16" i="35"/>
  <c r="AZ16" i="35"/>
  <c r="AJ16" i="35"/>
  <c r="Y16" i="35"/>
  <c r="S16" i="35"/>
  <c r="N16" i="35"/>
  <c r="H16" i="35"/>
  <c r="BK15" i="35"/>
  <c r="BG15" i="35"/>
  <c r="BF15" i="35"/>
  <c r="AJ15" i="35"/>
  <c r="Y15" i="35"/>
  <c r="S15" i="35"/>
  <c r="N15" i="35"/>
  <c r="H15" i="35"/>
  <c r="BG14" i="35"/>
  <c r="BF14" i="35"/>
  <c r="AJ14" i="35"/>
  <c r="Y14" i="35"/>
  <c r="N14" i="35"/>
  <c r="BG13" i="35"/>
  <c r="BF13" i="35"/>
  <c r="AJ13" i="35"/>
  <c r="Y13" i="35"/>
  <c r="S13" i="35"/>
  <c r="W52" i="35" s="1"/>
  <c r="N13" i="35"/>
  <c r="H13" i="35"/>
  <c r="BV12" i="35"/>
  <c r="BG12" i="35"/>
  <c r="BF12" i="35"/>
  <c r="AZ12" i="35"/>
  <c r="AO12" i="35"/>
  <c r="AJ12" i="35"/>
  <c r="AD12" i="35"/>
  <c r="Y12" i="35"/>
  <c r="N12" i="35"/>
  <c r="BG11" i="35"/>
  <c r="BF11" i="35"/>
  <c r="AJ11" i="35"/>
  <c r="Y11" i="35"/>
  <c r="N11" i="35"/>
  <c r="BG10" i="35"/>
  <c r="BF10" i="35"/>
  <c r="AJ10" i="35"/>
  <c r="Y10" i="35"/>
  <c r="N10" i="35"/>
  <c r="BG9" i="35"/>
  <c r="BF9" i="35"/>
  <c r="Y9" i="35"/>
  <c r="N9" i="35"/>
  <c r="Y8" i="35"/>
  <c r="N8" i="35"/>
  <c r="CK7" i="35"/>
  <c r="CE7" i="35"/>
  <c r="BV7" i="35"/>
  <c r="BK7" i="35"/>
  <c r="AZ7" i="35"/>
  <c r="AO7" i="35"/>
  <c r="AD7" i="35"/>
  <c r="Y7" i="35"/>
  <c r="N7" i="35"/>
  <c r="H7" i="35"/>
  <c r="BN2" i="35"/>
  <c r="BC2" i="35"/>
  <c r="AR2" i="35"/>
  <c r="AG2" i="35"/>
  <c r="V2" i="35"/>
  <c r="K2" i="35"/>
  <c r="AZ68" i="53"/>
  <c r="AZ67" i="53"/>
  <c r="AD66" i="53"/>
  <c r="BK65" i="53"/>
  <c r="AZ65" i="53"/>
  <c r="AD65" i="53"/>
  <c r="BK64" i="53"/>
  <c r="AZ64" i="53"/>
  <c r="AD63" i="53"/>
  <c r="BK62" i="53"/>
  <c r="AD62" i="53"/>
  <c r="BK61" i="53"/>
  <c r="AZ60" i="53"/>
  <c r="AD58" i="53"/>
  <c r="BK57" i="53"/>
  <c r="H57" i="53"/>
  <c r="AZ56" i="53"/>
  <c r="AO56" i="53"/>
  <c r="S56" i="53"/>
  <c r="H56" i="53"/>
  <c r="S8" i="35"/>
  <c r="BK8" i="35"/>
  <c r="AZ8" i="35"/>
  <c r="AZ9" i="35"/>
  <c r="AO8" i="35"/>
  <c r="CK8" i="35"/>
  <c r="H8" i="35"/>
  <c r="S9" i="35"/>
  <c r="CE8" i="35"/>
  <c r="BV8" i="35"/>
  <c r="AD8" i="35"/>
  <c r="AD9" i="35" s="1"/>
  <c r="BK9" i="35"/>
  <c r="H9" i="35"/>
  <c r="BD11" i="35" l="1"/>
  <c r="BD18" i="35"/>
  <c r="BD15" i="35"/>
  <c r="BD16" i="35"/>
  <c r="BD9" i="35"/>
  <c r="BD10" i="35"/>
  <c r="BD13" i="35"/>
  <c r="BD14" i="35"/>
  <c r="BD17" i="35"/>
  <c r="BD12" i="35"/>
  <c r="CE49" i="35"/>
  <c r="CK49" i="35"/>
  <c r="BO45" i="35"/>
  <c r="L49" i="35"/>
  <c r="AH49" i="35"/>
  <c r="BD49" i="35"/>
  <c r="W61" i="35"/>
  <c r="L48" i="35"/>
  <c r="L44" i="35"/>
  <c r="AZ55" i="53"/>
  <c r="AO55" i="53"/>
  <c r="AD55" i="53"/>
  <c r="H55" i="53"/>
  <c r="BK54" i="53"/>
  <c r="AD54" i="53"/>
  <c r="BK53" i="53"/>
  <c r="AZ53" i="53"/>
  <c r="AO53" i="53"/>
  <c r="AZ52" i="53"/>
  <c r="AO52" i="53"/>
  <c r="AD52" i="53"/>
  <c r="S52" i="53"/>
  <c r="BK51" i="53"/>
  <c r="AD51" i="53"/>
  <c r="S51" i="53"/>
  <c r="H51" i="53"/>
  <c r="BO50" i="53"/>
  <c r="BK50" i="53"/>
  <c r="BD50" i="53"/>
  <c r="AZ50" i="53"/>
  <c r="AH50" i="53"/>
  <c r="W50" i="53"/>
  <c r="S50" i="53"/>
  <c r="L50" i="53"/>
  <c r="H50" i="53"/>
  <c r="AZ49" i="53"/>
  <c r="AO49" i="53"/>
  <c r="AD49" i="53"/>
  <c r="S49" i="53"/>
  <c r="H49" i="53"/>
  <c r="BO48" i="53"/>
  <c r="BK48" i="53"/>
  <c r="BD48" i="53"/>
  <c r="AO48" i="53"/>
  <c r="AH48" i="53"/>
  <c r="AD48" i="53"/>
  <c r="S48" i="53"/>
  <c r="BK47" i="53"/>
  <c r="AZ45" i="53"/>
  <c r="CK44" i="53"/>
  <c r="CE44" i="53"/>
  <c r="BO44" i="53"/>
  <c r="BD44" i="53"/>
  <c r="AO44" i="53"/>
  <c r="AH44" i="53"/>
  <c r="AD44" i="53"/>
  <c r="BK43" i="53"/>
  <c r="AO43" i="53"/>
  <c r="AZ42" i="53"/>
  <c r="S42" i="53"/>
  <c r="BZ41" i="53"/>
  <c r="AZ41" i="53"/>
  <c r="AO41" i="53"/>
  <c r="AD41" i="53"/>
  <c r="S41" i="53"/>
  <c r="BK40" i="53"/>
  <c r="BD40" i="53"/>
  <c r="AO40" i="53"/>
  <c r="AD40" i="53"/>
  <c r="S40" i="53"/>
  <c r="BK39" i="53"/>
  <c r="CK38" i="53"/>
  <c r="CE38" i="53"/>
  <c r="BO38" i="53"/>
  <c r="BD38" i="53"/>
  <c r="AO38" i="53"/>
  <c r="AH38" i="53"/>
  <c r="W38" i="53"/>
  <c r="W48" i="53" s="1"/>
  <c r="L38" i="53"/>
  <c r="L48" i="53" s="1"/>
  <c r="AO37" i="53"/>
  <c r="S36" i="53"/>
  <c r="AZ34" i="53"/>
  <c r="AO34" i="53"/>
  <c r="AD34" i="53"/>
  <c r="S34" i="53"/>
  <c r="AO33" i="53"/>
  <c r="S33" i="53"/>
  <c r="AZ32" i="53"/>
  <c r="AD32" i="53"/>
  <c r="BK31" i="53"/>
  <c r="AZ31" i="53"/>
  <c r="AD31" i="53"/>
  <c r="AO30" i="53"/>
  <c r="AO29" i="53"/>
  <c r="S29" i="53"/>
  <c r="S28" i="53"/>
  <c r="BK27" i="53"/>
  <c r="AZ27" i="53"/>
  <c r="AD27" i="53"/>
  <c r="H27" i="53"/>
  <c r="BK26" i="53"/>
  <c r="AZ26" i="53"/>
  <c r="AD26" i="53"/>
  <c r="BQ25" i="53"/>
  <c r="H25" i="53"/>
  <c r="BQ24" i="53"/>
  <c r="H24" i="53"/>
  <c r="BQ23" i="53"/>
  <c r="Y23" i="53"/>
  <c r="H23" i="53"/>
  <c r="BQ22" i="53"/>
  <c r="Y22" i="53"/>
  <c r="BV21" i="53"/>
  <c r="BQ21" i="53"/>
  <c r="Y21" i="53"/>
  <c r="N21" i="53"/>
  <c r="BV20" i="53"/>
  <c r="BQ20" i="53"/>
  <c r="Y20" i="53"/>
  <c r="N20" i="53"/>
  <c r="BQ19" i="53"/>
  <c r="Y19" i="53"/>
  <c r="N19" i="53"/>
  <c r="BQ18" i="53"/>
  <c r="Y18" i="53"/>
  <c r="N18" i="53"/>
  <c r="BQ17" i="53"/>
  <c r="BF17" i="53"/>
  <c r="AJ17" i="53"/>
  <c r="Y17" i="53"/>
  <c r="N17" i="53"/>
  <c r="BK16" i="53"/>
  <c r="BF16" i="53"/>
  <c r="AZ16" i="53"/>
  <c r="AO16" i="53"/>
  <c r="AJ16" i="53"/>
  <c r="S16" i="53"/>
  <c r="N16" i="53"/>
  <c r="H16" i="53"/>
  <c r="BF15" i="53"/>
  <c r="AJ15" i="53"/>
  <c r="S15" i="53"/>
  <c r="N15" i="53"/>
  <c r="H15" i="53"/>
  <c r="BF14" i="53"/>
  <c r="AJ14" i="53"/>
  <c r="Y14" i="53"/>
  <c r="N14" i="53"/>
  <c r="BF13" i="53"/>
  <c r="AJ13" i="53"/>
  <c r="Y13" i="53"/>
  <c r="S13" i="53"/>
  <c r="N13" i="53"/>
  <c r="H13" i="53"/>
  <c r="BF12" i="53"/>
  <c r="AZ12" i="53"/>
  <c r="AO12" i="53"/>
  <c r="AJ12" i="53"/>
  <c r="AD12" i="53"/>
  <c r="Y12" i="53"/>
  <c r="N12" i="53"/>
  <c r="BF11" i="53"/>
  <c r="AJ11" i="53"/>
  <c r="Y11" i="53"/>
  <c r="N11" i="53"/>
  <c r="BF10" i="53"/>
  <c r="AJ10" i="53"/>
  <c r="Y10" i="53"/>
  <c r="N10" i="53"/>
  <c r="BF9" i="53"/>
  <c r="AJ9" i="53"/>
  <c r="Y9" i="53"/>
  <c r="N9" i="53"/>
  <c r="BV8" i="53"/>
  <c r="AJ8" i="53"/>
  <c r="Y8" i="53"/>
  <c r="N8" i="53"/>
  <c r="CK7" i="53"/>
  <c r="CE7" i="53"/>
  <c r="BV7" i="53"/>
  <c r="BO7" i="53"/>
  <c r="BK7" i="53"/>
  <c r="AZ7" i="53"/>
  <c r="AO7" i="53"/>
  <c r="AD7" i="53"/>
  <c r="S7" i="53"/>
  <c r="N7" i="53"/>
  <c r="H7" i="53"/>
  <c r="BN2" i="53"/>
  <c r="BC2" i="53"/>
  <c r="AR2" i="53"/>
  <c r="AG2" i="53"/>
  <c r="V2" i="53"/>
  <c r="K2" i="53"/>
  <c r="S95" i="33"/>
  <c r="S94" i="33"/>
  <c r="S92" i="33"/>
  <c r="S91" i="33"/>
  <c r="S87" i="33"/>
  <c r="S84" i="33"/>
  <c r="S83" i="33"/>
  <c r="S81" i="33"/>
  <c r="S80" i="33"/>
  <c r="S78" i="33"/>
  <c r="S77" i="33"/>
  <c r="BK73" i="33"/>
  <c r="S73" i="33"/>
  <c r="AD72" i="33"/>
  <c r="AD71" i="33"/>
  <c r="S70" i="33"/>
  <c r="BK69" i="33"/>
  <c r="AD69" i="33"/>
  <c r="S69" i="33"/>
  <c r="BK68" i="33"/>
  <c r="AZ68" i="33"/>
  <c r="AD68" i="33"/>
  <c r="AZ67" i="33"/>
  <c r="AZ65" i="33"/>
  <c r="AZ64" i="33"/>
  <c r="AD64" i="33"/>
  <c r="AD62" i="33"/>
  <c r="W62" i="33"/>
  <c r="S62" i="33"/>
  <c r="AZ60" i="33"/>
  <c r="AD60" i="33"/>
  <c r="AD59" i="33"/>
  <c r="AD57" i="33"/>
  <c r="S8" i="53"/>
  <c r="BK8" i="53"/>
  <c r="AD8" i="53"/>
  <c r="CE8" i="53"/>
  <c r="AO8" i="53"/>
  <c r="H8" i="53"/>
  <c r="CK8" i="53"/>
  <c r="AZ8" i="53"/>
  <c r="W44" i="53" l="1"/>
  <c r="L49" i="53"/>
  <c r="BO49" i="53"/>
  <c r="AH49" i="53"/>
  <c r="W49" i="53"/>
  <c r="BD49" i="53"/>
  <c r="CE49" i="53"/>
  <c r="CK49" i="53"/>
  <c r="L44" i="53"/>
  <c r="AZ56" i="33"/>
  <c r="AD56" i="33"/>
  <c r="BK55" i="33"/>
  <c r="AZ55" i="33"/>
  <c r="BK54" i="33"/>
  <c r="AD54" i="33"/>
  <c r="S54" i="33"/>
  <c r="AZ53" i="33"/>
  <c r="AD53" i="33"/>
  <c r="BK52" i="33"/>
  <c r="AZ52" i="33"/>
  <c r="S52" i="33"/>
  <c r="BK51" i="33"/>
  <c r="S51" i="33"/>
  <c r="BO50" i="33"/>
  <c r="BD50" i="33"/>
  <c r="AZ50" i="33"/>
  <c r="AH50" i="33"/>
  <c r="W50" i="33"/>
  <c r="S50" i="33"/>
  <c r="L50" i="33"/>
  <c r="H50" i="33"/>
  <c r="AZ49" i="33"/>
  <c r="AD49" i="33"/>
  <c r="S49" i="33"/>
  <c r="H49" i="33"/>
  <c r="BO48" i="33"/>
  <c r="BD48" i="33"/>
  <c r="AH48" i="33"/>
  <c r="S48" i="33"/>
  <c r="H48" i="33"/>
  <c r="BK47" i="33"/>
  <c r="AD46" i="33"/>
  <c r="W60" i="33" l="1"/>
  <c r="W56" i="33"/>
  <c r="AZ45" i="33"/>
  <c r="AD45" i="33"/>
  <c r="CK44" i="33"/>
  <c r="CE44" i="33"/>
  <c r="BO44" i="33"/>
  <c r="BK44" i="33"/>
  <c r="BD44" i="33"/>
  <c r="AH44" i="33"/>
  <c r="H44" i="33"/>
  <c r="BK43" i="33"/>
  <c r="S43" i="33"/>
  <c r="H43" i="33"/>
  <c r="AZ42" i="33"/>
  <c r="S42" i="33"/>
  <c r="H42" i="33"/>
  <c r="BZ41" i="33"/>
  <c r="AZ41" i="33"/>
  <c r="Y41" i="33"/>
  <c r="BK40" i="33"/>
  <c r="Y40" i="33"/>
  <c r="Y39" i="33"/>
  <c r="CK38" i="33"/>
  <c r="CE38" i="33"/>
  <c r="BO38" i="33"/>
  <c r="BK38" i="33"/>
  <c r="BD38" i="33"/>
  <c r="AH38" i="33"/>
  <c r="AD38" i="33"/>
  <c r="Y38" i="33"/>
  <c r="S38" i="33"/>
  <c r="L38" i="33"/>
  <c r="L48" i="33" s="1"/>
  <c r="BK37" i="33"/>
  <c r="AD37" i="33"/>
  <c r="Y37" i="33"/>
  <c r="Y36" i="33"/>
  <c r="S36" i="33"/>
  <c r="AZ35" i="33"/>
  <c r="Y35" i="33"/>
  <c r="S35" i="33"/>
  <c r="Y34" i="33"/>
  <c r="BQ33" i="33"/>
  <c r="BK33" i="33"/>
  <c r="AZ33" i="33"/>
  <c r="AD33" i="33"/>
  <c r="Y33" i="33"/>
  <c r="BQ32" i="33"/>
  <c r="AZ32" i="33"/>
  <c r="Y32" i="33"/>
  <c r="BQ31" i="33"/>
  <c r="AD31" i="33"/>
  <c r="Y31" i="33"/>
  <c r="S31" i="33"/>
  <c r="N31" i="33"/>
  <c r="BQ30" i="33"/>
  <c r="BK30" i="33"/>
  <c r="AD30" i="33"/>
  <c r="Y30" i="33"/>
  <c r="S30" i="33"/>
  <c r="N30" i="33"/>
  <c r="BQ29" i="33"/>
  <c r="BK29" i="33"/>
  <c r="Y29" i="33"/>
  <c r="N29" i="33"/>
  <c r="BQ28" i="33"/>
  <c r="AZ28" i="33"/>
  <c r="W28" i="33"/>
  <c r="N28" i="33"/>
  <c r="BQ27" i="33"/>
  <c r="AZ27" i="33"/>
  <c r="AJ27" i="33"/>
  <c r="W27" i="33"/>
  <c r="N27" i="33"/>
  <c r="BQ26" i="33"/>
  <c r="AJ26" i="33"/>
  <c r="AD26" i="33"/>
  <c r="W26" i="33"/>
  <c r="N26" i="33"/>
  <c r="BQ25" i="33"/>
  <c r="AJ25" i="33"/>
  <c r="AD25" i="33"/>
  <c r="W25" i="33"/>
  <c r="N25" i="33"/>
  <c r="H25" i="33"/>
  <c r="BQ24" i="33"/>
  <c r="AJ24" i="33"/>
  <c r="W24" i="33"/>
  <c r="N24" i="33"/>
  <c r="H24" i="33"/>
  <c r="BQ23" i="33"/>
  <c r="AJ23" i="33"/>
  <c r="W23" i="33"/>
  <c r="N23" i="33"/>
  <c r="H23" i="33"/>
  <c r="BQ22" i="33"/>
  <c r="AJ22" i="33"/>
  <c r="W22" i="33"/>
  <c r="N22" i="33"/>
  <c r="BV21" i="33"/>
  <c r="BQ21" i="33"/>
  <c r="AJ21" i="33"/>
  <c r="W21" i="33"/>
  <c r="N21" i="33"/>
  <c r="BV20" i="33"/>
  <c r="AJ20" i="33"/>
  <c r="W20" i="33"/>
  <c r="N20" i="33"/>
  <c r="AJ19" i="33"/>
  <c r="W19" i="33"/>
  <c r="N19" i="33"/>
  <c r="BF18" i="33"/>
  <c r="AJ18" i="33"/>
  <c r="W18" i="33"/>
  <c r="N18" i="33"/>
  <c r="BF17" i="33"/>
  <c r="AJ17" i="33"/>
  <c r="W17" i="33"/>
  <c r="N17" i="33"/>
  <c r="BK16" i="33"/>
  <c r="BF16" i="33"/>
  <c r="AJ16" i="33"/>
  <c r="Y16" i="33"/>
  <c r="V16" i="33"/>
  <c r="S16" i="33"/>
  <c r="N16" i="33"/>
  <c r="H16" i="33"/>
  <c r="BF15" i="33"/>
  <c r="AJ15" i="33"/>
  <c r="Y15" i="33"/>
  <c r="S15" i="33"/>
  <c r="N15" i="33"/>
  <c r="H15" i="33"/>
  <c r="BF14" i="33"/>
  <c r="AJ14" i="33"/>
  <c r="AG14" i="33"/>
  <c r="Y14" i="33"/>
  <c r="N14" i="33"/>
  <c r="BF13" i="33"/>
  <c r="AJ13" i="33"/>
  <c r="AG13" i="33"/>
  <c r="Y13" i="33"/>
  <c r="S13" i="33"/>
  <c r="W52" i="33" s="1"/>
  <c r="N13" i="33"/>
  <c r="H13" i="33"/>
  <c r="BV12" i="33"/>
  <c r="BF12" i="33"/>
  <c r="AZ12" i="33"/>
  <c r="AO12" i="33"/>
  <c r="AJ12" i="33"/>
  <c r="AG12" i="33"/>
  <c r="AD12" i="33"/>
  <c r="Y12" i="33"/>
  <c r="N12" i="33"/>
  <c r="BF11" i="33"/>
  <c r="AJ11" i="33"/>
  <c r="AG11" i="33"/>
  <c r="Y11" i="33"/>
  <c r="N11" i="33"/>
  <c r="BF10" i="33"/>
  <c r="AJ10" i="33"/>
  <c r="AG10" i="33"/>
  <c r="Y10" i="33"/>
  <c r="N10" i="33"/>
  <c r="BF9" i="33"/>
  <c r="AJ9" i="33"/>
  <c r="AG9" i="33"/>
  <c r="Y9" i="33"/>
  <c r="N9" i="33"/>
  <c r="BF8" i="33"/>
  <c r="AJ8" i="33"/>
  <c r="AG8" i="33"/>
  <c r="Y8" i="33"/>
  <c r="N8" i="33"/>
  <c r="CK7" i="33"/>
  <c r="CE7" i="33"/>
  <c r="BV7" i="33"/>
  <c r="BK7" i="33"/>
  <c r="AZ7" i="33"/>
  <c r="AO7" i="33"/>
  <c r="AG7" i="33"/>
  <c r="AD7" i="33"/>
  <c r="S7" i="33"/>
  <c r="N7" i="33"/>
  <c r="H7" i="33"/>
  <c r="BN2" i="33"/>
  <c r="BC2" i="33"/>
  <c r="AR2" i="33"/>
  <c r="AG2" i="33"/>
  <c r="V2" i="33"/>
  <c r="K2" i="33"/>
  <c r="BK65" i="51"/>
  <c r="AD65" i="51"/>
  <c r="BK64" i="51"/>
  <c r="AD63" i="51"/>
  <c r="BK62" i="51"/>
  <c r="AD62" i="51"/>
  <c r="BK61" i="51"/>
  <c r="BK57" i="51"/>
  <c r="H57" i="51"/>
  <c r="AZ56" i="51"/>
  <c r="AO56" i="51"/>
  <c r="S56" i="51"/>
  <c r="H56" i="51"/>
  <c r="AD8" i="33"/>
  <c r="H8" i="33"/>
  <c r="AO8" i="33"/>
  <c r="BV8" i="33"/>
  <c r="BK8" i="33"/>
  <c r="BK9" i="33" s="1"/>
  <c r="CE8" i="33"/>
  <c r="AZ8" i="33"/>
  <c r="AZ9" i="33" s="1"/>
  <c r="S8" i="33"/>
  <c r="AD9" i="33"/>
  <c r="CK8" i="33"/>
  <c r="H9" i="33"/>
  <c r="S9" i="33"/>
  <c r="L44" i="33" l="1"/>
  <c r="BD49" i="33"/>
  <c r="L49" i="33"/>
  <c r="AH49" i="33"/>
  <c r="CE49" i="33"/>
  <c r="CK49" i="33"/>
  <c r="W61" i="33"/>
  <c r="BO49" i="33"/>
  <c r="AZ55" i="51"/>
  <c r="AO55" i="51"/>
  <c r="AD55" i="51"/>
  <c r="H55" i="51"/>
  <c r="BK54" i="51"/>
  <c r="AD54" i="51"/>
  <c r="BK53" i="51"/>
  <c r="AZ53" i="51"/>
  <c r="AO53" i="51"/>
  <c r="AZ52" i="51"/>
  <c r="AO52" i="51"/>
  <c r="S52" i="51"/>
  <c r="BK51" i="51"/>
  <c r="AD51" i="51"/>
  <c r="S51" i="51"/>
  <c r="H51" i="51"/>
  <c r="BO50" i="51"/>
  <c r="BK50" i="51"/>
  <c r="AH50" i="51"/>
  <c r="W50" i="51"/>
  <c r="S50" i="51"/>
  <c r="L50" i="51"/>
  <c r="H50" i="51"/>
  <c r="AZ49" i="51"/>
  <c r="AO49" i="51"/>
  <c r="AD49" i="51"/>
  <c r="S49" i="51"/>
  <c r="H49" i="51"/>
  <c r="BO48" i="51"/>
  <c r="BK48" i="51"/>
  <c r="AZ48" i="51"/>
  <c r="AO48" i="51"/>
  <c r="AH48" i="51"/>
  <c r="AD48" i="51"/>
  <c r="S48" i="51"/>
  <c r="BK47" i="51"/>
  <c r="CK44" i="51"/>
  <c r="CE44" i="51"/>
  <c r="BO44" i="51"/>
  <c r="AZ44" i="51"/>
  <c r="AO44" i="51"/>
  <c r="AH44" i="51"/>
  <c r="BK43" i="51"/>
  <c r="AZ43" i="51"/>
  <c r="AO43" i="51"/>
  <c r="S42" i="51"/>
  <c r="BZ41" i="51"/>
  <c r="AZ41" i="51"/>
  <c r="AO41" i="51"/>
  <c r="AD41" i="51"/>
  <c r="S41" i="51"/>
  <c r="BK40" i="51"/>
  <c r="AZ40" i="51"/>
  <c r="AO40" i="51"/>
  <c r="AD40" i="51"/>
  <c r="S40" i="51"/>
  <c r="BK39" i="51"/>
  <c r="CK38" i="51"/>
  <c r="CE38" i="51"/>
  <c r="BO38" i="51"/>
  <c r="AZ38" i="51"/>
  <c r="AZ29" i="51" s="1"/>
  <c r="AO38" i="51"/>
  <c r="AH38" i="51"/>
  <c r="W38" i="51"/>
  <c r="W48" i="51" s="1"/>
  <c r="L38" i="51"/>
  <c r="L48" i="51" s="1"/>
  <c r="AZ37" i="51"/>
  <c r="AO37" i="51"/>
  <c r="S36" i="51"/>
  <c r="AZ35" i="51"/>
  <c r="AZ34" i="51"/>
  <c r="AO34" i="51"/>
  <c r="AD34" i="51"/>
  <c r="S34" i="51"/>
  <c r="AZ33" i="51"/>
  <c r="AO33" i="51"/>
  <c r="S33" i="51"/>
  <c r="AD32" i="51"/>
  <c r="BK31" i="51"/>
  <c r="AD31" i="51"/>
  <c r="AZ30" i="51"/>
  <c r="AO30" i="51"/>
  <c r="AO29" i="51"/>
  <c r="S29" i="51"/>
  <c r="BQ28" i="51"/>
  <c r="S28" i="51"/>
  <c r="BK27" i="51"/>
  <c r="AD27" i="51"/>
  <c r="BQ26" i="51"/>
  <c r="BK26" i="51"/>
  <c r="AD26" i="51"/>
  <c r="BQ25" i="51"/>
  <c r="H25" i="51"/>
  <c r="BQ24" i="51"/>
  <c r="H24" i="51"/>
  <c r="BQ23" i="51"/>
  <c r="H23" i="51"/>
  <c r="BV21" i="51"/>
  <c r="BV20" i="51"/>
  <c r="Y20" i="51"/>
  <c r="Y19" i="51"/>
  <c r="Y18" i="51"/>
  <c r="AJ17" i="51"/>
  <c r="Y17" i="51"/>
  <c r="N17" i="51"/>
  <c r="BK16" i="51"/>
  <c r="AZ16" i="51"/>
  <c r="AO16" i="51"/>
  <c r="AJ16" i="51"/>
  <c r="Y16" i="51"/>
  <c r="S16" i="51"/>
  <c r="N16" i="51"/>
  <c r="H16" i="51"/>
  <c r="AJ15" i="51"/>
  <c r="Y15" i="51"/>
  <c r="S15" i="51"/>
  <c r="N15" i="51"/>
  <c r="H15" i="51"/>
  <c r="AJ14" i="51"/>
  <c r="N14" i="51"/>
  <c r="AJ13" i="51"/>
  <c r="Y13" i="51"/>
  <c r="S13" i="51"/>
  <c r="N13" i="51"/>
  <c r="AZ12" i="51"/>
  <c r="AO12" i="51"/>
  <c r="AJ12" i="51"/>
  <c r="AD12" i="51"/>
  <c r="Y12" i="51"/>
  <c r="N12" i="51"/>
  <c r="AJ11" i="51"/>
  <c r="Y11" i="51"/>
  <c r="N11" i="51"/>
  <c r="AJ10" i="51"/>
  <c r="Y10" i="51"/>
  <c r="N10" i="51"/>
  <c r="AJ9" i="51"/>
  <c r="Y9" i="51"/>
  <c r="N9" i="51"/>
  <c r="AJ8" i="51"/>
  <c r="Y8" i="51"/>
  <c r="N8" i="51"/>
  <c r="CK7" i="51"/>
  <c r="CE7" i="51"/>
  <c r="BV7" i="51"/>
  <c r="BO7" i="51"/>
  <c r="BK7" i="51"/>
  <c r="AZ7" i="51"/>
  <c r="AO7" i="51"/>
  <c r="AD7" i="51"/>
  <c r="S7" i="51"/>
  <c r="N7" i="51"/>
  <c r="H7" i="51"/>
  <c r="BN2" i="51"/>
  <c r="BC2" i="51"/>
  <c r="AR2" i="51"/>
  <c r="AG2" i="51"/>
  <c r="V2" i="51"/>
  <c r="K2" i="51"/>
  <c r="BK73" i="49"/>
  <c r="S56" i="49"/>
  <c r="AO8" i="51"/>
  <c r="BV8" i="51"/>
  <c r="CK8" i="51"/>
  <c r="BK8" i="51"/>
  <c r="S8" i="51"/>
  <c r="CE8" i="51"/>
  <c r="AZ8" i="51"/>
  <c r="AD8" i="51"/>
  <c r="H8" i="51"/>
  <c r="CK49" i="51" l="1"/>
  <c r="W49" i="51"/>
  <c r="BO49" i="51"/>
  <c r="L49" i="51"/>
  <c r="AH49" i="51"/>
  <c r="CE49" i="51"/>
  <c r="L44" i="51"/>
  <c r="W44" i="51"/>
  <c r="AZ55" i="49"/>
  <c r="AD55" i="49"/>
  <c r="AZ53" i="49"/>
  <c r="AD53" i="49"/>
  <c r="AZ52" i="49"/>
  <c r="AD52" i="49"/>
  <c r="S52" i="49"/>
  <c r="S51" i="49"/>
  <c r="BO50" i="49"/>
  <c r="BD50" i="49"/>
  <c r="AH50" i="49"/>
  <c r="W50" i="49"/>
  <c r="S50" i="49"/>
  <c r="L50" i="49"/>
  <c r="S49" i="49"/>
  <c r="BO48" i="49"/>
  <c r="BD48" i="49"/>
  <c r="AH48" i="49"/>
  <c r="CK44" i="49"/>
  <c r="CE44" i="49"/>
  <c r="BO44" i="49"/>
  <c r="BD44" i="49"/>
  <c r="AZ44" i="49"/>
  <c r="AH44" i="49"/>
  <c r="AD44" i="49"/>
  <c r="AZ43" i="49"/>
  <c r="AD43" i="49"/>
  <c r="S42" i="49"/>
  <c r="BZ41" i="49"/>
  <c r="BO41" i="49"/>
  <c r="AH41" i="49"/>
  <c r="W41" i="49"/>
  <c r="L41" i="49"/>
  <c r="BZ40" i="49"/>
  <c r="BK40" i="49"/>
  <c r="AZ40" i="49"/>
  <c r="AD40" i="49"/>
  <c r="S40" i="49"/>
  <c r="CK38" i="49"/>
  <c r="CE38" i="49"/>
  <c r="BO38" i="49"/>
  <c r="BD38" i="49"/>
  <c r="AZ38" i="49"/>
  <c r="AH38" i="49"/>
  <c r="AD38" i="49"/>
  <c r="W38" i="49"/>
  <c r="W48" i="49" s="1"/>
  <c r="L38" i="49"/>
  <c r="L48" i="49" s="1"/>
  <c r="BK37" i="49"/>
  <c r="AZ37" i="49"/>
  <c r="AD37" i="49"/>
  <c r="S36" i="49"/>
  <c r="BK30" i="49"/>
  <c r="AZ30" i="49"/>
  <c r="AD30" i="49"/>
  <c r="AZ29" i="49"/>
  <c r="AD29" i="49"/>
  <c r="H27" i="49"/>
  <c r="Y26" i="49"/>
  <c r="N26" i="49"/>
  <c r="BQ25" i="49"/>
  <c r="Y25" i="49"/>
  <c r="N25" i="49"/>
  <c r="H25" i="49"/>
  <c r="BQ24" i="49"/>
  <c r="Y24" i="49"/>
  <c r="N24" i="49"/>
  <c r="BQ23" i="49"/>
  <c r="AK23" i="49"/>
  <c r="AJ23" i="49"/>
  <c r="Y23" i="49"/>
  <c r="N23" i="49"/>
  <c r="BQ22" i="49"/>
  <c r="AK22" i="49"/>
  <c r="AJ22" i="49"/>
  <c r="Y22" i="49"/>
  <c r="N22" i="49"/>
  <c r="BV21" i="49"/>
  <c r="BQ21" i="49"/>
  <c r="AK21" i="49"/>
  <c r="AJ21" i="49"/>
  <c r="Y21" i="49"/>
  <c r="N21" i="49"/>
  <c r="BV20" i="49"/>
  <c r="BQ20" i="49"/>
  <c r="AK20" i="49"/>
  <c r="AJ20" i="49"/>
  <c r="Y20" i="49"/>
  <c r="N20" i="49"/>
  <c r="BQ19" i="49"/>
  <c r="AK19" i="49"/>
  <c r="AJ19" i="49"/>
  <c r="Y19" i="49"/>
  <c r="N19" i="49"/>
  <c r="BQ18" i="49"/>
  <c r="AK18" i="49"/>
  <c r="AJ18" i="49"/>
  <c r="Y18" i="49"/>
  <c r="N18" i="49"/>
  <c r="BQ17" i="49"/>
  <c r="BF17" i="49"/>
  <c r="AK17" i="49"/>
  <c r="AJ17" i="49"/>
  <c r="Y17" i="49"/>
  <c r="N17" i="49"/>
  <c r="BK16" i="49"/>
  <c r="BF16" i="49"/>
  <c r="AK16" i="49"/>
  <c r="AJ16" i="49"/>
  <c r="Y16" i="49"/>
  <c r="S16" i="49"/>
  <c r="N16" i="49"/>
  <c r="H16" i="49"/>
  <c r="BF15" i="49"/>
  <c r="AK15" i="49"/>
  <c r="AJ15" i="49"/>
  <c r="Y15" i="49"/>
  <c r="N15" i="49"/>
  <c r="H15" i="49"/>
  <c r="BF14" i="49"/>
  <c r="AK14" i="49"/>
  <c r="AJ14" i="49"/>
  <c r="Y14" i="49"/>
  <c r="N14" i="49"/>
  <c r="BK13" i="49"/>
  <c r="BF13" i="49"/>
  <c r="AK13" i="49"/>
  <c r="AJ13" i="49"/>
  <c r="Y13" i="49"/>
  <c r="N13" i="49"/>
  <c r="H13" i="49"/>
  <c r="BF12" i="49"/>
  <c r="AZ12" i="49"/>
  <c r="AO12" i="49"/>
  <c r="AK12" i="49"/>
  <c r="AJ12" i="49"/>
  <c r="AD12" i="49"/>
  <c r="Y12" i="49"/>
  <c r="N12" i="49"/>
  <c r="BF11" i="49"/>
  <c r="AK11" i="49"/>
  <c r="AJ11" i="49"/>
  <c r="Y11" i="49"/>
  <c r="N11" i="49"/>
  <c r="BF10" i="49"/>
  <c r="AK10" i="49"/>
  <c r="AJ10" i="49"/>
  <c r="Y10" i="49"/>
  <c r="N10" i="49"/>
  <c r="BF9" i="49"/>
  <c r="AK9" i="49"/>
  <c r="AJ9" i="49"/>
  <c r="Y9" i="49"/>
  <c r="N9" i="49"/>
  <c r="BF8" i="49"/>
  <c r="AK8" i="49"/>
  <c r="AJ8" i="49"/>
  <c r="Y8" i="49"/>
  <c r="N8" i="49"/>
  <c r="CO7" i="49" a="1"/>
  <c r="AH15" i="49" l="1"/>
  <c r="AH14" i="49"/>
  <c r="AH10" i="49"/>
  <c r="L44" i="49"/>
  <c r="AH20" i="49"/>
  <c r="AH8" i="49"/>
  <c r="AH16" i="49"/>
  <c r="AH22" i="49"/>
  <c r="AH11" i="49"/>
  <c r="AH21" i="49"/>
  <c r="AH17" i="49"/>
  <c r="AH9" i="49"/>
  <c r="AH19" i="49"/>
  <c r="AH23" i="49"/>
  <c r="AH12" i="49"/>
  <c r="AH13" i="49"/>
  <c r="AH18" i="49"/>
  <c r="CP149" i="49"/>
  <c r="CQ136" i="49"/>
  <c r="CP125" i="49"/>
  <c r="CR115" i="49"/>
  <c r="CQ96" i="49"/>
  <c r="CP77" i="49"/>
  <c r="CO63" i="49"/>
  <c r="CQ56" i="49"/>
  <c r="CO149" i="49"/>
  <c r="CQ147" i="49"/>
  <c r="CS145" i="49"/>
  <c r="CP144" i="49"/>
  <c r="CR142" i="49"/>
  <c r="CQ139" i="49"/>
  <c r="CS137" i="49"/>
  <c r="CR134" i="49"/>
  <c r="CP128" i="49"/>
  <c r="CO125" i="49"/>
  <c r="CS121" i="49"/>
  <c r="CR118" i="49"/>
  <c r="CQ115" i="49"/>
  <c r="CR110" i="49"/>
  <c r="CQ107" i="49"/>
  <c r="CP104" i="49"/>
  <c r="CQ99" i="49"/>
  <c r="CP96" i="49"/>
  <c r="CO93" i="49"/>
  <c r="CR86" i="49"/>
  <c r="CQ83" i="49"/>
  <c r="CR78" i="49"/>
  <c r="CQ75" i="49"/>
  <c r="CP69" i="49"/>
  <c r="CQ64" i="49"/>
  <c r="CR59" i="49"/>
  <c r="CP56" i="49"/>
  <c r="CQ55" i="49"/>
  <c r="CO133" i="49"/>
  <c r="CP112" i="49"/>
  <c r="CQ91" i="49"/>
  <c r="CS70" i="49"/>
  <c r="CS148" i="49"/>
  <c r="CP147" i="49"/>
  <c r="CR145" i="49"/>
  <c r="CO144" i="49"/>
  <c r="CQ142" i="49"/>
  <c r="CS140" i="49"/>
  <c r="CP139" i="49"/>
  <c r="CR137" i="49"/>
  <c r="CO136" i="49"/>
  <c r="CQ134" i="49"/>
  <c r="CS132" i="49"/>
  <c r="CP131" i="49"/>
  <c r="CR129" i="49"/>
  <c r="CO128" i="49"/>
  <c r="CQ126" i="49"/>
  <c r="CS124" i="49"/>
  <c r="CP123" i="49"/>
  <c r="CR121" i="49"/>
  <c r="CO120" i="49"/>
  <c r="CQ118" i="49"/>
  <c r="CS116" i="49"/>
  <c r="CP115" i="49"/>
  <c r="CR113" i="49"/>
  <c r="CO112" i="49"/>
  <c r="CQ110" i="49"/>
  <c r="CS108" i="49"/>
  <c r="CP107" i="49"/>
  <c r="CR105" i="49"/>
  <c r="CO104" i="49"/>
  <c r="CQ102" i="49"/>
  <c r="CS100" i="49"/>
  <c r="CP99" i="49"/>
  <c r="CR97" i="49"/>
  <c r="CO96" i="49"/>
  <c r="CQ94" i="49"/>
  <c r="CS92" i="49"/>
  <c r="CP91" i="49"/>
  <c r="CR89" i="49"/>
  <c r="CO88" i="49"/>
  <c r="CQ86" i="49"/>
  <c r="CS84" i="49"/>
  <c r="CP83" i="49"/>
  <c r="CR81" i="49"/>
  <c r="CO80" i="49"/>
  <c r="CQ78" i="49"/>
  <c r="CS76" i="49"/>
  <c r="CP75" i="49"/>
  <c r="CR73" i="49"/>
  <c r="CP72" i="49"/>
  <c r="CR70" i="49"/>
  <c r="CO69" i="49"/>
  <c r="CQ67" i="49"/>
  <c r="CS65" i="49"/>
  <c r="CP64" i="49"/>
  <c r="CR62" i="49"/>
  <c r="CO61" i="49"/>
  <c r="CQ59" i="49"/>
  <c r="CS57" i="49"/>
  <c r="CO56" i="49"/>
  <c r="CQ143" i="49"/>
  <c r="CP116" i="49"/>
  <c r="CP108" i="49"/>
  <c r="CO105" i="49"/>
  <c r="CP100" i="49"/>
  <c r="CO97" i="49"/>
  <c r="CR90" i="49"/>
  <c r="CS85" i="49"/>
  <c r="CR82" i="49"/>
  <c r="CS77" i="49"/>
  <c r="CR71" i="49"/>
  <c r="CQ68" i="49"/>
  <c r="CR63" i="49"/>
  <c r="CS58" i="49"/>
  <c r="CR148" i="49"/>
  <c r="CO147" i="49"/>
  <c r="CQ145" i="49"/>
  <c r="CS143" i="49"/>
  <c r="CP142" i="49"/>
  <c r="CR140" i="49"/>
  <c r="CO139" i="49"/>
  <c r="CQ137" i="49"/>
  <c r="CS135" i="49"/>
  <c r="CP134" i="49"/>
  <c r="CR132" i="49"/>
  <c r="CO131" i="49"/>
  <c r="CQ129" i="49"/>
  <c r="CS127" i="49"/>
  <c r="CP126" i="49"/>
  <c r="CR124" i="49"/>
  <c r="CO123" i="49"/>
  <c r="CQ121" i="49"/>
  <c r="CS119" i="49"/>
  <c r="CP118" i="49"/>
  <c r="CR116" i="49"/>
  <c r="CO115" i="49"/>
  <c r="CQ113" i="49"/>
  <c r="CS111" i="49"/>
  <c r="CP110" i="49"/>
  <c r="CR108" i="49"/>
  <c r="CO107" i="49"/>
  <c r="CQ105" i="49"/>
  <c r="CS103" i="49"/>
  <c r="CP102" i="49"/>
  <c r="CR100" i="49"/>
  <c r="CO99" i="49"/>
  <c r="CQ97" i="49"/>
  <c r="CS95" i="49"/>
  <c r="CP94" i="49"/>
  <c r="CR92" i="49"/>
  <c r="CO91" i="49"/>
  <c r="CQ89" i="49"/>
  <c r="CS87" i="49"/>
  <c r="CP86" i="49"/>
  <c r="CR84" i="49"/>
  <c r="CO83" i="49"/>
  <c r="CQ81" i="49"/>
  <c r="CS79" i="49"/>
  <c r="CP78" i="49"/>
  <c r="CR76" i="49"/>
  <c r="CO75" i="49"/>
  <c r="CQ73" i="49"/>
  <c r="CO72" i="49"/>
  <c r="CQ70" i="49"/>
  <c r="CS68" i="49"/>
  <c r="CP67" i="49"/>
  <c r="CR65" i="49"/>
  <c r="CO64" i="49"/>
  <c r="CQ62" i="49"/>
  <c r="CS60" i="49"/>
  <c r="CP59" i="49"/>
  <c r="CR57" i="49"/>
  <c r="CS55" i="49"/>
  <c r="CO142" i="49"/>
  <c r="CS138" i="49"/>
  <c r="CR135" i="49"/>
  <c r="CQ132" i="49"/>
  <c r="CS130" i="49"/>
  <c r="CP129" i="49"/>
  <c r="CO126" i="49"/>
  <c r="CQ124" i="49"/>
  <c r="CS122" i="49"/>
  <c r="CR119" i="49"/>
  <c r="CO118" i="49"/>
  <c r="CS114" i="49"/>
  <c r="CR111" i="49"/>
  <c r="CO110" i="49"/>
  <c r="CS106" i="49"/>
  <c r="CP105" i="49"/>
  <c r="CO102" i="49"/>
  <c r="CQ100" i="49"/>
  <c r="CS98" i="49"/>
  <c r="CR95" i="49"/>
  <c r="CO94" i="49"/>
  <c r="CS90" i="49"/>
  <c r="CP89" i="49"/>
  <c r="CO86" i="49"/>
  <c r="CQ84" i="49"/>
  <c r="CP81" i="49"/>
  <c r="CR79" i="49"/>
  <c r="CQ76" i="49"/>
  <c r="CS74" i="49"/>
  <c r="CP73" i="49"/>
  <c r="CP70" i="49"/>
  <c r="CO67" i="49"/>
  <c r="CQ65" i="49"/>
  <c r="CP62" i="49"/>
  <c r="CO59" i="49"/>
  <c r="CQ79" i="49"/>
  <c r="CQ148" i="49"/>
  <c r="CS146" i="49"/>
  <c r="CP145" i="49"/>
  <c r="CR143" i="49"/>
  <c r="CQ140" i="49"/>
  <c r="CP137" i="49"/>
  <c r="CO134" i="49"/>
  <c r="CR127" i="49"/>
  <c r="CP121" i="49"/>
  <c r="CQ116" i="49"/>
  <c r="CP113" i="49"/>
  <c r="CQ108" i="49"/>
  <c r="CR103" i="49"/>
  <c r="CP97" i="49"/>
  <c r="CQ92" i="49"/>
  <c r="CR87" i="49"/>
  <c r="CS82" i="49"/>
  <c r="CO78" i="49"/>
  <c r="CS71" i="49"/>
  <c r="CR68" i="49"/>
  <c r="CS63" i="49"/>
  <c r="CR60" i="49"/>
  <c r="CQ57" i="49"/>
  <c r="CR55" i="49"/>
  <c r="CP148" i="49"/>
  <c r="CO145" i="49"/>
  <c r="CS141" i="49"/>
  <c r="CR138" i="49"/>
  <c r="CO137" i="49"/>
  <c r="CS133" i="49"/>
  <c r="CP132" i="49"/>
  <c r="CO129" i="49"/>
  <c r="CS125" i="49"/>
  <c r="CR122" i="49"/>
  <c r="CO121" i="49"/>
  <c r="CS117" i="49"/>
  <c r="CR114" i="49"/>
  <c r="CQ111" i="49"/>
  <c r="CR106" i="49"/>
  <c r="CQ103" i="49"/>
  <c r="CR98" i="49"/>
  <c r="CQ95" i="49"/>
  <c r="CP92" i="49"/>
  <c r="CO89" i="49"/>
  <c r="CP84" i="49"/>
  <c r="CO81" i="49"/>
  <c r="CP76" i="49"/>
  <c r="CO73" i="49"/>
  <c r="CO70" i="49"/>
  <c r="CP65" i="49"/>
  <c r="CO62" i="49"/>
  <c r="CS149" i="49"/>
  <c r="CR146" i="49"/>
  <c r="CP140" i="49"/>
  <c r="CQ135" i="49"/>
  <c r="CR130" i="49"/>
  <c r="CQ127" i="49"/>
  <c r="CP124" i="49"/>
  <c r="CQ119" i="49"/>
  <c r="CO113" i="49"/>
  <c r="CS109" i="49"/>
  <c r="CS101" i="49"/>
  <c r="CS93" i="49"/>
  <c r="CQ87" i="49"/>
  <c r="CR74" i="49"/>
  <c r="CS66" i="49"/>
  <c r="CQ60" i="49"/>
  <c r="CR149" i="49"/>
  <c r="CO148" i="49"/>
  <c r="CQ146" i="49"/>
  <c r="CS144" i="49"/>
  <c r="CP143" i="49"/>
  <c r="CR141" i="49"/>
  <c r="CO140" i="49"/>
  <c r="CQ138" i="49"/>
  <c r="CS136" i="49"/>
  <c r="CP135" i="49"/>
  <c r="CR133" i="49"/>
  <c r="CO132" i="49"/>
  <c r="CQ130" i="49"/>
  <c r="CS128" i="49"/>
  <c r="CP127" i="49"/>
  <c r="CR125" i="49"/>
  <c r="CO124" i="49"/>
  <c r="CQ122" i="49"/>
  <c r="CS120" i="49"/>
  <c r="CP119" i="49"/>
  <c r="CR117" i="49"/>
  <c r="CO116" i="49"/>
  <c r="CQ114" i="49"/>
  <c r="CS112" i="49"/>
  <c r="CP111" i="49"/>
  <c r="CR109" i="49"/>
  <c r="CO108" i="49"/>
  <c r="CQ106" i="49"/>
  <c r="CS104" i="49"/>
  <c r="CP103" i="49"/>
  <c r="CR101" i="49"/>
  <c r="CO100" i="49"/>
  <c r="CQ98" i="49"/>
  <c r="CS96" i="49"/>
  <c r="CP95" i="49"/>
  <c r="CR93" i="49"/>
  <c r="CO92" i="49"/>
  <c r="CQ90" i="49"/>
  <c r="CS88" i="49"/>
  <c r="CP87" i="49"/>
  <c r="CR85" i="49"/>
  <c r="CO84" i="49"/>
  <c r="CQ82" i="49"/>
  <c r="CS80" i="49"/>
  <c r="CP79" i="49"/>
  <c r="CR77" i="49"/>
  <c r="CO76" i="49"/>
  <c r="CQ74" i="49"/>
  <c r="CQ71" i="49"/>
  <c r="CS69" i="49"/>
  <c r="CP68" i="49"/>
  <c r="CR66" i="49"/>
  <c r="CO65" i="49"/>
  <c r="CQ63" i="49"/>
  <c r="CS61" i="49"/>
  <c r="CP60" i="49"/>
  <c r="CR58" i="49"/>
  <c r="CO57" i="49"/>
  <c r="CS56" i="49"/>
  <c r="CP55" i="49"/>
  <c r="CQ131" i="49"/>
  <c r="CR102" i="49"/>
  <c r="CS89" i="49"/>
  <c r="CS81" i="49"/>
  <c r="CO77" i="49"/>
  <c r="CQ72" i="49"/>
  <c r="CO66" i="49"/>
  <c r="CP61" i="49"/>
  <c r="CP57" i="49"/>
  <c r="CQ149" i="49"/>
  <c r="CS147" i="49"/>
  <c r="CP146" i="49"/>
  <c r="CR144" i="49"/>
  <c r="CO143" i="49"/>
  <c r="CQ141" i="49"/>
  <c r="CS139" i="49"/>
  <c r="CP138" i="49"/>
  <c r="CR136" i="49"/>
  <c r="CO135" i="49"/>
  <c r="CQ133" i="49"/>
  <c r="CS131" i="49"/>
  <c r="CP130" i="49"/>
  <c r="CR128" i="49"/>
  <c r="CO127" i="49"/>
  <c r="CQ125" i="49"/>
  <c r="CS123" i="49"/>
  <c r="CP122" i="49"/>
  <c r="CR120" i="49"/>
  <c r="CO119" i="49"/>
  <c r="CQ117" i="49"/>
  <c r="CS115" i="49"/>
  <c r="CP114" i="49"/>
  <c r="CR112" i="49"/>
  <c r="CO111" i="49"/>
  <c r="CQ109" i="49"/>
  <c r="CS107" i="49"/>
  <c r="CP106" i="49"/>
  <c r="CR104" i="49"/>
  <c r="CO103" i="49"/>
  <c r="CQ101" i="49"/>
  <c r="CS99" i="49"/>
  <c r="CP98" i="49"/>
  <c r="CR96" i="49"/>
  <c r="CO95" i="49"/>
  <c r="CQ93" i="49"/>
  <c r="CS91" i="49"/>
  <c r="CP90" i="49"/>
  <c r="CR88" i="49"/>
  <c r="CO87" i="49"/>
  <c r="CQ85" i="49"/>
  <c r="CS83" i="49"/>
  <c r="CP82" i="49"/>
  <c r="CR80" i="49"/>
  <c r="CO79" i="49"/>
  <c r="CQ77" i="49"/>
  <c r="CS75" i="49"/>
  <c r="CP74" i="49"/>
  <c r="CS72" i="49"/>
  <c r="CP71" i="49"/>
  <c r="CR69" i="49"/>
  <c r="CO68" i="49"/>
  <c r="CQ66" i="49"/>
  <c r="CS64" i="49"/>
  <c r="CP63" i="49"/>
  <c r="CR61" i="49"/>
  <c r="CO60" i="49"/>
  <c r="CQ58" i="49"/>
  <c r="CR56" i="49"/>
  <c r="CO55" i="49"/>
  <c r="CR147" i="49"/>
  <c r="CO146" i="49"/>
  <c r="CQ144" i="49"/>
  <c r="CS142" i="49"/>
  <c r="CP141" i="49"/>
  <c r="CR139" i="49"/>
  <c r="CO138" i="49"/>
  <c r="CS134" i="49"/>
  <c r="CP133" i="49"/>
  <c r="CR131" i="49"/>
  <c r="CO130" i="49"/>
  <c r="CQ128" i="49"/>
  <c r="CS126" i="49"/>
  <c r="CR123" i="49"/>
  <c r="CO122" i="49"/>
  <c r="CQ120" i="49"/>
  <c r="CS118" i="49"/>
  <c r="CP117" i="49"/>
  <c r="CO114" i="49"/>
  <c r="CQ112" i="49"/>
  <c r="CS110" i="49"/>
  <c r="CP109" i="49"/>
  <c r="CR107" i="49"/>
  <c r="CO106" i="49"/>
  <c r="CQ104" i="49"/>
  <c r="CS102" i="49"/>
  <c r="CP101" i="49"/>
  <c r="CR99" i="49"/>
  <c r="CO98" i="49"/>
  <c r="CS94" i="49"/>
  <c r="CP93" i="49"/>
  <c r="CR91" i="49"/>
  <c r="CO90" i="49"/>
  <c r="CQ88" i="49"/>
  <c r="CS86" i="49"/>
  <c r="CP85" i="49"/>
  <c r="CR83" i="49"/>
  <c r="CO82" i="49"/>
  <c r="CQ80" i="49"/>
  <c r="CS78" i="49"/>
  <c r="CR75" i="49"/>
  <c r="CO74" i="49"/>
  <c r="CR72" i="49"/>
  <c r="CO71" i="49"/>
  <c r="CQ69" i="49"/>
  <c r="CS67" i="49"/>
  <c r="CP66" i="49"/>
  <c r="CR64" i="49"/>
  <c r="CQ61" i="49"/>
  <c r="CS59" i="49"/>
  <c r="CP58" i="49"/>
  <c r="CO141" i="49"/>
  <c r="CP136" i="49"/>
  <c r="CS129" i="49"/>
  <c r="CR126" i="49"/>
  <c r="CQ123" i="49"/>
  <c r="CP120" i="49"/>
  <c r="CO117" i="49"/>
  <c r="CS113" i="49"/>
  <c r="CO109" i="49"/>
  <c r="CS105" i="49"/>
  <c r="CO101" i="49"/>
  <c r="CS97" i="49"/>
  <c r="CR94" i="49"/>
  <c r="CP88" i="49"/>
  <c r="CO85" i="49"/>
  <c r="CP80" i="49"/>
  <c r="CS73" i="49"/>
  <c r="CR67" i="49"/>
  <c r="CS62" i="49"/>
  <c r="CO58" i="49"/>
  <c r="CR54" i="49"/>
  <c r="CP54" i="49"/>
  <c r="CO54" i="49"/>
  <c r="CQ54" i="49"/>
  <c r="CS54" i="49"/>
  <c r="CP53" i="49"/>
  <c r="CO52" i="49"/>
  <c r="CO51" i="49"/>
  <c r="CP49" i="49"/>
  <c r="CO47" i="49"/>
  <c r="CQ45" i="49"/>
  <c r="CO53" i="49"/>
  <c r="CS48" i="49"/>
  <c r="CR46" i="49"/>
  <c r="CO45" i="49"/>
  <c r="CR50" i="49"/>
  <c r="CQ46" i="49"/>
  <c r="CS52" i="49"/>
  <c r="CS51" i="49"/>
  <c r="CQ50" i="49"/>
  <c r="CQ48" i="49"/>
  <c r="CS47" i="49"/>
  <c r="CP46" i="49"/>
  <c r="CS53" i="49"/>
  <c r="CR52" i="49"/>
  <c r="CR51" i="49"/>
  <c r="CP50" i="49"/>
  <c r="CS49" i="49"/>
  <c r="CP48" i="49"/>
  <c r="CR47" i="49"/>
  <c r="CO46" i="49"/>
  <c r="CR53" i="49"/>
  <c r="CQ52" i="49"/>
  <c r="CQ51" i="49"/>
  <c r="CO50" i="49"/>
  <c r="CR49" i="49"/>
  <c r="CO48" i="49"/>
  <c r="CQ47" i="49"/>
  <c r="CS45" i="49"/>
  <c r="CQ53" i="49"/>
  <c r="CP52" i="49"/>
  <c r="CP51" i="49"/>
  <c r="CQ49" i="49"/>
  <c r="CP47" i="49"/>
  <c r="CR45" i="49"/>
  <c r="CO49" i="49"/>
  <c r="CS46" i="49"/>
  <c r="CP45" i="49"/>
  <c r="CS50" i="49"/>
  <c r="CR48" i="49"/>
  <c r="CS44" i="49"/>
  <c r="CQ43" i="49"/>
  <c r="CP42" i="49"/>
  <c r="CS40" i="49"/>
  <c r="CR38" i="49"/>
  <c r="CP37" i="49"/>
  <c r="CP36" i="49"/>
  <c r="CS34" i="49"/>
  <c r="CP33" i="49"/>
  <c r="CR31" i="49"/>
  <c r="CO30" i="49"/>
  <c r="CO29" i="49"/>
  <c r="CS27" i="49"/>
  <c r="CQ26" i="49"/>
  <c r="CS24" i="49"/>
  <c r="CQ23" i="49"/>
  <c r="CR22" i="49"/>
  <c r="CQ20" i="49"/>
  <c r="CP18" i="49"/>
  <c r="CS17" i="49"/>
  <c r="CQ16" i="49"/>
  <c r="CQ15" i="49"/>
  <c r="CO14" i="49"/>
  <c r="CS12" i="49"/>
  <c r="CS11" i="49"/>
  <c r="CP10" i="49"/>
  <c r="CR8" i="49"/>
  <c r="CP7" i="49"/>
  <c r="CO16" i="49"/>
  <c r="CQ11" i="49"/>
  <c r="CS9" i="49"/>
  <c r="CP8" i="49"/>
  <c r="CS37" i="49"/>
  <c r="CS36" i="49"/>
  <c r="CS33" i="49"/>
  <c r="CP32" i="49"/>
  <c r="CQ28" i="49"/>
  <c r="CR14" i="49"/>
  <c r="CR44" i="49"/>
  <c r="CP43" i="49"/>
  <c r="CO42" i="49"/>
  <c r="CR40" i="49"/>
  <c r="CQ38" i="49"/>
  <c r="CO37" i="49"/>
  <c r="CO36" i="49"/>
  <c r="CR34" i="49"/>
  <c r="CO33" i="49"/>
  <c r="CQ31" i="49"/>
  <c r="CR27" i="49"/>
  <c r="CP26" i="49"/>
  <c r="CS25" i="49"/>
  <c r="CR24" i="49"/>
  <c r="CP23" i="49"/>
  <c r="CQ22" i="49"/>
  <c r="CP20" i="49"/>
  <c r="CO18" i="49"/>
  <c r="CR17" i="49"/>
  <c r="CP16" i="49"/>
  <c r="CP15" i="49"/>
  <c r="CS13" i="49"/>
  <c r="CR12" i="49"/>
  <c r="CR11" i="49"/>
  <c r="CO10" i="49"/>
  <c r="CQ8" i="49"/>
  <c r="CO7" i="49"/>
  <c r="CP22" i="49"/>
  <c r="CO20" i="49"/>
  <c r="CO15" i="49"/>
  <c r="CP12" i="49"/>
  <c r="CP11" i="49"/>
  <c r="CO12" i="49"/>
  <c r="CS42" i="49"/>
  <c r="CQ44" i="49"/>
  <c r="CO43" i="49"/>
  <c r="CQ40" i="49"/>
  <c r="CS39" i="49"/>
  <c r="CP38" i="49"/>
  <c r="CQ34" i="49"/>
  <c r="CS32" i="49"/>
  <c r="CP31" i="49"/>
  <c r="CQ27" i="49"/>
  <c r="CO26" i="49"/>
  <c r="CR25" i="49"/>
  <c r="CQ24" i="49"/>
  <c r="CO23" i="49"/>
  <c r="CS21" i="49"/>
  <c r="CS19" i="49"/>
  <c r="CQ17" i="49"/>
  <c r="CR13" i="49"/>
  <c r="CQ12" i="49"/>
  <c r="CQ13" i="49"/>
  <c r="CR9" i="49"/>
  <c r="CO11" i="49"/>
  <c r="CQ9" i="49"/>
  <c r="CP39" i="49"/>
  <c r="CP44" i="49"/>
  <c r="CS41" i="49"/>
  <c r="CP40" i="49"/>
  <c r="CR39" i="49"/>
  <c r="CO38" i="49"/>
  <c r="CS35" i="49"/>
  <c r="CP34" i="49"/>
  <c r="CR32" i="49"/>
  <c r="CO31" i="49"/>
  <c r="CS28" i="49"/>
  <c r="CP27" i="49"/>
  <c r="CQ25" i="49"/>
  <c r="CP24" i="49"/>
  <c r="CO22" i="49"/>
  <c r="CR21" i="49"/>
  <c r="CR19" i="49"/>
  <c r="CP17" i="49"/>
  <c r="CO8" i="49"/>
  <c r="CS14" i="49"/>
  <c r="CO44" i="49"/>
  <c r="CR41" i="49"/>
  <c r="CO40" i="49"/>
  <c r="CQ39" i="49"/>
  <c r="CR35" i="49"/>
  <c r="CO34" i="49"/>
  <c r="CQ32" i="49"/>
  <c r="CS30" i="49"/>
  <c r="CS29" i="49"/>
  <c r="CR28" i="49"/>
  <c r="CO27" i="49"/>
  <c r="CP25" i="49"/>
  <c r="CO24" i="49"/>
  <c r="CQ21" i="49"/>
  <c r="CQ19" i="49"/>
  <c r="CO17" i="49"/>
  <c r="CP13" i="49"/>
  <c r="CS43" i="49"/>
  <c r="CR42" i="49"/>
  <c r="CP41" i="49"/>
  <c r="CO39" i="49"/>
  <c r="CR37" i="49"/>
  <c r="CR36" i="49"/>
  <c r="CP35" i="49"/>
  <c r="CR33" i="49"/>
  <c r="CO32" i="49"/>
  <c r="CQ30" i="49"/>
  <c r="CQ29" i="49"/>
  <c r="CP28" i="49"/>
  <c r="CS26" i="49"/>
  <c r="CS23" i="49"/>
  <c r="CO21" i="49"/>
  <c r="CS20" i="49"/>
  <c r="CO19" i="49"/>
  <c r="CR18" i="49"/>
  <c r="CS16" i="49"/>
  <c r="CS15" i="49"/>
  <c r="CQ14" i="49"/>
  <c r="CR10" i="49"/>
  <c r="CO9" i="49"/>
  <c r="CR7" i="49"/>
  <c r="CQ7" i="49"/>
  <c r="CQ41" i="49"/>
  <c r="CR29" i="49"/>
  <c r="CP21" i="49"/>
  <c r="CS18" i="49"/>
  <c r="CS10" i="49"/>
  <c r="CR43" i="49"/>
  <c r="CQ42" i="49"/>
  <c r="CO41" i="49"/>
  <c r="CS38" i="49"/>
  <c r="CQ37" i="49"/>
  <c r="CQ36" i="49"/>
  <c r="CO35" i="49"/>
  <c r="CQ33" i="49"/>
  <c r="CS31" i="49"/>
  <c r="CP30" i="49"/>
  <c r="CP29" i="49"/>
  <c r="CO28" i="49"/>
  <c r="CR26" i="49"/>
  <c r="CR23" i="49"/>
  <c r="CS22" i="49"/>
  <c r="CR20" i="49"/>
  <c r="CQ18" i="49"/>
  <c r="CR16" i="49"/>
  <c r="CR15" i="49"/>
  <c r="CP14" i="49"/>
  <c r="CQ10" i="49"/>
  <c r="CS8" i="49"/>
  <c r="CQ35" i="49"/>
  <c r="CR30" i="49"/>
  <c r="CO25" i="49"/>
  <c r="CP19" i="49"/>
  <c r="CO13" i="49"/>
  <c r="CP9" i="49"/>
  <c r="CS7" i="49"/>
  <c r="W44" i="49"/>
  <c r="CK7" i="49"/>
  <c r="CE7" i="49"/>
  <c r="BV7" i="49"/>
  <c r="BK7" i="49"/>
  <c r="AZ7" i="49"/>
  <c r="AO7" i="49"/>
  <c r="AK7" i="49"/>
  <c r="AJ7" i="49"/>
  <c r="AD7" i="49"/>
  <c r="Y7" i="49"/>
  <c r="S7" i="49"/>
  <c r="N7" i="49"/>
  <c r="H7" i="49"/>
  <c r="BN2" i="49"/>
  <c r="BC2" i="49"/>
  <c r="AR2" i="49"/>
  <c r="AG2" i="49"/>
  <c r="V2" i="49"/>
  <c r="K2" i="49"/>
  <c r="BK66" i="60"/>
  <c r="BK65" i="60"/>
  <c r="BK63" i="60"/>
  <c r="AO8" i="49"/>
  <c r="S8" i="49"/>
  <c r="BV8" i="49"/>
  <c r="BK8" i="49"/>
  <c r="AZ8" i="49"/>
  <c r="CE8" i="49"/>
  <c r="AD8" i="49"/>
  <c r="H8" i="49"/>
  <c r="CK8" i="49"/>
  <c r="AH7" i="49" l="1"/>
  <c r="W49" i="49"/>
  <c r="CE49" i="49"/>
  <c r="CK49" i="49"/>
  <c r="L49" i="49"/>
  <c r="AH49" i="49"/>
  <c r="BO49" i="49"/>
  <c r="BD49" i="49"/>
  <c r="BK58" i="60"/>
  <c r="AZ56" i="60"/>
  <c r="AO56" i="60"/>
  <c r="AD56" i="60"/>
  <c r="S56" i="60"/>
  <c r="AZ55" i="60"/>
  <c r="AO55" i="60"/>
  <c r="AD55" i="60"/>
  <c r="BK54" i="60"/>
  <c r="W54" i="60" a="1"/>
  <c r="L54" i="60"/>
  <c r="AZ53" i="60"/>
  <c r="AO53" i="60"/>
  <c r="AD53" i="60"/>
  <c r="BK52" i="60"/>
  <c r="AZ52" i="60"/>
  <c r="AO52" i="60"/>
  <c r="AD52" i="60"/>
  <c r="S52" i="60"/>
  <c r="BK51" i="60"/>
  <c r="S51" i="60"/>
  <c r="BO50" i="60"/>
  <c r="AO50" i="60"/>
  <c r="AH50" i="60"/>
  <c r="AD50" i="60"/>
  <c r="W50" i="60"/>
  <c r="S50" i="60"/>
  <c r="L50" i="60"/>
  <c r="H50" i="60"/>
  <c r="BK49" i="60"/>
  <c r="AO49" i="60"/>
  <c r="AD49" i="60"/>
  <c r="S49" i="60"/>
  <c r="H49" i="60"/>
  <c r="BO48" i="60"/>
  <c r="BK48" i="60"/>
  <c r="AZ48" i="60"/>
  <c r="AO48" i="60"/>
  <c r="AH48" i="60"/>
  <c r="AD48" i="60"/>
  <c r="S48" i="60"/>
  <c r="H48" i="60"/>
  <c r="L58" i="60"/>
  <c r="AH45" i="49"/>
  <c r="W57" i="60" l="1"/>
  <c r="W56" i="60"/>
  <c r="W55" i="60"/>
  <c r="W54" i="60"/>
  <c r="CK44" i="60"/>
  <c r="CE44" i="60"/>
  <c r="BO44" i="60"/>
  <c r="BK44" i="60"/>
  <c r="AZ44" i="60"/>
  <c r="AO44" i="60"/>
  <c r="AH44" i="60"/>
  <c r="AD44" i="60"/>
  <c r="AZ43" i="60"/>
  <c r="AO43" i="60"/>
  <c r="AD43" i="60"/>
  <c r="H43" i="60"/>
  <c r="H42" i="60"/>
  <c r="BZ41" i="60"/>
  <c r="BK41" i="60"/>
  <c r="AZ41" i="60"/>
  <c r="AO41" i="60"/>
  <c r="AD41" i="60"/>
  <c r="S41" i="60"/>
  <c r="BK40" i="60"/>
  <c r="AZ40" i="60"/>
  <c r="AO40" i="60"/>
  <c r="AD40" i="60"/>
  <c r="S40" i="60"/>
  <c r="CK38" i="60"/>
  <c r="CE38" i="60"/>
  <c r="BO38" i="60"/>
  <c r="AZ38" i="60"/>
  <c r="AZ29" i="60" s="1"/>
  <c r="AO38" i="60"/>
  <c r="AH38" i="60"/>
  <c r="AD38" i="60"/>
  <c r="W38" i="60"/>
  <c r="W48" i="60" s="1"/>
  <c r="L38" i="60"/>
  <c r="L48" i="60" s="1"/>
  <c r="AZ37" i="60"/>
  <c r="AO37" i="60"/>
  <c r="AD37" i="60"/>
  <c r="S36" i="60"/>
  <c r="AZ35" i="60"/>
  <c r="AO35" i="60"/>
  <c r="AZ34" i="60"/>
  <c r="AO34" i="60"/>
  <c r="S34" i="60"/>
  <c r="AZ33" i="60"/>
  <c r="AO33" i="60"/>
  <c r="AD33" i="60"/>
  <c r="S33" i="60"/>
  <c r="BK32" i="60"/>
  <c r="AZ30" i="60"/>
  <c r="AO30" i="60"/>
  <c r="AD30" i="60"/>
  <c r="AO29" i="60"/>
  <c r="AD29" i="60"/>
  <c r="Y29" i="60"/>
  <c r="S29" i="60"/>
  <c r="BK28" i="60"/>
  <c r="Y28" i="60"/>
  <c r="S28" i="60"/>
  <c r="BK27" i="60"/>
  <c r="Y27" i="60"/>
  <c r="H27" i="60"/>
  <c r="Y26" i="60"/>
  <c r="Y25" i="60"/>
  <c r="H25" i="60"/>
  <c r="Y24" i="60"/>
  <c r="H24" i="60"/>
  <c r="Y23" i="60"/>
  <c r="H23" i="60"/>
  <c r="Y22" i="60"/>
  <c r="N22" i="60"/>
  <c r="BQ21" i="60"/>
  <c r="AO21" i="60"/>
  <c r="Y21" i="60"/>
  <c r="N21" i="60"/>
  <c r="BV20" i="60"/>
  <c r="BQ20" i="60"/>
  <c r="Y20" i="60"/>
  <c r="N20" i="60"/>
  <c r="BQ19" i="60"/>
  <c r="AK19" i="60"/>
  <c r="AJ19" i="60"/>
  <c r="Y19" i="60"/>
  <c r="N19" i="60"/>
  <c r="BQ18" i="60"/>
  <c r="AK18" i="60"/>
  <c r="AJ18" i="60"/>
  <c r="Y18" i="60"/>
  <c r="N18" i="60"/>
  <c r="BQ17" i="60"/>
  <c r="AK17" i="60"/>
  <c r="AJ17" i="60"/>
  <c r="Y17" i="60"/>
  <c r="N17" i="60"/>
  <c r="BQ16" i="60"/>
  <c r="BK16" i="60"/>
  <c r="AZ16" i="60"/>
  <c r="AO16" i="60"/>
  <c r="AK16" i="60"/>
  <c r="AJ16" i="60"/>
  <c r="Y16" i="60"/>
  <c r="S16" i="60"/>
  <c r="N16" i="60"/>
  <c r="H16" i="60"/>
  <c r="BQ15" i="60"/>
  <c r="AK15" i="60"/>
  <c r="AJ15" i="60"/>
  <c r="Y15" i="60"/>
  <c r="S15" i="60"/>
  <c r="N15" i="60"/>
  <c r="H15" i="60"/>
  <c r="AK14" i="60"/>
  <c r="AJ14" i="60"/>
  <c r="Y14" i="60"/>
  <c r="N14" i="60"/>
  <c r="AK13" i="60"/>
  <c r="AJ13" i="60"/>
  <c r="Y13" i="60"/>
  <c r="S13" i="60"/>
  <c r="N13" i="60"/>
  <c r="H13" i="60"/>
  <c r="AZ12" i="60"/>
  <c r="AO12" i="60"/>
  <c r="AK12" i="60"/>
  <c r="AJ12" i="60"/>
  <c r="AD12" i="60"/>
  <c r="Y12" i="60"/>
  <c r="N12" i="60"/>
  <c r="AK11" i="60"/>
  <c r="AJ11" i="60"/>
  <c r="Y11" i="60"/>
  <c r="N11" i="60"/>
  <c r="AK10" i="60"/>
  <c r="AJ10" i="60"/>
  <c r="Y10" i="60"/>
  <c r="N10" i="60"/>
  <c r="AK9" i="60"/>
  <c r="AJ9" i="60"/>
  <c r="Y9" i="60"/>
  <c r="N9" i="60"/>
  <c r="CK8" i="60"/>
  <c r="CK49" i="60" s="1"/>
  <c r="CE8" i="60"/>
  <c r="CE49" i="60" s="1"/>
  <c r="BO8" i="60"/>
  <c r="AZ8" i="60"/>
  <c r="AO8" i="60"/>
  <c r="AK8" i="60"/>
  <c r="AJ8" i="60"/>
  <c r="AD8" i="60"/>
  <c r="AH49" i="60" s="1"/>
  <c r="Y8" i="60"/>
  <c r="S8" i="60"/>
  <c r="W49" i="60" s="1"/>
  <c r="N8" i="60"/>
  <c r="H8" i="60"/>
  <c r="L49" i="60" s="1"/>
  <c r="CK7" i="60"/>
  <c r="CE7" i="60"/>
  <c r="BV7" i="60"/>
  <c r="BO7" i="60"/>
  <c r="BK7" i="60"/>
  <c r="AZ7" i="60"/>
  <c r="AO7" i="60"/>
  <c r="AK7" i="60"/>
  <c r="AJ7" i="60"/>
  <c r="AD7" i="60"/>
  <c r="Y7" i="60"/>
  <c r="S7" i="60"/>
  <c r="N7" i="60"/>
  <c r="H7" i="60"/>
  <c r="BN2" i="60"/>
  <c r="BC2" i="60"/>
  <c r="AR2" i="60"/>
  <c r="AG2" i="60"/>
  <c r="V2" i="60"/>
  <c r="K2" i="60"/>
  <c r="BK73" i="38"/>
  <c r="BK69" i="38"/>
  <c r="BK68" i="38"/>
  <c r="S65" i="38"/>
  <c r="S61" i="38"/>
  <c r="S60" i="38"/>
  <c r="S59" i="38"/>
  <c r="S58" i="38"/>
  <c r="S57" i="38"/>
  <c r="H57" i="38"/>
  <c r="AZ56" i="38"/>
  <c r="AO56" i="38"/>
  <c r="AD56" i="38"/>
  <c r="H56" i="38"/>
  <c r="BV8" i="60"/>
  <c r="AH19" i="60" l="1"/>
  <c r="AH17" i="60"/>
  <c r="AH7" i="60"/>
  <c r="AH14" i="60"/>
  <c r="AH13" i="60"/>
  <c r="AH8" i="60"/>
  <c r="AH9" i="60"/>
  <c r="AH11" i="60"/>
  <c r="AH15" i="60"/>
  <c r="AH16" i="60"/>
  <c r="AH10" i="60"/>
  <c r="AH12" i="60"/>
  <c r="AH18" i="60"/>
  <c r="BK62" i="60"/>
  <c r="BK55" i="60"/>
  <c r="L44" i="60"/>
  <c r="W44" i="60"/>
  <c r="BK55" i="38"/>
  <c r="AZ55" i="38"/>
  <c r="AO55" i="38"/>
  <c r="AD55" i="38"/>
  <c r="H55" i="38"/>
  <c r="BK54" i="38"/>
  <c r="BD54" i="38"/>
  <c r="BD58" i="38"/>
  <c r="BK8" i="60"/>
  <c r="BO49" i="60" l="1"/>
  <c r="AZ53" i="38"/>
  <c r="AO53" i="38"/>
  <c r="AD53" i="38"/>
  <c r="BK52" i="38"/>
  <c r="AZ52" i="38"/>
  <c r="AO52" i="38"/>
  <c r="AD52" i="38"/>
  <c r="BK51" i="38"/>
  <c r="H51" i="38"/>
  <c r="BO50" i="38"/>
  <c r="BD50" i="38"/>
  <c r="AH50" i="38"/>
  <c r="W50" i="38"/>
  <c r="S50" i="38"/>
  <c r="L50" i="38"/>
  <c r="H50" i="38"/>
  <c r="AZ49" i="38"/>
  <c r="AO49" i="38"/>
  <c r="S49" i="38"/>
  <c r="H49" i="38"/>
  <c r="BO48" i="38"/>
  <c r="BD48" i="38"/>
  <c r="AZ48" i="38"/>
  <c r="AO48" i="38"/>
  <c r="AH48" i="38"/>
  <c r="AD48" i="38"/>
  <c r="S48" i="38"/>
  <c r="BK47" i="38"/>
  <c r="CK44" i="38"/>
  <c r="CE44" i="38"/>
  <c r="BO44" i="38"/>
  <c r="BK44" i="38"/>
  <c r="BD44" i="38"/>
  <c r="AZ44" i="38"/>
  <c r="AO44" i="38"/>
  <c r="AH44" i="38"/>
  <c r="AD44" i="38"/>
  <c r="BK43" i="38"/>
  <c r="AZ43" i="38"/>
  <c r="AO43" i="38"/>
  <c r="AD43" i="38"/>
  <c r="S42" i="38"/>
  <c r="BZ41" i="38"/>
  <c r="BO41" i="38"/>
  <c r="BK41" i="38"/>
  <c r="AZ41" i="38"/>
  <c r="AO41" i="38"/>
  <c r="AH41" i="38"/>
  <c r="AD41" i="38"/>
  <c r="W41" i="38"/>
  <c r="S41" i="38"/>
  <c r="L41" i="38"/>
  <c r="BZ40" i="38"/>
  <c r="BK40" i="38"/>
  <c r="AZ40" i="38"/>
  <c r="AO40" i="38"/>
  <c r="AD40" i="38"/>
  <c r="S40" i="38"/>
  <c r="CK38" i="38"/>
  <c r="CE38" i="38"/>
  <c r="BO38" i="38"/>
  <c r="BK38" i="38"/>
  <c r="AZ38" i="38"/>
  <c r="AO38" i="38"/>
  <c r="AH38" i="38"/>
  <c r="AD38" i="38"/>
  <c r="W38" i="38"/>
  <c r="W48" i="38" s="1"/>
  <c r="L38" i="38"/>
  <c r="L48" i="38" s="1"/>
  <c r="BK37" i="38"/>
  <c r="AZ37" i="38"/>
  <c r="AO37" i="38"/>
  <c r="AD37" i="38"/>
  <c r="S36" i="38"/>
  <c r="AZ35" i="38"/>
  <c r="AZ34" i="38"/>
  <c r="AO34" i="38"/>
  <c r="S34" i="38"/>
  <c r="BK33" i="38"/>
  <c r="AZ33" i="38"/>
  <c r="AO33" i="38"/>
  <c r="AD33" i="38"/>
  <c r="S33" i="38"/>
  <c r="BK30" i="38"/>
  <c r="AZ30" i="38"/>
  <c r="AO30" i="38"/>
  <c r="AD30" i="38"/>
  <c r="BK29" i="38"/>
  <c r="AZ29" i="38"/>
  <c r="AO29" i="38"/>
  <c r="AD29" i="38"/>
  <c r="S29" i="38"/>
  <c r="S28" i="38"/>
  <c r="H27" i="38"/>
  <c r="H25" i="38"/>
  <c r="Y24" i="38"/>
  <c r="H24" i="38"/>
  <c r="Y23" i="38"/>
  <c r="H23" i="38"/>
  <c r="BQ22" i="38"/>
  <c r="Y22" i="38"/>
  <c r="BV21" i="38"/>
  <c r="BQ21" i="38"/>
  <c r="Y21" i="38"/>
  <c r="BV20" i="38"/>
  <c r="BQ20" i="38"/>
  <c r="Y20" i="38"/>
  <c r="BQ19" i="38"/>
  <c r="Y19" i="38"/>
  <c r="BQ18" i="38"/>
  <c r="Y18" i="38"/>
  <c r="BQ17" i="38"/>
  <c r="Y17" i="38"/>
  <c r="N17" i="38"/>
  <c r="BQ16" i="38"/>
  <c r="BK16" i="38"/>
  <c r="AZ16" i="38"/>
  <c r="AO16" i="38"/>
  <c r="Y16" i="38"/>
  <c r="S16" i="38"/>
  <c r="N16" i="38"/>
  <c r="H16" i="38"/>
  <c r="BQ15" i="38"/>
  <c r="BF15" i="38"/>
  <c r="Y15" i="38"/>
  <c r="S15" i="38"/>
  <c r="N15" i="38"/>
  <c r="H15" i="38"/>
  <c r="BQ14" i="38"/>
  <c r="BF14" i="38"/>
  <c r="Y14" i="38"/>
  <c r="N14" i="38"/>
  <c r="BQ13" i="38"/>
  <c r="BF13" i="38"/>
  <c r="AJ13" i="38"/>
  <c r="Y13" i="38"/>
  <c r="S13" i="38"/>
  <c r="N13" i="38"/>
  <c r="H13" i="38"/>
  <c r="BQ12" i="38"/>
  <c r="BF12" i="38"/>
  <c r="AZ12" i="38"/>
  <c r="AO12" i="38"/>
  <c r="AJ12" i="38"/>
  <c r="AD12" i="38"/>
  <c r="Y12" i="38"/>
  <c r="N12" i="38"/>
  <c r="BQ11" i="38"/>
  <c r="BF11" i="38"/>
  <c r="AJ11" i="38"/>
  <c r="Y11" i="38"/>
  <c r="N11" i="38"/>
  <c r="BQ10" i="38"/>
  <c r="BF10" i="38"/>
  <c r="AJ10" i="38"/>
  <c r="Y10" i="38"/>
  <c r="N10" i="38"/>
  <c r="BQ9" i="38"/>
  <c r="BF9" i="38"/>
  <c r="AJ9" i="38"/>
  <c r="Y9" i="38"/>
  <c r="N9" i="38"/>
  <c r="BQ8" i="38"/>
  <c r="AZ8" i="38"/>
  <c r="BD49" i="38" s="1"/>
  <c r="AJ8" i="38"/>
  <c r="Y8" i="38"/>
  <c r="N8" i="38"/>
  <c r="CK7" i="38"/>
  <c r="CE7" i="38"/>
  <c r="BV7" i="38"/>
  <c r="BO7" i="38"/>
  <c r="BK7" i="38"/>
  <c r="AZ7" i="38"/>
  <c r="AO7" i="38"/>
  <c r="AJ7" i="38"/>
  <c r="AD7" i="38"/>
  <c r="Y7" i="38"/>
  <c r="S7" i="38"/>
  <c r="N7" i="38"/>
  <c r="H7" i="38"/>
  <c r="BN2" i="38"/>
  <c r="BC2" i="38"/>
  <c r="AR2" i="38"/>
  <c r="AG2" i="38"/>
  <c r="V2" i="38"/>
  <c r="K2" i="38"/>
  <c r="S87" i="47"/>
  <c r="S86" i="47"/>
  <c r="S84" i="47"/>
  <c r="S83" i="47"/>
  <c r="S79" i="47"/>
  <c r="S75" i="47"/>
  <c r="S74" i="47"/>
  <c r="BV73" i="47"/>
  <c r="S72" i="47"/>
  <c r="S71" i="47"/>
  <c r="W70" i="47"/>
  <c r="S69" i="47"/>
  <c r="BV68" i="47"/>
  <c r="S68" i="47"/>
  <c r="AD65" i="47"/>
  <c r="CK8" i="38"/>
  <c r="CE8" i="38"/>
  <c r="S8" i="38"/>
  <c r="BK8" i="38"/>
  <c r="AD8" i="38"/>
  <c r="H8" i="38"/>
  <c r="AO8" i="38"/>
  <c r="BV8" i="38"/>
  <c r="W44" i="38" l="1"/>
  <c r="W49" i="38"/>
  <c r="CE49" i="38"/>
  <c r="L49" i="38"/>
  <c r="AH49" i="38"/>
  <c r="BO49" i="38"/>
  <c r="CK49" i="38"/>
  <c r="L44" i="38"/>
  <c r="S64" i="47"/>
  <c r="W61" i="47"/>
  <c r="S61" i="47"/>
  <c r="AD60" i="47"/>
  <c r="W60" i="47"/>
  <c r="S60" i="47"/>
  <c r="AD59" i="47"/>
  <c r="W59" i="47"/>
  <c r="AD58" i="47"/>
  <c r="W58" i="47"/>
  <c r="AO57" i="47"/>
  <c r="AD57" i="47"/>
  <c r="H57" i="47"/>
  <c r="AS56" i="47" a="1"/>
  <c r="AS59" i="47" s="1"/>
  <c r="H56" i="47"/>
  <c r="W68" i="47" l="1"/>
  <c r="AS58" i="47"/>
  <c r="AS56" i="47"/>
  <c r="W64" i="47"/>
  <c r="AS57" i="47"/>
  <c r="BK55" i="47"/>
  <c r="AO55" i="47"/>
  <c r="H55" i="47"/>
  <c r="BV54" i="47"/>
  <c r="AO54" i="47"/>
  <c r="BK53" i="47"/>
  <c r="BV52" i="47"/>
  <c r="AS52" i="47"/>
  <c r="BV51" i="47"/>
  <c r="H51" i="47"/>
  <c r="BZ50" i="47"/>
  <c r="AS50" i="47"/>
  <c r="AH50" i="47"/>
  <c r="AD50" i="47"/>
  <c r="L50" i="47"/>
  <c r="H50" i="47"/>
  <c r="AD49" i="47"/>
  <c r="Y49" i="47"/>
  <c r="S49" i="47"/>
  <c r="H49" i="47"/>
  <c r="BZ48" i="47"/>
  <c r="AD48" i="47"/>
  <c r="Y48" i="47"/>
  <c r="Y47" i="47"/>
  <c r="AS46" i="47"/>
  <c r="AO46" i="47"/>
  <c r="Y46" i="47"/>
  <c r="AO45" i="47"/>
  <c r="Y45" i="47"/>
  <c r="BZ44" i="47"/>
  <c r="BV44" i="47"/>
  <c r="Y44" i="47"/>
  <c r="S44" i="47"/>
  <c r="S45" i="47" s="1"/>
  <c r="BV43" i="47"/>
  <c r="Y43" i="47"/>
  <c r="S43" i="47"/>
  <c r="AO42" i="47"/>
  <c r="AD42" i="47"/>
  <c r="Y42" i="47"/>
  <c r="S42" i="47"/>
  <c r="CK41" i="47"/>
  <c r="BZ41" i="47"/>
  <c r="AH41" i="47"/>
  <c r="AD41" i="47"/>
  <c r="Y41" i="47"/>
  <c r="S41" i="47"/>
  <c r="L41" i="47"/>
  <c r="CK40" i="47"/>
  <c r="BV40" i="47"/>
  <c r="BK40" i="47"/>
  <c r="AS40" i="47"/>
  <c r="AO40" i="47"/>
  <c r="AD40" i="47"/>
  <c r="Y40" i="47"/>
  <c r="AO39" i="47"/>
  <c r="Y39" i="47"/>
  <c r="CK38" i="47"/>
  <c r="BZ38" i="47"/>
  <c r="BV38" i="47"/>
  <c r="BK38" i="47"/>
  <c r="BK29" i="47" s="1"/>
  <c r="AH38" i="47"/>
  <c r="AH48" i="47" s="1"/>
  <c r="Y38" i="47"/>
  <c r="L38" i="47"/>
  <c r="L48" i="47" s="1"/>
  <c r="BV37" i="47"/>
  <c r="Y37" i="47"/>
  <c r="CB36" i="47"/>
  <c r="AD36" i="47"/>
  <c r="Y36" i="47"/>
  <c r="CB35" i="47"/>
  <c r="Y35" i="47"/>
  <c r="S35" i="47"/>
  <c r="CB34" i="47"/>
  <c r="AD34" i="47"/>
  <c r="Y34" i="47"/>
  <c r="S34" i="47"/>
  <c r="CB33" i="47"/>
  <c r="AD33" i="47"/>
  <c r="Y33" i="47"/>
  <c r="S33" i="47"/>
  <c r="N33" i="47"/>
  <c r="CB32" i="47"/>
  <c r="Y32" i="47"/>
  <c r="N32" i="47"/>
  <c r="CB31" i="47"/>
  <c r="AJ31" i="47"/>
  <c r="N31" i="47"/>
  <c r="CB30" i="47"/>
  <c r="BV30" i="47"/>
  <c r="AO30" i="47"/>
  <c r="AJ30" i="47"/>
  <c r="N30" i="47"/>
  <c r="CB29" i="47"/>
  <c r="BV29" i="47"/>
  <c r="AO29" i="47"/>
  <c r="AJ29" i="47"/>
  <c r="AD29" i="47"/>
  <c r="S29" i="47"/>
  <c r="N29" i="47"/>
  <c r="CB28" i="47"/>
  <c r="AJ28" i="47"/>
  <c r="AD28" i="47"/>
  <c r="S28" i="47"/>
  <c r="N28" i="47"/>
  <c r="CB27" i="47"/>
  <c r="AJ27" i="47"/>
  <c r="N27" i="47"/>
  <c r="H27" i="47"/>
  <c r="CB26" i="47"/>
  <c r="AJ26" i="47"/>
  <c r="N26" i="47"/>
  <c r="CB25" i="47"/>
  <c r="AJ25" i="47"/>
  <c r="N25" i="47"/>
  <c r="H25" i="47"/>
  <c r="CB24" i="47"/>
  <c r="AJ24" i="47"/>
  <c r="N24" i="47"/>
  <c r="H24" i="47"/>
  <c r="CB23" i="47"/>
  <c r="AV23" i="47"/>
  <c r="AU23" i="47"/>
  <c r="AJ23" i="47"/>
  <c r="N23" i="47"/>
  <c r="H23" i="47"/>
  <c r="CB22" i="47"/>
  <c r="AV22" i="47"/>
  <c r="AU22" i="47"/>
  <c r="AJ22" i="47"/>
  <c r="N22" i="47"/>
  <c r="CG21" i="47"/>
  <c r="CB21" i="47"/>
  <c r="AV21" i="47"/>
  <c r="AU21" i="47"/>
  <c r="AJ21" i="47"/>
  <c r="N21" i="47"/>
  <c r="CG20" i="47"/>
  <c r="AV20" i="47"/>
  <c r="AU20" i="47"/>
  <c r="AJ20" i="47"/>
  <c r="N20" i="47"/>
  <c r="AV19" i="47"/>
  <c r="AU19" i="47"/>
  <c r="AJ19" i="47"/>
  <c r="N19" i="47"/>
  <c r="AV18" i="47"/>
  <c r="AU18" i="47"/>
  <c r="AJ18" i="47"/>
  <c r="N18" i="47"/>
  <c r="AV17" i="47"/>
  <c r="AU17" i="47"/>
  <c r="AJ17" i="47"/>
  <c r="N17" i="47"/>
  <c r="BV16" i="47"/>
  <c r="AV16" i="47"/>
  <c r="AU16" i="47"/>
  <c r="AJ16" i="47"/>
  <c r="AD16" i="47"/>
  <c r="N16" i="47"/>
  <c r="H16" i="47"/>
  <c r="AV15" i="47"/>
  <c r="AU15" i="47"/>
  <c r="AJ15" i="47"/>
  <c r="AD15" i="47"/>
  <c r="N15" i="47"/>
  <c r="AV14" i="47"/>
  <c r="AU14" i="47"/>
  <c r="AJ14" i="47"/>
  <c r="N14" i="47"/>
  <c r="AV13" i="47"/>
  <c r="AU13" i="47"/>
  <c r="AJ13" i="47"/>
  <c r="AD13" i="47"/>
  <c r="AD61" i="47" s="1"/>
  <c r="Y13" i="47"/>
  <c r="N13" i="47"/>
  <c r="H13" i="47"/>
  <c r="CG12" i="47"/>
  <c r="BK12" i="47"/>
  <c r="AZ12" i="47"/>
  <c r="AV12" i="47"/>
  <c r="AU12" i="47"/>
  <c r="AO12" i="47"/>
  <c r="AJ12" i="47"/>
  <c r="Y12" i="47"/>
  <c r="S12" i="47"/>
  <c r="N12" i="47"/>
  <c r="AV11" i="47"/>
  <c r="AU11" i="47"/>
  <c r="AJ11" i="47"/>
  <c r="Y11" i="47"/>
  <c r="N11" i="47"/>
  <c r="AV10" i="47"/>
  <c r="AU10" i="47"/>
  <c r="AJ10" i="47"/>
  <c r="Y10" i="47"/>
  <c r="N10" i="47"/>
  <c r="AV9" i="47"/>
  <c r="AU9" i="47"/>
  <c r="AJ9" i="47"/>
  <c r="Y9" i="47"/>
  <c r="N9" i="47"/>
  <c r="BK8" i="47"/>
  <c r="AZ8" i="47"/>
  <c r="AV8" i="47"/>
  <c r="AU8" i="47"/>
  <c r="AO8" i="47"/>
  <c r="AS51" i="47" s="1"/>
  <c r="AJ8" i="47"/>
  <c r="Y8" i="47"/>
  <c r="N8" i="47"/>
  <c r="AS60" i="47"/>
  <c r="CS7" i="47" a="1"/>
  <c r="AS16" i="47" l="1"/>
  <c r="AS15" i="47"/>
  <c r="AS14" i="47"/>
  <c r="AS17" i="47"/>
  <c r="AS12" i="47"/>
  <c r="AS18" i="47"/>
  <c r="AS23" i="47"/>
  <c r="AS11" i="47"/>
  <c r="AS10" i="47"/>
  <c r="AS20" i="47"/>
  <c r="AS9" i="47"/>
  <c r="AS8" i="47"/>
  <c r="AS22" i="47"/>
  <c r="AS19" i="47"/>
  <c r="AS13" i="47"/>
  <c r="AS21" i="47"/>
  <c r="CU103" i="47"/>
  <c r="CU101" i="47"/>
  <c r="CU99" i="47"/>
  <c r="CU97" i="47"/>
  <c r="CU95" i="47"/>
  <c r="CU93" i="47"/>
  <c r="CU91" i="47"/>
  <c r="CU89" i="47"/>
  <c r="CU87" i="47"/>
  <c r="CS84" i="47"/>
  <c r="CU82" i="47"/>
  <c r="CU80" i="47"/>
  <c r="CV78" i="47"/>
  <c r="CT75" i="47"/>
  <c r="CV72" i="47"/>
  <c r="CS71" i="47"/>
  <c r="CU69" i="47"/>
  <c r="CS68" i="47"/>
  <c r="CV66" i="47"/>
  <c r="CV103" i="47"/>
  <c r="CV80" i="47"/>
  <c r="CT103" i="47"/>
  <c r="CT101" i="47"/>
  <c r="CT99" i="47"/>
  <c r="CT97" i="47"/>
  <c r="CT95" i="47"/>
  <c r="CT93" i="47"/>
  <c r="CT91" i="47"/>
  <c r="CT89" i="47"/>
  <c r="CT87" i="47"/>
  <c r="CV85" i="47"/>
  <c r="CT82" i="47"/>
  <c r="CT80" i="47"/>
  <c r="CU78" i="47"/>
  <c r="CV76" i="47"/>
  <c r="CS75" i="47"/>
  <c r="CU72" i="47"/>
  <c r="CT69" i="47"/>
  <c r="CU66" i="47"/>
  <c r="CS86" i="47"/>
  <c r="CS65" i="47"/>
  <c r="CS103" i="47"/>
  <c r="CS101" i="47"/>
  <c r="CS99" i="47"/>
  <c r="CS97" i="47"/>
  <c r="CS95" i="47"/>
  <c r="CS93" i="47"/>
  <c r="CS91" i="47"/>
  <c r="CS89" i="47"/>
  <c r="CS87" i="47"/>
  <c r="CU85" i="47"/>
  <c r="CV83" i="47"/>
  <c r="CS82" i="47"/>
  <c r="CS80" i="47"/>
  <c r="CT78" i="47"/>
  <c r="CU76" i="47"/>
  <c r="CT72" i="47"/>
  <c r="CV70" i="47"/>
  <c r="CS69" i="47"/>
  <c r="CT66" i="47"/>
  <c r="CV100" i="47"/>
  <c r="CV98" i="47"/>
  <c r="CV96" i="47"/>
  <c r="CV94" i="47"/>
  <c r="CV92" i="47"/>
  <c r="CV88" i="47"/>
  <c r="CV73" i="47"/>
  <c r="CS72" i="47"/>
  <c r="CU70" i="47"/>
  <c r="CS66" i="47"/>
  <c r="CU102" i="47"/>
  <c r="CU98" i="47"/>
  <c r="CU96" i="47"/>
  <c r="CU92" i="47"/>
  <c r="CU88" i="47"/>
  <c r="CV86" i="47"/>
  <c r="CS85" i="47"/>
  <c r="CU81" i="47"/>
  <c r="CV77" i="47"/>
  <c r="CS76" i="47"/>
  <c r="CU73" i="47"/>
  <c r="CT70" i="47"/>
  <c r="CV67" i="47"/>
  <c r="CV65" i="47"/>
  <c r="CV101" i="47"/>
  <c r="CV97" i="47"/>
  <c r="CV93" i="47"/>
  <c r="CV89" i="47"/>
  <c r="CV102" i="47"/>
  <c r="CV90" i="47"/>
  <c r="CT85" i="47"/>
  <c r="CU83" i="47"/>
  <c r="CV81" i="47"/>
  <c r="CV79" i="47"/>
  <c r="CS78" i="47"/>
  <c r="CT76" i="47"/>
  <c r="CU94" i="47"/>
  <c r="CU79" i="47"/>
  <c r="CS67" i="47"/>
  <c r="CU100" i="47"/>
  <c r="CU90" i="47"/>
  <c r="CT83" i="47"/>
  <c r="CV74" i="47"/>
  <c r="CT84" i="47"/>
  <c r="CS74" i="47"/>
  <c r="CT68" i="47"/>
  <c r="CT102" i="47"/>
  <c r="CT100" i="47"/>
  <c r="CT98" i="47"/>
  <c r="CT96" i="47"/>
  <c r="CT94" i="47"/>
  <c r="CT92" i="47"/>
  <c r="CT90" i="47"/>
  <c r="CT88" i="47"/>
  <c r="CU86" i="47"/>
  <c r="CV84" i="47"/>
  <c r="CS83" i="47"/>
  <c r="CT81" i="47"/>
  <c r="CT79" i="47"/>
  <c r="CU77" i="47"/>
  <c r="CU74" i="47"/>
  <c r="CT73" i="47"/>
  <c r="CV71" i="47"/>
  <c r="CS70" i="47"/>
  <c r="CV68" i="47"/>
  <c r="CU67" i="47"/>
  <c r="CU65" i="47"/>
  <c r="CV99" i="47"/>
  <c r="CV95" i="47"/>
  <c r="CV91" i="47"/>
  <c r="CV82" i="47"/>
  <c r="CU75" i="47"/>
  <c r="CV69" i="47"/>
  <c r="CS102" i="47"/>
  <c r="CS100" i="47"/>
  <c r="CS98" i="47"/>
  <c r="CS96" i="47"/>
  <c r="CS94" i="47"/>
  <c r="CS92" i="47"/>
  <c r="CS90" i="47"/>
  <c r="CS88" i="47"/>
  <c r="CT86" i="47"/>
  <c r="CU84" i="47"/>
  <c r="CS81" i="47"/>
  <c r="CS79" i="47"/>
  <c r="CT77" i="47"/>
  <c r="CV75" i="47"/>
  <c r="CT74" i="47"/>
  <c r="CS73" i="47"/>
  <c r="CU71" i="47"/>
  <c r="CU68" i="47"/>
  <c r="CT67" i="47"/>
  <c r="CT65" i="47"/>
  <c r="CV87" i="47"/>
  <c r="CS77" i="47"/>
  <c r="CT71" i="47"/>
  <c r="CT56" i="47"/>
  <c r="CV55" i="47"/>
  <c r="CS64" i="47"/>
  <c r="CU62" i="47"/>
  <c r="CV57" i="47"/>
  <c r="CU55" i="47"/>
  <c r="CT62" i="47"/>
  <c r="CV58" i="47"/>
  <c r="CU57" i="47"/>
  <c r="CT55" i="47"/>
  <c r="CS62" i="47"/>
  <c r="CV60" i="47"/>
  <c r="CV59" i="47"/>
  <c r="CU58" i="47"/>
  <c r="CT57" i="47"/>
  <c r="CS55" i="47"/>
  <c r="CV63" i="47"/>
  <c r="CV61" i="47"/>
  <c r="CU60" i="47"/>
  <c r="CU59" i="47"/>
  <c r="CT58" i="47"/>
  <c r="CS57" i="47"/>
  <c r="CS56" i="47"/>
  <c r="CU63" i="47"/>
  <c r="CU61" i="47"/>
  <c r="CT60" i="47"/>
  <c r="CT59" i="47"/>
  <c r="CS58" i="47"/>
  <c r="CV56" i="47"/>
  <c r="CV64" i="47"/>
  <c r="CT63" i="47"/>
  <c r="CT61" i="47"/>
  <c r="CS60" i="47"/>
  <c r="CS59" i="47"/>
  <c r="CU56" i="47"/>
  <c r="CU64" i="47"/>
  <c r="CS63" i="47"/>
  <c r="CS61" i="47"/>
  <c r="CT64" i="47"/>
  <c r="CV62" i="47"/>
  <c r="CV54" i="47"/>
  <c r="CU54" i="47"/>
  <c r="CT54" i="47"/>
  <c r="CS54" i="47"/>
  <c r="CU53" i="47"/>
  <c r="CV50" i="47"/>
  <c r="CT53" i="47"/>
  <c r="CV51" i="47"/>
  <c r="CU50" i="47"/>
  <c r="CU48" i="47"/>
  <c r="CV52" i="47"/>
  <c r="CU51" i="47"/>
  <c r="CT50" i="47"/>
  <c r="CV49" i="47"/>
  <c r="CT48" i="47"/>
  <c r="CU47" i="47"/>
  <c r="CV53" i="47"/>
  <c r="CS52" i="47"/>
  <c r="CS53" i="47"/>
  <c r="CU52" i="47"/>
  <c r="CT51" i="47"/>
  <c r="CS50" i="47"/>
  <c r="CU49" i="47"/>
  <c r="CS48" i="47"/>
  <c r="CV47" i="47"/>
  <c r="CT52" i="47"/>
  <c r="CS51" i="47"/>
  <c r="CT49" i="47"/>
  <c r="CS49" i="47"/>
  <c r="CT47" i="47"/>
  <c r="CS47" i="47"/>
  <c r="CV48" i="47"/>
  <c r="CU46" i="47"/>
  <c r="CV45" i="47"/>
  <c r="CT46" i="47"/>
  <c r="CU45" i="47"/>
  <c r="CS45" i="47"/>
  <c r="CV46" i="47"/>
  <c r="CS46" i="47"/>
  <c r="CT45" i="47"/>
  <c r="CV44" i="47"/>
  <c r="CS43" i="47"/>
  <c r="CU42" i="47"/>
  <c r="CU40" i="47"/>
  <c r="CS39" i="47"/>
  <c r="CS38" i="47"/>
  <c r="CT35" i="47"/>
  <c r="CS33" i="47"/>
  <c r="CT29" i="47"/>
  <c r="CU27" i="47"/>
  <c r="CT23" i="47"/>
  <c r="CU21" i="47"/>
  <c r="CV19" i="47"/>
  <c r="CT17" i="47"/>
  <c r="CU15" i="47"/>
  <c r="CT13" i="47"/>
  <c r="CS11" i="47"/>
  <c r="CS9" i="47"/>
  <c r="CU19" i="47"/>
  <c r="CS17" i="47"/>
  <c r="CS13" i="47"/>
  <c r="CV10" i="47"/>
  <c r="CV8" i="47"/>
  <c r="CU44" i="47"/>
  <c r="CT42" i="47"/>
  <c r="CV41" i="47"/>
  <c r="CT40" i="47"/>
  <c r="CS35" i="47"/>
  <c r="CV34" i="47"/>
  <c r="CV31" i="47"/>
  <c r="CS29" i="47"/>
  <c r="CT27" i="47"/>
  <c r="CV26" i="47"/>
  <c r="CT21" i="47"/>
  <c r="CT15" i="47"/>
  <c r="CT44" i="47"/>
  <c r="CS42" i="47"/>
  <c r="CU41" i="47"/>
  <c r="CS40" i="47"/>
  <c r="CV37" i="47"/>
  <c r="CU34" i="47"/>
  <c r="CU31" i="47"/>
  <c r="CV30" i="47"/>
  <c r="CS27" i="47"/>
  <c r="CU26" i="47"/>
  <c r="CV25" i="47"/>
  <c r="CS21" i="47"/>
  <c r="CT19" i="47"/>
  <c r="CU16" i="47"/>
  <c r="CS15" i="47"/>
  <c r="CU10" i="47"/>
  <c r="CU8" i="47"/>
  <c r="CU12" i="47"/>
  <c r="CS44" i="47"/>
  <c r="CT41" i="47"/>
  <c r="CU37" i="47"/>
  <c r="CV36" i="47"/>
  <c r="CT34" i="47"/>
  <c r="CT31" i="47"/>
  <c r="CU30" i="47"/>
  <c r="CT26" i="47"/>
  <c r="CU25" i="47"/>
  <c r="CV22" i="47"/>
  <c r="CS19" i="47"/>
  <c r="CV18" i="47"/>
  <c r="CT16" i="47"/>
  <c r="CV14" i="47"/>
  <c r="CT10" i="47"/>
  <c r="CT8" i="47"/>
  <c r="CT22" i="47"/>
  <c r="CS41" i="47"/>
  <c r="CT37" i="47"/>
  <c r="CU36" i="47"/>
  <c r="CS34" i="47"/>
  <c r="CV32" i="47"/>
  <c r="CS31" i="47"/>
  <c r="CT30" i="47"/>
  <c r="CV28" i="47"/>
  <c r="CS26" i="47"/>
  <c r="CT25" i="47"/>
  <c r="CV24" i="47"/>
  <c r="CU22" i="47"/>
  <c r="CV20" i="47"/>
  <c r="CU18" i="47"/>
  <c r="CS16" i="47"/>
  <c r="CU14" i="47"/>
  <c r="CV12" i="47"/>
  <c r="CS10" i="47"/>
  <c r="CS8" i="47"/>
  <c r="CV7" i="47"/>
  <c r="CV43" i="47"/>
  <c r="CV39" i="47"/>
  <c r="CV38" i="47"/>
  <c r="CS37" i="47"/>
  <c r="CT36" i="47"/>
  <c r="CV33" i="47"/>
  <c r="CU32" i="47"/>
  <c r="CS30" i="47"/>
  <c r="CU28" i="47"/>
  <c r="CS25" i="47"/>
  <c r="CU24" i="47"/>
  <c r="CU20" i="47"/>
  <c r="CT14" i="47"/>
  <c r="CU43" i="47"/>
  <c r="CU39" i="47"/>
  <c r="CU38" i="47"/>
  <c r="CS36" i="47"/>
  <c r="CV35" i="47"/>
  <c r="CU33" i="47"/>
  <c r="CT32" i="47"/>
  <c r="CV29" i="47"/>
  <c r="CT28" i="47"/>
  <c r="CT24" i="47"/>
  <c r="CV23" i="47"/>
  <c r="CS22" i="47"/>
  <c r="CT20" i="47"/>
  <c r="CS18" i="47"/>
  <c r="CV17" i="47"/>
  <c r="CS14" i="47"/>
  <c r="CV13" i="47"/>
  <c r="CT12" i="47"/>
  <c r="CU11" i="47"/>
  <c r="CU9" i="47"/>
  <c r="CU7" i="47"/>
  <c r="CS23" i="47"/>
  <c r="CV16" i="47"/>
  <c r="CT43" i="47"/>
  <c r="CV42" i="47"/>
  <c r="CV40" i="47"/>
  <c r="CT39" i="47"/>
  <c r="CT38" i="47"/>
  <c r="CU35" i="47"/>
  <c r="CT33" i="47"/>
  <c r="CS32" i="47"/>
  <c r="CU29" i="47"/>
  <c r="CS28" i="47"/>
  <c r="CV27" i="47"/>
  <c r="CS24" i="47"/>
  <c r="CU23" i="47"/>
  <c r="CV21" i="47"/>
  <c r="CS20" i="47"/>
  <c r="CU17" i="47"/>
  <c r="CV15" i="47"/>
  <c r="CU13" i="47"/>
  <c r="CS12" i="47"/>
  <c r="CT11" i="47"/>
  <c r="CT9" i="47"/>
  <c r="CT7" i="47"/>
  <c r="CS7" i="47"/>
  <c r="CT18" i="47"/>
  <c r="CV11" i="47"/>
  <c r="CV9" i="47"/>
  <c r="AH44" i="47"/>
  <c r="L44" i="47"/>
  <c r="AH40" i="47"/>
  <c r="CG7" i="47"/>
  <c r="BV7" i="47"/>
  <c r="BK7" i="47"/>
  <c r="AZ7" i="47"/>
  <c r="AV7" i="47"/>
  <c r="AU7" i="47"/>
  <c r="AO7" i="47"/>
  <c r="AJ7" i="47"/>
  <c r="AD7" i="47"/>
  <c r="Y7" i="47"/>
  <c r="S7" i="47"/>
  <c r="N7" i="47"/>
  <c r="H7" i="47"/>
  <c r="BY2" i="47"/>
  <c r="BN2" i="47"/>
  <c r="BC2" i="47"/>
  <c r="AR2" i="47"/>
  <c r="AG2" i="47"/>
  <c r="V2" i="47"/>
  <c r="K2" i="47"/>
  <c r="BV73" i="32"/>
  <c r="BV68" i="32"/>
  <c r="BK66" i="32"/>
  <c r="AD65" i="32"/>
  <c r="BK64" i="32"/>
  <c r="BK63" i="32"/>
  <c r="AD60" i="32"/>
  <c r="AD59" i="32"/>
  <c r="AD58" i="32"/>
  <c r="AD57" i="32"/>
  <c r="H8" i="47"/>
  <c r="CP6" i="47"/>
  <c r="CG8" i="47"/>
  <c r="S8" i="47"/>
  <c r="AD8" i="47"/>
  <c r="BV8" i="47"/>
  <c r="CP49" i="47" l="1"/>
  <c r="L49" i="47"/>
  <c r="AH49" i="47"/>
  <c r="BZ49" i="47"/>
  <c r="W69" i="47"/>
  <c r="AS7" i="47"/>
  <c r="BK55" i="32"/>
  <c r="AO55" i="32"/>
  <c r="BV54" i="32"/>
  <c r="BK54" i="32"/>
  <c r="AS54" i="32" a="1"/>
  <c r="AS57" i="32" l="1"/>
  <c r="AS56" i="32"/>
  <c r="AS54" i="32"/>
  <c r="AS55" i="32"/>
  <c r="AO53" i="32"/>
  <c r="BV52" i="32"/>
  <c r="AO52" i="32"/>
  <c r="BV51" i="32"/>
  <c r="BK51" i="32"/>
  <c r="BO50" i="32"/>
  <c r="AS50" i="32"/>
  <c r="AH50" i="32"/>
  <c r="AD50" i="32"/>
  <c r="W50" i="32"/>
  <c r="S50" i="32"/>
  <c r="L50" i="32"/>
  <c r="BK49" i="32"/>
  <c r="AD49" i="32"/>
  <c r="S49" i="32"/>
  <c r="BO48" i="32"/>
  <c r="BK48" i="32"/>
  <c r="AS48" i="32"/>
  <c r="AD48" i="32"/>
  <c r="S48" i="32"/>
  <c r="BZ46" i="32"/>
  <c r="BZ44" i="32"/>
  <c r="BV44" i="32"/>
  <c r="BO44" i="32"/>
  <c r="AS44" i="32"/>
  <c r="AO44" i="32"/>
  <c r="H44" i="32"/>
  <c r="BV43" i="32"/>
  <c r="AO43" i="32"/>
  <c r="H43" i="32"/>
  <c r="AD42" i="32"/>
  <c r="S42" i="32"/>
  <c r="H42" i="32"/>
  <c r="CK41" i="32"/>
  <c r="BK41" i="32"/>
  <c r="AD41" i="32"/>
  <c r="S41" i="32"/>
  <c r="BZ40" i="32"/>
  <c r="BV40" i="32"/>
  <c r="BK40" i="32"/>
  <c r="AO40" i="32"/>
  <c r="AD40" i="32"/>
  <c r="S40" i="32"/>
  <c r="CK38" i="32"/>
  <c r="BV38" i="32"/>
  <c r="BO38" i="32"/>
  <c r="AS38" i="32"/>
  <c r="AO38" i="32"/>
  <c r="AH38" i="32"/>
  <c r="W38" i="32"/>
  <c r="L38" i="32"/>
  <c r="BV37" i="32"/>
  <c r="AO37" i="32"/>
  <c r="AJ36" i="32"/>
  <c r="AD36" i="32"/>
  <c r="S36" i="32"/>
  <c r="AJ35" i="32"/>
  <c r="Y35" i="32"/>
  <c r="BZ34" i="32"/>
  <c r="AJ34" i="32"/>
  <c r="AD34" i="32"/>
  <c r="Y34" i="32"/>
  <c r="S34" i="32"/>
  <c r="AJ33" i="32"/>
  <c r="AD33" i="32"/>
  <c r="Y33" i="32"/>
  <c r="S33" i="32"/>
  <c r="BK32" i="32"/>
  <c r="AJ32" i="32"/>
  <c r="Y32" i="32"/>
  <c r="BK31" i="32"/>
  <c r="AJ31" i="32"/>
  <c r="Y31" i="32"/>
  <c r="CB30" i="32"/>
  <c r="BV30" i="32"/>
  <c r="AO30" i="32"/>
  <c r="AJ30" i="32"/>
  <c r="Y30" i="32"/>
  <c r="CB29" i="32"/>
  <c r="BV29" i="32"/>
  <c r="AO29" i="32"/>
  <c r="AJ29" i="32"/>
  <c r="AD29" i="32"/>
  <c r="Y29" i="32"/>
  <c r="S29" i="32"/>
  <c r="CB28" i="32"/>
  <c r="AJ28" i="32"/>
  <c r="AD28" i="32"/>
  <c r="Y28" i="32"/>
  <c r="S28" i="32"/>
  <c r="CB27" i="32"/>
  <c r="BK27" i="32"/>
  <c r="AJ27" i="32"/>
  <c r="Y27" i="32"/>
  <c r="CB26" i="32"/>
  <c r="BK26" i="32"/>
  <c r="AJ26" i="32"/>
  <c r="Y26" i="32"/>
  <c r="CB25" i="32"/>
  <c r="AJ25" i="32"/>
  <c r="Y25" i="32"/>
  <c r="CB24" i="32"/>
  <c r="BQ24" i="32"/>
  <c r="AJ24" i="32"/>
  <c r="Y24" i="32"/>
  <c r="H24" i="32"/>
  <c r="CB23" i="32"/>
  <c r="BQ23" i="32"/>
  <c r="AV23" i="32"/>
  <c r="AU23" i="32"/>
  <c r="AJ23" i="32"/>
  <c r="Y23" i="32"/>
  <c r="H23" i="32"/>
  <c r="CB22" i="32"/>
  <c r="BQ22" i="32"/>
  <c r="AV22" i="32"/>
  <c r="AU22" i="32"/>
  <c r="AJ22" i="32"/>
  <c r="Y22" i="32"/>
  <c r="H22" i="32"/>
  <c r="CG21" i="32"/>
  <c r="CB21" i="32"/>
  <c r="BQ21" i="32"/>
  <c r="AV21" i="32"/>
  <c r="AU21" i="32"/>
  <c r="AJ21" i="32"/>
  <c r="Y21" i="32"/>
  <c r="CG20" i="32"/>
  <c r="CB20" i="32"/>
  <c r="BQ20" i="32"/>
  <c r="AV20" i="32"/>
  <c r="AU20" i="32"/>
  <c r="AJ20" i="32"/>
  <c r="Y20" i="32"/>
  <c r="CB19" i="32"/>
  <c r="BQ19" i="32"/>
  <c r="AV19" i="32"/>
  <c r="AU19" i="32"/>
  <c r="AJ19" i="32"/>
  <c r="V19" i="32"/>
  <c r="CB18" i="32"/>
  <c r="BQ18" i="32"/>
  <c r="AV18" i="32"/>
  <c r="AU18" i="32"/>
  <c r="AJ18" i="32"/>
  <c r="V18" i="32"/>
  <c r="CB17" i="32"/>
  <c r="BQ17" i="32"/>
  <c r="AV17" i="32"/>
  <c r="AU17" i="32"/>
  <c r="AJ17" i="32"/>
  <c r="V17" i="32"/>
  <c r="CB16" i="32"/>
  <c r="BV16" i="32"/>
  <c r="BQ16" i="32"/>
  <c r="AV16" i="32"/>
  <c r="AU16" i="32"/>
  <c r="AJ16" i="32"/>
  <c r="AD16" i="32"/>
  <c r="V16" i="32"/>
  <c r="S16" i="32"/>
  <c r="CB15" i="32"/>
  <c r="BQ15" i="32"/>
  <c r="AV15" i="32"/>
  <c r="AS15" i="32" s="1"/>
  <c r="AU15" i="32"/>
  <c r="AJ15" i="32"/>
  <c r="AD15" i="32"/>
  <c r="V15" i="32"/>
  <c r="S15" i="32"/>
  <c r="H15" i="32"/>
  <c r="CB14" i="32"/>
  <c r="BQ14" i="32"/>
  <c r="AV14" i="32"/>
  <c r="AU14" i="32"/>
  <c r="AJ14" i="32"/>
  <c r="V14" i="32"/>
  <c r="AS58" i="32"/>
  <c r="AS23" i="32" l="1"/>
  <c r="AS20" i="32"/>
  <c r="AS21" i="32"/>
  <c r="AS22" i="32"/>
  <c r="AS19" i="32"/>
  <c r="AS14" i="32"/>
  <c r="AS17" i="32"/>
  <c r="AS16" i="32"/>
  <c r="AS18" i="32"/>
  <c r="L48" i="32"/>
  <c r="L44" i="32"/>
  <c r="W48" i="32"/>
  <c r="W44" i="32"/>
  <c r="AH48" i="32"/>
  <c r="AH44" i="32"/>
  <c r="H14" i="32"/>
  <c r="BQ13" i="32"/>
  <c r="AV13" i="32"/>
  <c r="AU13" i="32"/>
  <c r="AJ13" i="32"/>
  <c r="AD13" i="32"/>
  <c r="V13" i="32"/>
  <c r="AS13" i="32" l="1"/>
  <c r="AD61" i="32"/>
  <c r="AH40" i="32"/>
  <c r="CG12" i="32"/>
  <c r="BQ12" i="32"/>
  <c r="BK12" i="32"/>
  <c r="AZ12" i="32"/>
  <c r="AV12" i="32"/>
  <c r="AU12" i="32"/>
  <c r="AO12" i="32"/>
  <c r="AJ12" i="32"/>
  <c r="V12" i="32"/>
  <c r="H12" i="32"/>
  <c r="BQ11" i="32"/>
  <c r="AV11" i="32"/>
  <c r="AU11" i="32"/>
  <c r="AS11" i="32" s="1"/>
  <c r="AJ11" i="32"/>
  <c r="Y11" i="32"/>
  <c r="BQ10" i="32"/>
  <c r="AV10" i="32"/>
  <c r="AU10" i="32"/>
  <c r="AJ10" i="32"/>
  <c r="Y10" i="32"/>
  <c r="BQ9" i="32"/>
  <c r="AV9" i="32"/>
  <c r="AU9" i="32"/>
  <c r="AK9" i="32"/>
  <c r="AJ9" i="32"/>
  <c r="Y9" i="32"/>
  <c r="BQ8" i="32"/>
  <c r="AZ8" i="32"/>
  <c r="AV8" i="32"/>
  <c r="AU8" i="32"/>
  <c r="AO8" i="32"/>
  <c r="AS49" i="32" s="1"/>
  <c r="AJ8" i="32"/>
  <c r="Y8" i="32"/>
  <c r="CS7" i="32" a="1"/>
  <c r="AS10" i="32" l="1"/>
  <c r="AS9" i="32"/>
  <c r="AS8" i="32"/>
  <c r="AS12" i="32"/>
  <c r="CU199" i="32"/>
  <c r="CW197" i="32"/>
  <c r="CT196" i="32"/>
  <c r="CV194" i="32"/>
  <c r="CS193" i="32"/>
  <c r="CU191" i="32"/>
  <c r="CW189" i="32"/>
  <c r="CT188" i="32"/>
  <c r="CV186" i="32"/>
  <c r="CS185" i="32"/>
  <c r="CU183" i="32"/>
  <c r="CW181" i="32"/>
  <c r="CT180" i="32"/>
  <c r="CV178" i="32"/>
  <c r="CS177" i="32"/>
  <c r="CU175" i="32"/>
  <c r="CW173" i="32"/>
  <c r="CT172" i="32"/>
  <c r="CV170" i="32"/>
  <c r="CS169" i="32"/>
  <c r="CU167" i="32"/>
  <c r="CW165" i="32"/>
  <c r="CT164" i="32"/>
  <c r="CV162" i="32"/>
  <c r="CS161" i="32"/>
  <c r="CU159" i="32"/>
  <c r="CW157" i="32"/>
  <c r="CT156" i="32"/>
  <c r="CV154" i="32"/>
  <c r="CS153" i="32"/>
  <c r="CU151" i="32"/>
  <c r="CW149" i="32"/>
  <c r="CT148" i="32"/>
  <c r="CV146" i="32"/>
  <c r="CS145" i="32"/>
  <c r="CU143" i="32"/>
  <c r="CW141" i="32"/>
  <c r="CT140" i="32"/>
  <c r="CV138" i="32"/>
  <c r="CS137" i="32"/>
  <c r="CU135" i="32"/>
  <c r="CW133" i="32"/>
  <c r="CT132" i="32"/>
  <c r="CV130" i="32"/>
  <c r="CS129" i="32"/>
  <c r="CU127" i="32"/>
  <c r="DG127" i="29" s="1"/>
  <c r="CW125" i="32"/>
  <c r="CT124" i="32"/>
  <c r="CV122" i="32"/>
  <c r="CS121" i="32"/>
  <c r="CU119" i="32"/>
  <c r="DG119" i="29" s="1"/>
  <c r="CW117" i="32"/>
  <c r="CT116" i="32"/>
  <c r="CV114" i="32"/>
  <c r="CS113" i="32"/>
  <c r="CU111" i="32"/>
  <c r="DG111" i="29" s="1"/>
  <c r="CW109" i="32"/>
  <c r="CT108" i="32"/>
  <c r="CV106" i="32"/>
  <c r="CS105" i="32"/>
  <c r="CU103" i="32"/>
  <c r="DG103" i="29" s="1"/>
  <c r="CW101" i="32"/>
  <c r="CT100" i="32"/>
  <c r="CV98" i="32"/>
  <c r="CS97" i="32"/>
  <c r="CU95" i="32"/>
  <c r="DG95" i="29" s="1"/>
  <c r="CW93" i="32"/>
  <c r="CT92" i="32"/>
  <c r="CV90" i="32"/>
  <c r="CS89" i="32"/>
  <c r="CU87" i="32"/>
  <c r="DG87" i="29" s="1"/>
  <c r="CW85" i="32"/>
  <c r="CT84" i="32"/>
  <c r="CV82" i="32"/>
  <c r="CS81" i="32"/>
  <c r="CU79" i="32"/>
  <c r="DG79" i="29" s="1"/>
  <c r="CW77" i="32"/>
  <c r="CT76" i="32"/>
  <c r="CV74" i="32"/>
  <c r="CS73" i="32"/>
  <c r="CV71" i="32"/>
  <c r="CS70" i="32"/>
  <c r="CT199" i="32"/>
  <c r="CV197" i="32"/>
  <c r="CS196" i="32"/>
  <c r="CU194" i="32"/>
  <c r="CW192" i="32"/>
  <c r="CT191" i="32"/>
  <c r="CV189" i="32"/>
  <c r="CS188" i="32"/>
  <c r="CU186" i="32"/>
  <c r="CW184" i="32"/>
  <c r="CT183" i="32"/>
  <c r="CV181" i="32"/>
  <c r="CS180" i="32"/>
  <c r="CU178" i="32"/>
  <c r="CW176" i="32"/>
  <c r="CT175" i="32"/>
  <c r="CV173" i="32"/>
  <c r="CS172" i="32"/>
  <c r="CU170" i="32"/>
  <c r="CW168" i="32"/>
  <c r="CT167" i="32"/>
  <c r="CV165" i="32"/>
  <c r="CS164" i="32"/>
  <c r="CU162" i="32"/>
  <c r="CW160" i="32"/>
  <c r="CT159" i="32"/>
  <c r="CV157" i="32"/>
  <c r="CS156" i="32"/>
  <c r="CU154" i="32"/>
  <c r="CW152" i="32"/>
  <c r="CT151" i="32"/>
  <c r="CV149" i="32"/>
  <c r="CS148" i="32"/>
  <c r="CU146" i="32"/>
  <c r="CW144" i="32"/>
  <c r="CT143" i="32"/>
  <c r="CV141" i="32"/>
  <c r="CS140" i="32"/>
  <c r="CU138" i="32"/>
  <c r="CW136" i="32"/>
  <c r="CT135" i="32"/>
  <c r="CV133" i="32"/>
  <c r="CS132" i="32"/>
  <c r="CU130" i="32"/>
  <c r="CW128" i="32"/>
  <c r="CT127" i="32"/>
  <c r="CV125" i="32"/>
  <c r="CS124" i="32"/>
  <c r="CU122" i="32"/>
  <c r="DG122" i="29" s="1"/>
  <c r="CW120" i="32"/>
  <c r="CT119" i="32"/>
  <c r="CV117" i="32"/>
  <c r="CS116" i="32"/>
  <c r="CU114" i="32"/>
  <c r="DG114" i="29" s="1"/>
  <c r="CW112" i="32"/>
  <c r="CT111" i="32"/>
  <c r="CV109" i="32"/>
  <c r="CS108" i="32"/>
  <c r="CU106" i="32"/>
  <c r="DG106" i="29" s="1"/>
  <c r="CW104" i="32"/>
  <c r="CT103" i="32"/>
  <c r="CV101" i="32"/>
  <c r="CS100" i="32"/>
  <c r="CU98" i="32"/>
  <c r="DG98" i="29" s="1"/>
  <c r="CW96" i="32"/>
  <c r="CT95" i="32"/>
  <c r="CV93" i="32"/>
  <c r="CS92" i="32"/>
  <c r="CU90" i="32"/>
  <c r="DG90" i="29" s="1"/>
  <c r="CW88" i="32"/>
  <c r="CT87" i="32"/>
  <c r="CV85" i="32"/>
  <c r="CS84" i="32"/>
  <c r="CU82" i="32"/>
  <c r="DG82" i="29" s="1"/>
  <c r="CW80" i="32"/>
  <c r="CT79" i="32"/>
  <c r="CV77" i="32"/>
  <c r="CS76" i="32"/>
  <c r="CU74" i="32"/>
  <c r="DG74" i="29" s="1"/>
  <c r="CS199" i="32"/>
  <c r="CU197" i="32"/>
  <c r="CW195" i="32"/>
  <c r="CT194" i="32"/>
  <c r="CV192" i="32"/>
  <c r="CS191" i="32"/>
  <c r="CU189" i="32"/>
  <c r="CW187" i="32"/>
  <c r="CT186" i="32"/>
  <c r="CV184" i="32"/>
  <c r="CS183" i="32"/>
  <c r="CU181" i="32"/>
  <c r="CW179" i="32"/>
  <c r="CT178" i="32"/>
  <c r="CV176" i="32"/>
  <c r="CS175" i="32"/>
  <c r="CU173" i="32"/>
  <c r="CW171" i="32"/>
  <c r="CT170" i="32"/>
  <c r="CV168" i="32"/>
  <c r="CS167" i="32"/>
  <c r="CU165" i="32"/>
  <c r="CW163" i="32"/>
  <c r="CT162" i="32"/>
  <c r="CV160" i="32"/>
  <c r="CS159" i="32"/>
  <c r="CU157" i="32"/>
  <c r="CW155" i="32"/>
  <c r="CT154" i="32"/>
  <c r="CV152" i="32"/>
  <c r="CS151" i="32"/>
  <c r="CU149" i="32"/>
  <c r="CW147" i="32"/>
  <c r="CT146" i="32"/>
  <c r="CV144" i="32"/>
  <c r="CS143" i="32"/>
  <c r="CU141" i="32"/>
  <c r="CW139" i="32"/>
  <c r="CT138" i="32"/>
  <c r="CV136" i="32"/>
  <c r="CS135" i="32"/>
  <c r="CU133" i="32"/>
  <c r="CW131" i="32"/>
  <c r="CT130" i="32"/>
  <c r="CV128" i="32"/>
  <c r="CS127" i="32"/>
  <c r="CU125" i="32"/>
  <c r="DG125" i="29" s="1"/>
  <c r="CW123" i="32"/>
  <c r="CT122" i="32"/>
  <c r="CV120" i="32"/>
  <c r="CS119" i="32"/>
  <c r="CU117" i="32"/>
  <c r="DG117" i="29" s="1"/>
  <c r="CW115" i="32"/>
  <c r="CT114" i="32"/>
  <c r="CV112" i="32"/>
  <c r="CS111" i="32"/>
  <c r="CU109" i="32"/>
  <c r="DG109" i="29" s="1"/>
  <c r="CW107" i="32"/>
  <c r="CT106" i="32"/>
  <c r="CV104" i="32"/>
  <c r="CS103" i="32"/>
  <c r="CU101" i="32"/>
  <c r="DG101" i="29" s="1"/>
  <c r="CW99" i="32"/>
  <c r="CT98" i="32"/>
  <c r="CV96" i="32"/>
  <c r="CS95" i="32"/>
  <c r="CU93" i="32"/>
  <c r="DG93" i="29" s="1"/>
  <c r="CW91" i="32"/>
  <c r="CT90" i="32"/>
  <c r="CV88" i="32"/>
  <c r="CS87" i="32"/>
  <c r="CU85" i="32"/>
  <c r="DG85" i="29" s="1"/>
  <c r="CW83" i="32"/>
  <c r="CT82" i="32"/>
  <c r="CV80" i="32"/>
  <c r="CS79" i="32"/>
  <c r="CU77" i="32"/>
  <c r="DG77" i="29" s="1"/>
  <c r="CW75" i="32"/>
  <c r="CT74" i="32"/>
  <c r="CW72" i="32"/>
  <c r="CT71" i="32"/>
  <c r="CV69" i="32"/>
  <c r="CW198" i="32"/>
  <c r="CT197" i="32"/>
  <c r="CV195" i="32"/>
  <c r="CS194" i="32"/>
  <c r="CU192" i="32"/>
  <c r="CW190" i="32"/>
  <c r="CT189" i="32"/>
  <c r="CV187" i="32"/>
  <c r="CS186" i="32"/>
  <c r="CU184" i="32"/>
  <c r="CW182" i="32"/>
  <c r="CT181" i="32"/>
  <c r="CV179" i="32"/>
  <c r="CS178" i="32"/>
  <c r="CU176" i="32"/>
  <c r="CW174" i="32"/>
  <c r="CT173" i="32"/>
  <c r="CV171" i="32"/>
  <c r="CS170" i="32"/>
  <c r="CU168" i="32"/>
  <c r="CW166" i="32"/>
  <c r="CT165" i="32"/>
  <c r="CV163" i="32"/>
  <c r="CS162" i="32"/>
  <c r="CU160" i="32"/>
  <c r="CW158" i="32"/>
  <c r="CT157" i="32"/>
  <c r="CV155" i="32"/>
  <c r="CS154" i="32"/>
  <c r="CU152" i="32"/>
  <c r="CW150" i="32"/>
  <c r="CT149" i="32"/>
  <c r="CV147" i="32"/>
  <c r="CS146" i="32"/>
  <c r="CU144" i="32"/>
  <c r="CW142" i="32"/>
  <c r="CT141" i="32"/>
  <c r="CV139" i="32"/>
  <c r="CS138" i="32"/>
  <c r="CU136" i="32"/>
  <c r="CW134" i="32"/>
  <c r="CT133" i="32"/>
  <c r="CV131" i="32"/>
  <c r="CS130" i="32"/>
  <c r="CU128" i="32"/>
  <c r="DG128" i="29" s="1"/>
  <c r="CW126" i="32"/>
  <c r="CT125" i="32"/>
  <c r="CV123" i="32"/>
  <c r="CS122" i="32"/>
  <c r="CU120" i="32"/>
  <c r="DG120" i="29" s="1"/>
  <c r="CU198" i="32"/>
  <c r="CW196" i="32"/>
  <c r="CT195" i="32"/>
  <c r="CV193" i="32"/>
  <c r="CS192" i="32"/>
  <c r="CU190" i="32"/>
  <c r="CW188" i="32"/>
  <c r="CT187" i="32"/>
  <c r="CV185" i="32"/>
  <c r="CS184" i="32"/>
  <c r="CU182" i="32"/>
  <c r="CW180" i="32"/>
  <c r="CT179" i="32"/>
  <c r="CV177" i="32"/>
  <c r="CS176" i="32"/>
  <c r="CU174" i="32"/>
  <c r="CW172" i="32"/>
  <c r="CT171" i="32"/>
  <c r="CV169" i="32"/>
  <c r="CS168" i="32"/>
  <c r="CU166" i="32"/>
  <c r="CW164" i="32"/>
  <c r="CT163" i="32"/>
  <c r="CV161" i="32"/>
  <c r="CS160" i="32"/>
  <c r="CU158" i="32"/>
  <c r="CW156" i="32"/>
  <c r="CT155" i="32"/>
  <c r="CV153" i="32"/>
  <c r="CS152" i="32"/>
  <c r="CU150" i="32"/>
  <c r="CW148" i="32"/>
  <c r="CT147" i="32"/>
  <c r="CV145" i="32"/>
  <c r="CS144" i="32"/>
  <c r="CU142" i="32"/>
  <c r="CW140" i="32"/>
  <c r="CT139" i="32"/>
  <c r="CV137" i="32"/>
  <c r="CS136" i="32"/>
  <c r="CU134" i="32"/>
  <c r="CW132" i="32"/>
  <c r="CT131" i="32"/>
  <c r="CV129" i="32"/>
  <c r="CS128" i="32"/>
  <c r="CU126" i="32"/>
  <c r="DG126" i="29" s="1"/>
  <c r="CW124" i="32"/>
  <c r="CT123" i="32"/>
  <c r="CV121" i="32"/>
  <c r="CS120" i="32"/>
  <c r="CU118" i="32"/>
  <c r="DG118" i="29" s="1"/>
  <c r="CW116" i="32"/>
  <c r="CT115" i="32"/>
  <c r="CV113" i="32"/>
  <c r="CS112" i="32"/>
  <c r="CU110" i="32"/>
  <c r="DG110" i="29" s="1"/>
  <c r="CW108" i="32"/>
  <c r="CT107" i="32"/>
  <c r="CV105" i="32"/>
  <c r="CS104" i="32"/>
  <c r="CU102" i="32"/>
  <c r="DG102" i="29" s="1"/>
  <c r="CW100" i="32"/>
  <c r="CT99" i="32"/>
  <c r="CV97" i="32"/>
  <c r="CS96" i="32"/>
  <c r="CU94" i="32"/>
  <c r="DG94" i="29" s="1"/>
  <c r="CW92" i="32"/>
  <c r="CT91" i="32"/>
  <c r="CV89" i="32"/>
  <c r="CS88" i="32"/>
  <c r="CU86" i="32"/>
  <c r="DG86" i="29" s="1"/>
  <c r="CW84" i="32"/>
  <c r="CT83" i="32"/>
  <c r="CV81" i="32"/>
  <c r="CS80" i="32"/>
  <c r="CU78" i="32"/>
  <c r="DG78" i="29" s="1"/>
  <c r="CW76" i="32"/>
  <c r="CT75" i="32"/>
  <c r="CV73" i="32"/>
  <c r="CT72" i="32"/>
  <c r="CV70" i="32"/>
  <c r="CS69" i="32"/>
  <c r="CV67" i="32"/>
  <c r="CU196" i="32"/>
  <c r="CW191" i="32"/>
  <c r="CU187" i="32"/>
  <c r="CV183" i="32"/>
  <c r="CS179" i="32"/>
  <c r="CV174" i="32"/>
  <c r="CW170" i="32"/>
  <c r="CT166" i="32"/>
  <c r="CW161" i="32"/>
  <c r="CS158" i="32"/>
  <c r="CU153" i="32"/>
  <c r="CS149" i="32"/>
  <c r="CT145" i="32"/>
  <c r="CV140" i="32"/>
  <c r="CT136" i="32"/>
  <c r="CU132" i="32"/>
  <c r="CW127" i="32"/>
  <c r="CU123" i="32"/>
  <c r="DG123" i="29" s="1"/>
  <c r="CV119" i="32"/>
  <c r="CU116" i="32"/>
  <c r="DG116" i="29" s="1"/>
  <c r="CT113" i="32"/>
  <c r="CS110" i="32"/>
  <c r="CW106" i="32"/>
  <c r="CV103" i="32"/>
  <c r="CU100" i="32"/>
  <c r="DG100" i="29" s="1"/>
  <c r="CT97" i="32"/>
  <c r="CS94" i="32"/>
  <c r="CW90" i="32"/>
  <c r="CV87" i="32"/>
  <c r="CU84" i="32"/>
  <c r="DG84" i="29" s="1"/>
  <c r="CT81" i="32"/>
  <c r="CS78" i="32"/>
  <c r="CW74" i="32"/>
  <c r="CS72" i="32"/>
  <c r="CU69" i="32"/>
  <c r="DG69" i="29" s="1"/>
  <c r="CW67" i="32"/>
  <c r="CS66" i="32"/>
  <c r="CW64" i="32"/>
  <c r="CU63" i="32"/>
  <c r="DG63" i="29" s="1"/>
  <c r="CS62" i="32"/>
  <c r="CV60" i="32"/>
  <c r="CT59" i="32"/>
  <c r="CU56" i="32"/>
  <c r="DG56" i="29" s="1"/>
  <c r="CU80" i="32"/>
  <c r="DG80" i="29" s="1"/>
  <c r="CW71" i="32"/>
  <c r="CU67" i="32"/>
  <c r="DG67" i="29" s="1"/>
  <c r="CW175" i="32"/>
  <c r="CV94" i="32"/>
  <c r="CW199" i="32"/>
  <c r="CU195" i="32"/>
  <c r="CV191" i="32"/>
  <c r="CS187" i="32"/>
  <c r="CV182" i="32"/>
  <c r="CW178" i="32"/>
  <c r="CT174" i="32"/>
  <c r="CW169" i="32"/>
  <c r="CS166" i="32"/>
  <c r="CU161" i="32"/>
  <c r="CS157" i="32"/>
  <c r="CT153" i="32"/>
  <c r="CV148" i="32"/>
  <c r="CT144" i="32"/>
  <c r="CU140" i="32"/>
  <c r="CW135" i="32"/>
  <c r="CU131" i="32"/>
  <c r="CV127" i="32"/>
  <c r="CS123" i="32"/>
  <c r="CW118" i="32"/>
  <c r="CV115" i="32"/>
  <c r="CU112" i="32"/>
  <c r="DG112" i="29" s="1"/>
  <c r="CT109" i="32"/>
  <c r="CS106" i="32"/>
  <c r="CW102" i="32"/>
  <c r="CV99" i="32"/>
  <c r="CU96" i="32"/>
  <c r="DG96" i="29" s="1"/>
  <c r="CT93" i="32"/>
  <c r="CS90" i="32"/>
  <c r="CW86" i="32"/>
  <c r="CV83" i="32"/>
  <c r="CT77" i="32"/>
  <c r="CS74" i="32"/>
  <c r="CT69" i="32"/>
  <c r="CV64" i="32"/>
  <c r="CT63" i="32"/>
  <c r="CW61" i="32"/>
  <c r="CU60" i="32"/>
  <c r="DG60" i="29" s="1"/>
  <c r="CS59" i="32"/>
  <c r="CT56" i="32"/>
  <c r="CW55" i="32"/>
  <c r="CU55" i="32"/>
  <c r="DG55" i="29" s="1"/>
  <c r="CT193" i="32"/>
  <c r="CT184" i="32"/>
  <c r="CV167" i="32"/>
  <c r="CV158" i="32"/>
  <c r="CW145" i="32"/>
  <c r="CV124" i="32"/>
  <c r="CT104" i="32"/>
  <c r="CW81" i="32"/>
  <c r="CS65" i="32"/>
  <c r="CT58" i="32"/>
  <c r="CU188" i="32"/>
  <c r="CV199" i="32"/>
  <c r="CS195" i="32"/>
  <c r="CV190" i="32"/>
  <c r="CW186" i="32"/>
  <c r="CT182" i="32"/>
  <c r="CW177" i="32"/>
  <c r="CS174" i="32"/>
  <c r="CU169" i="32"/>
  <c r="CS165" i="32"/>
  <c r="CT161" i="32"/>
  <c r="CV156" i="32"/>
  <c r="CT152" i="32"/>
  <c r="CU148" i="32"/>
  <c r="CW143" i="32"/>
  <c r="CU139" i="32"/>
  <c r="CV135" i="32"/>
  <c r="CS131" i="32"/>
  <c r="CV126" i="32"/>
  <c r="CW122" i="32"/>
  <c r="CV118" i="32"/>
  <c r="CU115" i="32"/>
  <c r="DG115" i="29" s="1"/>
  <c r="CT112" i="32"/>
  <c r="CS109" i="32"/>
  <c r="CW105" i="32"/>
  <c r="CV102" i="32"/>
  <c r="CU99" i="32"/>
  <c r="DG99" i="29" s="1"/>
  <c r="CT96" i="32"/>
  <c r="CS93" i="32"/>
  <c r="CW89" i="32"/>
  <c r="CV86" i="32"/>
  <c r="CU83" i="32"/>
  <c r="DG83" i="29" s="1"/>
  <c r="CT80" i="32"/>
  <c r="CS77" i="32"/>
  <c r="CW73" i="32"/>
  <c r="CU71" i="32"/>
  <c r="DG71" i="29" s="1"/>
  <c r="CW68" i="32"/>
  <c r="CT67" i="32"/>
  <c r="CW65" i="32"/>
  <c r="CU64" i="32"/>
  <c r="DG64" i="29" s="1"/>
  <c r="CS63" i="32"/>
  <c r="CV61" i="32"/>
  <c r="CT60" i="32"/>
  <c r="CW57" i="32"/>
  <c r="CS56" i="32"/>
  <c r="CV55" i="32"/>
  <c r="CW194" i="32"/>
  <c r="CT190" i="32"/>
  <c r="CW185" i="32"/>
  <c r="CU177" i="32"/>
  <c r="CS173" i="32"/>
  <c r="CT169" i="32"/>
  <c r="CV164" i="32"/>
  <c r="CT160" i="32"/>
  <c r="CU156" i="32"/>
  <c r="CU147" i="32"/>
  <c r="CV143" i="32"/>
  <c r="CS139" i="32"/>
  <c r="CV134" i="32"/>
  <c r="CW130" i="32"/>
  <c r="CT126" i="32"/>
  <c r="CW121" i="32"/>
  <c r="CS115" i="32"/>
  <c r="CW111" i="32"/>
  <c r="CV108" i="32"/>
  <c r="CU105" i="32"/>
  <c r="DG105" i="29" s="1"/>
  <c r="CT102" i="32"/>
  <c r="CS99" i="32"/>
  <c r="CW95" i="32"/>
  <c r="CU89" i="32"/>
  <c r="DG89" i="29" s="1"/>
  <c r="CT86" i="32"/>
  <c r="CS83" i="32"/>
  <c r="CW79" i="32"/>
  <c r="CV76" i="32"/>
  <c r="CU73" i="32"/>
  <c r="DG73" i="29" s="1"/>
  <c r="CS71" i="32"/>
  <c r="CV68" i="32"/>
  <c r="CV65" i="32"/>
  <c r="CT64" i="32"/>
  <c r="CU171" i="32"/>
  <c r="CW154" i="32"/>
  <c r="CS142" i="32"/>
  <c r="CT129" i="32"/>
  <c r="CW113" i="32"/>
  <c r="CU107" i="32"/>
  <c r="DG107" i="29" s="1"/>
  <c r="CW97" i="32"/>
  <c r="CT88" i="32"/>
  <c r="CU75" i="32"/>
  <c r="DG75" i="29" s="1"/>
  <c r="CS68" i="32"/>
  <c r="CU62" i="32"/>
  <c r="DG62" i="29" s="1"/>
  <c r="CS57" i="32"/>
  <c r="CV198" i="32"/>
  <c r="CS182" i="32"/>
  <c r="CW151" i="32"/>
  <c r="CT118" i="32"/>
  <c r="CV92" i="32"/>
  <c r="CS67" i="32"/>
  <c r="CU61" i="32"/>
  <c r="DG61" i="29" s="1"/>
  <c r="CS60" i="32"/>
  <c r="CW58" i="32"/>
  <c r="CV57" i="32"/>
  <c r="CS133" i="32"/>
  <c r="CV72" i="32"/>
  <c r="CT198" i="32"/>
  <c r="CW193" i="32"/>
  <c r="CS190" i="32"/>
  <c r="CU185" i="32"/>
  <c r="CS181" i="32"/>
  <c r="CT177" i="32"/>
  <c r="CV172" i="32"/>
  <c r="CT168" i="32"/>
  <c r="CU164" i="32"/>
  <c r="CW159" i="32"/>
  <c r="CU155" i="32"/>
  <c r="CV151" i="32"/>
  <c r="CS147" i="32"/>
  <c r="CV142" i="32"/>
  <c r="CW138" i="32"/>
  <c r="CT134" i="32"/>
  <c r="CW129" i="32"/>
  <c r="CS126" i="32"/>
  <c r="CU121" i="32"/>
  <c r="DG121" i="29" s="1"/>
  <c r="CS118" i="32"/>
  <c r="CW114" i="32"/>
  <c r="CV111" i="32"/>
  <c r="CU108" i="32"/>
  <c r="DG108" i="29" s="1"/>
  <c r="CT105" i="32"/>
  <c r="CS102" i="32"/>
  <c r="CW98" i="32"/>
  <c r="CV95" i="32"/>
  <c r="CU92" i="32"/>
  <c r="DG92" i="29" s="1"/>
  <c r="CT89" i="32"/>
  <c r="CS86" i="32"/>
  <c r="CW82" i="32"/>
  <c r="CV79" i="32"/>
  <c r="CU76" i="32"/>
  <c r="DG76" i="29" s="1"/>
  <c r="CT73" i="32"/>
  <c r="CW70" i="32"/>
  <c r="CU68" i="32"/>
  <c r="DG68" i="29" s="1"/>
  <c r="CW66" i="32"/>
  <c r="CU65" i="32"/>
  <c r="DG65" i="29" s="1"/>
  <c r="CS64" i="32"/>
  <c r="CW62" i="32"/>
  <c r="CT61" i="32"/>
  <c r="CV58" i="32"/>
  <c r="CU57" i="32"/>
  <c r="DG57" i="29" s="1"/>
  <c r="CT55" i="32"/>
  <c r="CS134" i="32"/>
  <c r="CS114" i="32"/>
  <c r="CV107" i="32"/>
  <c r="CT101" i="32"/>
  <c r="CS98" i="32"/>
  <c r="CV91" i="32"/>
  <c r="CU88" i="32"/>
  <c r="DG88" i="29" s="1"/>
  <c r="CS82" i="32"/>
  <c r="CW78" i="32"/>
  <c r="CU70" i="32"/>
  <c r="DG70" i="29" s="1"/>
  <c r="CV66" i="32"/>
  <c r="CT65" i="32"/>
  <c r="CV62" i="32"/>
  <c r="CS61" i="32"/>
  <c r="CW59" i="32"/>
  <c r="CU58" i="32"/>
  <c r="DG58" i="29" s="1"/>
  <c r="CT57" i="32"/>
  <c r="CS55" i="32"/>
  <c r="CV188" i="32"/>
  <c r="CU180" i="32"/>
  <c r="CS163" i="32"/>
  <c r="CT150" i="32"/>
  <c r="CU137" i="32"/>
  <c r="CT120" i="32"/>
  <c r="CV110" i="32"/>
  <c r="CS101" i="32"/>
  <c r="CU91" i="32"/>
  <c r="DG91" i="29" s="1"/>
  <c r="CV78" i="32"/>
  <c r="CT70" i="32"/>
  <c r="CW63" i="32"/>
  <c r="CV59" i="32"/>
  <c r="CV196" i="32"/>
  <c r="CT192" i="32"/>
  <c r="CW183" i="32"/>
  <c r="CV175" i="32"/>
  <c r="CS198" i="32"/>
  <c r="CU193" i="32"/>
  <c r="CS189" i="32"/>
  <c r="CT185" i="32"/>
  <c r="CV180" i="32"/>
  <c r="CT176" i="32"/>
  <c r="CU172" i="32"/>
  <c r="CW167" i="32"/>
  <c r="CU163" i="32"/>
  <c r="CV159" i="32"/>
  <c r="CS155" i="32"/>
  <c r="CV150" i="32"/>
  <c r="CW146" i="32"/>
  <c r="CT142" i="32"/>
  <c r="CW137" i="32"/>
  <c r="CU129" i="32"/>
  <c r="CS125" i="32"/>
  <c r="CT121" i="32"/>
  <c r="CT117" i="32"/>
  <c r="CW110" i="32"/>
  <c r="CU104" i="32"/>
  <c r="DG104" i="29" s="1"/>
  <c r="CW94" i="32"/>
  <c r="CT85" i="32"/>
  <c r="CV75" i="32"/>
  <c r="CT68" i="32"/>
  <c r="CS197" i="32"/>
  <c r="CS117" i="32"/>
  <c r="CS85" i="32"/>
  <c r="CU66" i="32"/>
  <c r="DG66" i="29" s="1"/>
  <c r="CW56" i="32"/>
  <c r="CU179" i="32"/>
  <c r="CS150" i="32"/>
  <c r="CV116" i="32"/>
  <c r="CS91" i="32"/>
  <c r="CW69" i="32"/>
  <c r="CT62" i="32"/>
  <c r="CU145" i="32"/>
  <c r="CU113" i="32"/>
  <c r="DG113" i="29" s="1"/>
  <c r="CW87" i="32"/>
  <c r="CV100" i="32"/>
  <c r="CW60" i="32"/>
  <c r="CV56" i="32"/>
  <c r="CT137" i="32"/>
  <c r="CV132" i="32"/>
  <c r="CS75" i="32"/>
  <c r="CV63" i="32"/>
  <c r="CS141" i="32"/>
  <c r="CT110" i="32"/>
  <c r="CV84" i="32"/>
  <c r="CT66" i="32"/>
  <c r="CS171" i="32"/>
  <c r="CS107" i="32"/>
  <c r="CU81" i="32"/>
  <c r="DG81" i="29" s="1"/>
  <c r="CU59" i="32"/>
  <c r="DG59" i="29" s="1"/>
  <c r="CV166" i="32"/>
  <c r="CT94" i="32"/>
  <c r="CW103" i="32"/>
  <c r="CT128" i="32"/>
  <c r="CW119" i="32"/>
  <c r="CT78" i="32"/>
  <c r="CS58" i="32"/>
  <c r="CT158" i="32"/>
  <c r="CU72" i="32"/>
  <c r="DG72" i="29" s="1"/>
  <c r="CW162" i="32"/>
  <c r="CU124" i="32"/>
  <c r="DG124" i="29" s="1"/>
  <c r="CU97" i="32"/>
  <c r="DG97" i="29" s="1"/>
  <c r="CW153" i="32"/>
  <c r="CT54" i="32"/>
  <c r="CS54" i="32"/>
  <c r="CW54" i="32"/>
  <c r="CU54" i="32"/>
  <c r="DG54" i="29" s="1"/>
  <c r="CV54" i="32"/>
  <c r="CS53" i="32"/>
  <c r="CW49" i="32"/>
  <c r="CU48" i="32"/>
  <c r="DG48" i="29" s="1"/>
  <c r="CW46" i="32"/>
  <c r="CU45" i="32"/>
  <c r="DG45" i="29" s="1"/>
  <c r="CV49" i="32"/>
  <c r="CV46" i="32"/>
  <c r="CT45" i="32"/>
  <c r="CW52" i="32"/>
  <c r="CW51" i="32"/>
  <c r="CW50" i="32"/>
  <c r="CT48" i="32"/>
  <c r="CS48" i="32"/>
  <c r="CS45" i="32"/>
  <c r="CS47" i="32"/>
  <c r="CV45" i="32"/>
  <c r="CU49" i="32"/>
  <c r="DG49" i="29" s="1"/>
  <c r="CU46" i="32"/>
  <c r="DG46" i="29" s="1"/>
  <c r="CW53" i="32"/>
  <c r="CV52" i="32"/>
  <c r="CV51" i="32"/>
  <c r="CV50" i="32"/>
  <c r="CT49" i="32"/>
  <c r="CW47" i="32"/>
  <c r="CT46" i="32"/>
  <c r="CS50" i="32"/>
  <c r="CT47" i="32"/>
  <c r="CV53" i="32"/>
  <c r="CU52" i="32"/>
  <c r="DG52" i="29" s="1"/>
  <c r="CU51" i="32"/>
  <c r="DG51" i="29" s="1"/>
  <c r="CU50" i="32"/>
  <c r="DG50" i="29" s="1"/>
  <c r="CS49" i="32"/>
  <c r="CV47" i="32"/>
  <c r="CS46" i="32"/>
  <c r="CU47" i="32"/>
  <c r="DG47" i="29" s="1"/>
  <c r="CT53" i="32"/>
  <c r="CS51" i="32"/>
  <c r="CU53" i="32"/>
  <c r="DG53" i="29" s="1"/>
  <c r="CT52" i="32"/>
  <c r="CT51" i="32"/>
  <c r="CT50" i="32"/>
  <c r="CS52" i="32"/>
  <c r="CW48" i="32"/>
  <c r="CW45" i="32"/>
  <c r="CV48" i="32"/>
  <c r="CU44" i="32"/>
  <c r="DG44" i="29" s="1"/>
  <c r="CS43" i="32"/>
  <c r="CS42" i="32"/>
  <c r="CS41" i="32"/>
  <c r="CT44" i="32"/>
  <c r="CS44" i="32"/>
  <c r="CW43" i="32"/>
  <c r="CW42" i="32"/>
  <c r="CW41" i="32"/>
  <c r="CV43" i="32"/>
  <c r="CV42" i="32"/>
  <c r="CV41" i="32"/>
  <c r="CW44" i="32"/>
  <c r="CU43" i="32"/>
  <c r="DG43" i="29" s="1"/>
  <c r="CU42" i="32"/>
  <c r="DG42" i="29" s="1"/>
  <c r="CU41" i="32"/>
  <c r="DG41" i="29" s="1"/>
  <c r="CV44" i="32"/>
  <c r="CT43" i="32"/>
  <c r="CT42" i="32"/>
  <c r="CT41" i="32"/>
  <c r="CW40" i="32"/>
  <c r="CT39" i="32"/>
  <c r="CV37" i="32"/>
  <c r="CV36" i="32"/>
  <c r="CS34" i="32"/>
  <c r="CV32" i="32"/>
  <c r="CT31" i="32"/>
  <c r="CU30" i="32"/>
  <c r="DG30" i="29" s="1"/>
  <c r="CV27" i="32"/>
  <c r="CV25" i="32"/>
  <c r="CT21" i="32"/>
  <c r="CV20" i="32"/>
  <c r="CS18" i="32"/>
  <c r="CV17" i="32"/>
  <c r="CW15" i="32"/>
  <c r="CU14" i="32"/>
  <c r="DG14" i="29" s="1"/>
  <c r="CU17" i="32"/>
  <c r="DG17" i="29" s="1"/>
  <c r="CV40" i="32"/>
  <c r="CS39" i="32"/>
  <c r="CU37" i="32"/>
  <c r="DG37" i="29" s="1"/>
  <c r="CU36" i="32"/>
  <c r="DG36" i="29" s="1"/>
  <c r="CW35" i="32"/>
  <c r="CU32" i="32"/>
  <c r="DG32" i="29" s="1"/>
  <c r="CS31" i="32"/>
  <c r="CT30" i="32"/>
  <c r="CU27" i="32"/>
  <c r="DG27" i="29" s="1"/>
  <c r="CU25" i="32"/>
  <c r="DG25" i="29" s="1"/>
  <c r="CW23" i="32"/>
  <c r="CS21" i="32"/>
  <c r="CU20" i="32"/>
  <c r="DG20" i="29" s="1"/>
  <c r="CW19" i="32"/>
  <c r="CU40" i="32"/>
  <c r="DG40" i="29" s="1"/>
  <c r="CW38" i="32"/>
  <c r="CT37" i="32"/>
  <c r="CT36" i="32"/>
  <c r="CV35" i="32"/>
  <c r="CW33" i="32"/>
  <c r="CT32" i="32"/>
  <c r="CS30" i="32"/>
  <c r="CW28" i="32"/>
  <c r="CT27" i="32"/>
  <c r="CT25" i="32"/>
  <c r="CW24" i="32"/>
  <c r="CV23" i="32"/>
  <c r="CT20" i="32"/>
  <c r="CV19" i="32"/>
  <c r="CT17" i="32"/>
  <c r="CW16" i="32"/>
  <c r="CU15" i="32"/>
  <c r="DG15" i="29" s="1"/>
  <c r="CS14" i="32"/>
  <c r="CU19" i="32"/>
  <c r="DG19" i="29" s="1"/>
  <c r="CT15" i="32"/>
  <c r="CU26" i="32"/>
  <c r="DG26" i="29" s="1"/>
  <c r="CS23" i="32"/>
  <c r="CU22" i="32"/>
  <c r="DG22" i="29" s="1"/>
  <c r="CW21" i="32"/>
  <c r="CS19" i="32"/>
  <c r="CV18" i="32"/>
  <c r="CT16" i="32"/>
  <c r="CT14" i="32"/>
  <c r="CT40" i="32"/>
  <c r="CV38" i="32"/>
  <c r="CS37" i="32"/>
  <c r="CS36" i="32"/>
  <c r="CU35" i="32"/>
  <c r="DG35" i="29" s="1"/>
  <c r="CV33" i="32"/>
  <c r="CS32" i="32"/>
  <c r="CW29" i="32"/>
  <c r="CV28" i="32"/>
  <c r="CS27" i="32"/>
  <c r="CW26" i="32"/>
  <c r="CS25" i="32"/>
  <c r="CV24" i="32"/>
  <c r="CU23" i="32"/>
  <c r="DG23" i="29" s="1"/>
  <c r="CW22" i="32"/>
  <c r="CS20" i="32"/>
  <c r="CS17" i="32"/>
  <c r="CV16" i="32"/>
  <c r="CS15" i="32"/>
  <c r="CT24" i="32"/>
  <c r="CS40" i="32"/>
  <c r="CU38" i="32"/>
  <c r="DG38" i="29" s="1"/>
  <c r="CT35" i="32"/>
  <c r="CW34" i="32"/>
  <c r="CU33" i="32"/>
  <c r="DG33" i="29" s="1"/>
  <c r="CV29" i="32"/>
  <c r="CU28" i="32"/>
  <c r="DG28" i="29" s="1"/>
  <c r="CV26" i="32"/>
  <c r="CU24" i="32"/>
  <c r="DG24" i="29" s="1"/>
  <c r="CT23" i="32"/>
  <c r="CV22" i="32"/>
  <c r="CT19" i="32"/>
  <c r="CW18" i="32"/>
  <c r="CU16" i="32"/>
  <c r="DG16" i="29" s="1"/>
  <c r="CT18" i="32"/>
  <c r="CW39" i="32"/>
  <c r="CT38" i="32"/>
  <c r="CS35" i="32"/>
  <c r="CV34" i="32"/>
  <c r="CT33" i="32"/>
  <c r="CW31" i="32"/>
  <c r="CU29" i="32"/>
  <c r="DG29" i="29" s="1"/>
  <c r="CT28" i="32"/>
  <c r="CW17" i="32"/>
  <c r="CV39" i="32"/>
  <c r="CS38" i="32"/>
  <c r="CU34" i="32"/>
  <c r="DG34" i="29" s="1"/>
  <c r="CS33" i="32"/>
  <c r="CV31" i="32"/>
  <c r="CW30" i="32"/>
  <c r="CT29" i="32"/>
  <c r="CS28" i="32"/>
  <c r="CT26" i="32"/>
  <c r="CS24" i="32"/>
  <c r="CT22" i="32"/>
  <c r="CV21" i="32"/>
  <c r="CU18" i="32"/>
  <c r="DG18" i="29" s="1"/>
  <c r="CS16" i="32"/>
  <c r="CW14" i="32"/>
  <c r="CU39" i="32"/>
  <c r="DG39" i="29" s="1"/>
  <c r="CW37" i="32"/>
  <c r="CW36" i="32"/>
  <c r="CT34" i="32"/>
  <c r="CW32" i="32"/>
  <c r="CU31" i="32"/>
  <c r="DG31" i="29" s="1"/>
  <c r="CV30" i="32"/>
  <c r="CS29" i="32"/>
  <c r="CW27" i="32"/>
  <c r="CS26" i="32"/>
  <c r="CW25" i="32"/>
  <c r="CS22" i="32"/>
  <c r="CU21" i="32"/>
  <c r="DG21" i="29" s="1"/>
  <c r="CW20" i="32"/>
  <c r="CV14" i="32"/>
  <c r="CV15" i="32"/>
  <c r="CW13" i="32"/>
  <c r="CV13" i="32"/>
  <c r="CU13" i="32"/>
  <c r="DG13" i="29" s="1"/>
  <c r="CT13" i="32"/>
  <c r="CS13" i="32"/>
  <c r="CT12" i="32"/>
  <c r="CW12" i="32"/>
  <c r="CV12" i="32"/>
  <c r="CU12" i="32"/>
  <c r="DG12" i="29" s="1"/>
  <c r="CS12" i="32"/>
  <c r="CW11" i="32"/>
  <c r="CV11" i="32"/>
  <c r="CU11" i="32"/>
  <c r="DG11" i="29" s="1"/>
  <c r="CT11" i="32"/>
  <c r="CS11" i="32"/>
  <c r="CW10" i="32"/>
  <c r="CV10" i="32"/>
  <c r="CU10" i="32"/>
  <c r="DG10" i="29" s="1"/>
  <c r="CT10" i="32"/>
  <c r="CS10" i="32"/>
  <c r="CU9" i="32"/>
  <c r="DG9" i="29" s="1"/>
  <c r="CT9" i="32"/>
  <c r="CW9" i="32"/>
  <c r="CV9" i="32"/>
  <c r="CS9" i="32"/>
  <c r="CW8" i="32"/>
  <c r="CV8" i="32"/>
  <c r="CW7" i="32"/>
  <c r="CV7" i="32"/>
  <c r="CU7" i="32"/>
  <c r="DG7" i="29" s="1"/>
  <c r="CS8" i="32"/>
  <c r="CT7" i="32"/>
  <c r="CS7" i="32"/>
  <c r="CU8" i="32"/>
  <c r="DG8" i="29" s="1"/>
  <c r="CT8" i="32"/>
  <c r="CG7" i="32"/>
  <c r="BV7" i="32"/>
  <c r="BQ7" i="32"/>
  <c r="BK7" i="32"/>
  <c r="AZ7" i="32"/>
  <c r="AV7" i="32"/>
  <c r="AU7" i="32"/>
  <c r="AO7" i="32"/>
  <c r="AJ7" i="32"/>
  <c r="AD7" i="32"/>
  <c r="Y7" i="32"/>
  <c r="S7" i="32"/>
  <c r="N7" i="32"/>
  <c r="H7" i="32"/>
  <c r="BY2" i="32"/>
  <c r="BN2" i="32"/>
  <c r="BC2" i="32"/>
  <c r="AR2" i="32"/>
  <c r="AG2" i="32"/>
  <c r="V2" i="32"/>
  <c r="K2" i="32"/>
  <c r="AD8" i="32"/>
  <c r="H8" i="32"/>
  <c r="BV8" i="32"/>
  <c r="S8" i="32"/>
  <c r="CP6" i="32"/>
  <c r="BK8" i="32"/>
  <c r="CG8" i="32"/>
  <c r="Z4" i="32"/>
  <c r="AS7" i="32" l="1"/>
  <c r="O9" i="32"/>
  <c r="O10" i="32"/>
  <c r="O11" i="32"/>
  <c r="O12" i="32"/>
  <c r="O13" i="32"/>
  <c r="O8" i="32"/>
  <c r="O14" i="32"/>
  <c r="Z17" i="32"/>
  <c r="Z14" i="32"/>
  <c r="Z15" i="32"/>
  <c r="Z16" i="32"/>
  <c r="Z19" i="32"/>
  <c r="Z18" i="32"/>
  <c r="Z13" i="32"/>
  <c r="Z12" i="32"/>
  <c r="L49" i="32"/>
  <c r="AH49" i="32"/>
  <c r="BO49" i="32"/>
  <c r="W49" i="32"/>
  <c r="BZ45" i="32"/>
  <c r="CP49" i="32"/>
  <c r="N29" i="32"/>
  <c r="N25" i="32"/>
  <c r="N23" i="32"/>
  <c r="N17" i="32"/>
  <c r="N30" i="32"/>
  <c r="N27" i="32"/>
  <c r="N22" i="32"/>
  <c r="N19" i="32"/>
  <c r="N15" i="32"/>
  <c r="N21" i="32"/>
  <c r="N31" i="32"/>
  <c r="N26" i="32"/>
  <c r="N28" i="32"/>
  <c r="N18" i="32"/>
  <c r="N20" i="32"/>
  <c r="N24" i="32"/>
  <c r="N16" i="32"/>
  <c r="T25" i="3"/>
  <c r="T24" i="3"/>
  <c r="T23" i="3"/>
  <c r="T22" i="3"/>
  <c r="T21" i="3"/>
  <c r="BC20" i="3"/>
  <c r="T20" i="3"/>
  <c r="BC19" i="3"/>
  <c r="T19" i="3"/>
  <c r="BC18" i="3"/>
  <c r="AT18" i="3"/>
  <c r="T18" i="3"/>
  <c r="BC17" i="3"/>
  <c r="AT17" i="3"/>
  <c r="AC17" i="3"/>
  <c r="Z17" i="3"/>
  <c r="T17" i="3"/>
  <c r="BC16" i="3"/>
  <c r="AT16" i="3"/>
  <c r="AC16" i="3"/>
  <c r="Z16" i="3"/>
  <c r="T16" i="3"/>
  <c r="BC15" i="3"/>
  <c r="AT15" i="3"/>
  <c r="AC15" i="3"/>
  <c r="Z15" i="3"/>
  <c r="T15" i="3"/>
  <c r="BC14" i="3"/>
  <c r="AT14" i="3"/>
  <c r="AC14" i="3"/>
  <c r="Z14" i="3"/>
  <c r="T14" i="3"/>
  <c r="BC13" i="3"/>
  <c r="AT13" i="3"/>
  <c r="AC13" i="3"/>
  <c r="Z13" i="3"/>
  <c r="T13" i="3"/>
  <c r="BC12" i="3"/>
  <c r="AT12" i="3"/>
  <c r="AC12" i="3"/>
  <c r="Z12" i="3"/>
  <c r="T12" i="3"/>
  <c r="BC11" i="3"/>
  <c r="AT11" i="3"/>
  <c r="AC11" i="3"/>
  <c r="Z11" i="3"/>
  <c r="T11" i="3"/>
  <c r="BC10" i="3"/>
  <c r="AT10" i="3"/>
  <c r="AC10" i="3"/>
  <c r="Z10" i="3"/>
  <c r="T10" i="3"/>
  <c r="BC9" i="3"/>
  <c r="AT9" i="3"/>
  <c r="AK9" i="3"/>
  <c r="AC9" i="3"/>
  <c r="Z9" i="3"/>
  <c r="T9" i="3"/>
  <c r="BC8" i="3"/>
  <c r="AT8" i="3"/>
  <c r="AK8" i="3"/>
  <c r="AC8" i="3"/>
  <c r="Z8" i="3"/>
  <c r="T8" i="3"/>
  <c r="CA7" i="3" a="1"/>
  <c r="CA108" i="3" l="1"/>
  <c r="CA106" i="3"/>
  <c r="CA104" i="3"/>
  <c r="CA102" i="3"/>
  <c r="CA100" i="3"/>
  <c r="CA98" i="3"/>
  <c r="CA96" i="3"/>
  <c r="CA94" i="3"/>
  <c r="CA92" i="3"/>
  <c r="CA88" i="3"/>
  <c r="CD44" i="3"/>
  <c r="CD107" i="3"/>
  <c r="CD105" i="3"/>
  <c r="CD103" i="3"/>
  <c r="CD101" i="3"/>
  <c r="CD97" i="3"/>
  <c r="CD95" i="3"/>
  <c r="CD93" i="3"/>
  <c r="CD91" i="3"/>
  <c r="CD87" i="3"/>
  <c r="CD86" i="3"/>
  <c r="CD85" i="3"/>
  <c r="CD84" i="3"/>
  <c r="CD82" i="3"/>
  <c r="CD81" i="3"/>
  <c r="CD80" i="3"/>
  <c r="CD79" i="3"/>
  <c r="CD77" i="3"/>
  <c r="CD76" i="3"/>
  <c r="CD74" i="3"/>
  <c r="CD72" i="3"/>
  <c r="CD71" i="3"/>
  <c r="CD70" i="3"/>
  <c r="CD68" i="3"/>
  <c r="CD66" i="3"/>
  <c r="CD64" i="3"/>
  <c r="CD62" i="3"/>
  <c r="CD60" i="3"/>
  <c r="CD57" i="3"/>
  <c r="CD55" i="3"/>
  <c r="CD51" i="3"/>
  <c r="CD49" i="3"/>
  <c r="CC64" i="3"/>
  <c r="CC53" i="3"/>
  <c r="CB43" i="3"/>
  <c r="CD109" i="3"/>
  <c r="CD99" i="3"/>
  <c r="CD89" i="3"/>
  <c r="CD83" i="3"/>
  <c r="CD78" i="3"/>
  <c r="CD73" i="3"/>
  <c r="CD69" i="3"/>
  <c r="CD65" i="3"/>
  <c r="CD59" i="3"/>
  <c r="CD52" i="3"/>
  <c r="CC93" i="3"/>
  <c r="CC81" i="3"/>
  <c r="CC77" i="3"/>
  <c r="CC74" i="3"/>
  <c r="CC70" i="3"/>
  <c r="CC68" i="3"/>
  <c r="CC65" i="3"/>
  <c r="CC62" i="3"/>
  <c r="CC60" i="3"/>
  <c r="CC57" i="3"/>
  <c r="CC55" i="3"/>
  <c r="CC51" i="3"/>
  <c r="CD46" i="3"/>
  <c r="CB44" i="3"/>
  <c r="CB42" i="3"/>
  <c r="CB40" i="3"/>
  <c r="CC109" i="3"/>
  <c r="CC107" i="3"/>
  <c r="CC105" i="3"/>
  <c r="CC103" i="3"/>
  <c r="CC101" i="3"/>
  <c r="CC99" i="3"/>
  <c r="CC95" i="3"/>
  <c r="CC91" i="3"/>
  <c r="CC89" i="3"/>
  <c r="CC87" i="3"/>
  <c r="CC86" i="3"/>
  <c r="CC85" i="3"/>
  <c r="CC84" i="3"/>
  <c r="CC83" i="3"/>
  <c r="CC80" i="3"/>
  <c r="CC79" i="3"/>
  <c r="CC76" i="3"/>
  <c r="CC72" i="3"/>
  <c r="CC66" i="3"/>
  <c r="CC58" i="3"/>
  <c r="CC50" i="3"/>
  <c r="CB109" i="3"/>
  <c r="CB107" i="3"/>
  <c r="CB105" i="3"/>
  <c r="CB103" i="3"/>
  <c r="CB101" i="3"/>
  <c r="CB99" i="3"/>
  <c r="CB97" i="3"/>
  <c r="CB95" i="3"/>
  <c r="CB93" i="3"/>
  <c r="CB91" i="3"/>
  <c r="CB89" i="3"/>
  <c r="CB87" i="3"/>
  <c r="CB86" i="3"/>
  <c r="CB85" i="3"/>
  <c r="CB84" i="3"/>
  <c r="CB83" i="3"/>
  <c r="CB82" i="3"/>
  <c r="CB81" i="3"/>
  <c r="CB80" i="3"/>
  <c r="CB79" i="3"/>
  <c r="CB78" i="3"/>
  <c r="CB77" i="3"/>
  <c r="CB76" i="3"/>
  <c r="CB75" i="3"/>
  <c r="CB74" i="3"/>
  <c r="CB73" i="3"/>
  <c r="CB72" i="3"/>
  <c r="CB71" i="3"/>
  <c r="CB70" i="3"/>
  <c r="CB69" i="3"/>
  <c r="CB68" i="3"/>
  <c r="CB67" i="3"/>
  <c r="CB66" i="3"/>
  <c r="CB65" i="3"/>
  <c r="CB64" i="3"/>
  <c r="CB63" i="3"/>
  <c r="CB62" i="3"/>
  <c r="CB61" i="3"/>
  <c r="CB60" i="3"/>
  <c r="CB59" i="3"/>
  <c r="CB58" i="3"/>
  <c r="CB57" i="3"/>
  <c r="CB56" i="3"/>
  <c r="CB55" i="3"/>
  <c r="CB54" i="3"/>
  <c r="CB53" i="3"/>
  <c r="CB52" i="3"/>
  <c r="CB51" i="3"/>
  <c r="CB50" i="3"/>
  <c r="CB49" i="3"/>
  <c r="CC46" i="3"/>
  <c r="CA45" i="3"/>
  <c r="CA44" i="3"/>
  <c r="CA43" i="3"/>
  <c r="CA42" i="3"/>
  <c r="CB41" i="3"/>
  <c r="CA107" i="3"/>
  <c r="CA87" i="3"/>
  <c r="CA85" i="3"/>
  <c r="CA84" i="3"/>
  <c r="CA83" i="3"/>
  <c r="CA81" i="3"/>
  <c r="CA80" i="3"/>
  <c r="CA79" i="3"/>
  <c r="CA78" i="3"/>
  <c r="CA77" i="3"/>
  <c r="CA75" i="3"/>
  <c r="CA74" i="3"/>
  <c r="CA73" i="3"/>
  <c r="CA72" i="3"/>
  <c r="CA70" i="3"/>
  <c r="CA69" i="3"/>
  <c r="CA68" i="3"/>
  <c r="CA66" i="3"/>
  <c r="CA65" i="3"/>
  <c r="CA64" i="3"/>
  <c r="CA63" i="3"/>
  <c r="CA61" i="3"/>
  <c r="CA60" i="3"/>
  <c r="CA59" i="3"/>
  <c r="CA58" i="3"/>
  <c r="CA56" i="3"/>
  <c r="CA55" i="3"/>
  <c r="CA54" i="3"/>
  <c r="CA52" i="3"/>
  <c r="CA51" i="3"/>
  <c r="CA50" i="3"/>
  <c r="CD48" i="3"/>
  <c r="CD106" i="3"/>
  <c r="CD102" i="3"/>
  <c r="CD100" i="3"/>
  <c r="CD96" i="3"/>
  <c r="CD92" i="3"/>
  <c r="CD88" i="3"/>
  <c r="CC48" i="3"/>
  <c r="CA46" i="3"/>
  <c r="CB39" i="3"/>
  <c r="CA109" i="3"/>
  <c r="CA105" i="3"/>
  <c r="CA103" i="3"/>
  <c r="CA101" i="3"/>
  <c r="CA99" i="3"/>
  <c r="CA97" i="3"/>
  <c r="CA95" i="3"/>
  <c r="CA93" i="3"/>
  <c r="CA91" i="3"/>
  <c r="CA89" i="3"/>
  <c r="CA86" i="3"/>
  <c r="CA82" i="3"/>
  <c r="CA76" i="3"/>
  <c r="CA71" i="3"/>
  <c r="CA67" i="3"/>
  <c r="CA62" i="3"/>
  <c r="CA57" i="3"/>
  <c r="CA53" i="3"/>
  <c r="CA49" i="3"/>
  <c r="CB46" i="3"/>
  <c r="CA41" i="3"/>
  <c r="CD40" i="3"/>
  <c r="CD39" i="3"/>
  <c r="CD38" i="3"/>
  <c r="CD37" i="3"/>
  <c r="CD108" i="3"/>
  <c r="CD104" i="3"/>
  <c r="CD98" i="3"/>
  <c r="CD94" i="3"/>
  <c r="CD90" i="3"/>
  <c r="CC40" i="3"/>
  <c r="CC38" i="3"/>
  <c r="CC37" i="3"/>
  <c r="CB48" i="3"/>
  <c r="CC39" i="3"/>
  <c r="CC106" i="3"/>
  <c r="CC92" i="3"/>
  <c r="CC88" i="3"/>
  <c r="CB37" i="3"/>
  <c r="CC108" i="3"/>
  <c r="CC104" i="3"/>
  <c r="CC102" i="3"/>
  <c r="CC100" i="3"/>
  <c r="CC98" i="3"/>
  <c r="CC96" i="3"/>
  <c r="CC94" i="3"/>
  <c r="CC90" i="3"/>
  <c r="CB108" i="3"/>
  <c r="CB106" i="3"/>
  <c r="CB104" i="3"/>
  <c r="CB102" i="3"/>
  <c r="CB100" i="3"/>
  <c r="CB98" i="3"/>
  <c r="CB96" i="3"/>
  <c r="CB94" i="3"/>
  <c r="CB92" i="3"/>
  <c r="CB90" i="3"/>
  <c r="CB88" i="3"/>
  <c r="CA48" i="3"/>
  <c r="CD47" i="3"/>
  <c r="CA40" i="3"/>
  <c r="CA39" i="3"/>
  <c r="CA38" i="3"/>
  <c r="CA37" i="3"/>
  <c r="CA90" i="3"/>
  <c r="CC47" i="3"/>
  <c r="CD45" i="3"/>
  <c r="CD43" i="3"/>
  <c r="CD42" i="3"/>
  <c r="CD75" i="3"/>
  <c r="CD67" i="3"/>
  <c r="CD63" i="3"/>
  <c r="CD61" i="3"/>
  <c r="CD58" i="3"/>
  <c r="CD56" i="3"/>
  <c r="CD54" i="3"/>
  <c r="CD53" i="3"/>
  <c r="CD50" i="3"/>
  <c r="CB47" i="3"/>
  <c r="CC45" i="3"/>
  <c r="CC44" i="3"/>
  <c r="CC43" i="3"/>
  <c r="CC42" i="3"/>
  <c r="CD41" i="3"/>
  <c r="CC97" i="3"/>
  <c r="CC82" i="3"/>
  <c r="CC78" i="3"/>
  <c r="CC75" i="3"/>
  <c r="CC73" i="3"/>
  <c r="CC71" i="3"/>
  <c r="CC69" i="3"/>
  <c r="CC67" i="3"/>
  <c r="CC63" i="3"/>
  <c r="CC61" i="3"/>
  <c r="CC59" i="3"/>
  <c r="CC56" i="3"/>
  <c r="CC54" i="3"/>
  <c r="CC52" i="3"/>
  <c r="CC49" i="3"/>
  <c r="CA47" i="3"/>
  <c r="CB45" i="3"/>
  <c r="CC41" i="3"/>
  <c r="CB38" i="3"/>
  <c r="CB32" i="3"/>
  <c r="CB31" i="3"/>
  <c r="CD30" i="3"/>
  <c r="CD28" i="3"/>
  <c r="CA32" i="3"/>
  <c r="CA31" i="3"/>
  <c r="CC30" i="3"/>
  <c r="CB29" i="3"/>
  <c r="CB36" i="3"/>
  <c r="CC28" i="3"/>
  <c r="CB30" i="3"/>
  <c r="CD29" i="3"/>
  <c r="CD36" i="3"/>
  <c r="CD35" i="3"/>
  <c r="CD34" i="3"/>
  <c r="CD33" i="3"/>
  <c r="CA30" i="3"/>
  <c r="CC29" i="3"/>
  <c r="CC36" i="3"/>
  <c r="CC35" i="3"/>
  <c r="CC33" i="3"/>
  <c r="CB34" i="3"/>
  <c r="CC31" i="3"/>
  <c r="CC34" i="3"/>
  <c r="CB35" i="3"/>
  <c r="CB33" i="3"/>
  <c r="CA29" i="3"/>
  <c r="CB28" i="3"/>
  <c r="CC32" i="3"/>
  <c r="CA28" i="3"/>
  <c r="CA36" i="3"/>
  <c r="CA35" i="3"/>
  <c r="CA34" i="3"/>
  <c r="CA33" i="3"/>
  <c r="CD32" i="3"/>
  <c r="CD31" i="3"/>
  <c r="CC24" i="3"/>
  <c r="CC22" i="3"/>
  <c r="CB24" i="3"/>
  <c r="CA22" i="3"/>
  <c r="CD27" i="3"/>
  <c r="CD26" i="3"/>
  <c r="CD25" i="3"/>
  <c r="CD23" i="3"/>
  <c r="CC27" i="3"/>
  <c r="CC26" i="3"/>
  <c r="CC25" i="3"/>
  <c r="CC23" i="3"/>
  <c r="CB27" i="3"/>
  <c r="CB26" i="3"/>
  <c r="CB25" i="3"/>
  <c r="CA25" i="3"/>
  <c r="CB22" i="3"/>
  <c r="CA24" i="3"/>
  <c r="CA23" i="3"/>
  <c r="CD22" i="3"/>
  <c r="CB23" i="3"/>
  <c r="CA27" i="3"/>
  <c r="CA26" i="3"/>
  <c r="CD24" i="3"/>
  <c r="CA20" i="3"/>
  <c r="CC16" i="3"/>
  <c r="CA14" i="3"/>
  <c r="CD21" i="3"/>
  <c r="CB16" i="3"/>
  <c r="CC14" i="3"/>
  <c r="CC21" i="3"/>
  <c r="CA16" i="3"/>
  <c r="CD15" i="3"/>
  <c r="CB14" i="3"/>
  <c r="CB21" i="3"/>
  <c r="CD19" i="3"/>
  <c r="CD18" i="3"/>
  <c r="CC15" i="3"/>
  <c r="CB15" i="3"/>
  <c r="CA21" i="3"/>
  <c r="CC19" i="3"/>
  <c r="CC18" i="3"/>
  <c r="CD17" i="3"/>
  <c r="CA15" i="3"/>
  <c r="CD14" i="3"/>
  <c r="CD20" i="3"/>
  <c r="CB19" i="3"/>
  <c r="CB18" i="3"/>
  <c r="CC17" i="3"/>
  <c r="CA17" i="3"/>
  <c r="CD16" i="3"/>
  <c r="CC20" i="3"/>
  <c r="CA19" i="3"/>
  <c r="CA18" i="3"/>
  <c r="CB17" i="3"/>
  <c r="CB20" i="3"/>
  <c r="CD13" i="3"/>
  <c r="CD12" i="3"/>
  <c r="CC13" i="3"/>
  <c r="CC12" i="3"/>
  <c r="CA12" i="3"/>
  <c r="CB13" i="3"/>
  <c r="CB12" i="3"/>
  <c r="CA13" i="3"/>
  <c r="CC11" i="3"/>
  <c r="CC10" i="3"/>
  <c r="CC9" i="3"/>
  <c r="CC7" i="3"/>
  <c r="CB11" i="3"/>
  <c r="CB10" i="3"/>
  <c r="CB9" i="3"/>
  <c r="CB7" i="3"/>
  <c r="CA11" i="3"/>
  <c r="CA10" i="3"/>
  <c r="CA9" i="3"/>
  <c r="CA7" i="3"/>
  <c r="CD11" i="3"/>
  <c r="CD9" i="3"/>
  <c r="CD8" i="3"/>
  <c r="CC8" i="3"/>
  <c r="CD7" i="3"/>
  <c r="CB8" i="3"/>
  <c r="CA8" i="3"/>
  <c r="CD10" i="3"/>
  <c r="BC7" i="3"/>
  <c r="AK7" i="3"/>
  <c r="AC7" i="3"/>
  <c r="Z7" i="3"/>
  <c r="T7" i="3"/>
  <c r="K7" i="3" a="1"/>
  <c r="K83" i="3" l="1"/>
  <c r="K79" i="3"/>
  <c r="K75" i="3"/>
  <c r="K73" i="3"/>
  <c r="K70" i="3"/>
  <c r="K67" i="3"/>
  <c r="K65" i="3"/>
  <c r="K61" i="3"/>
  <c r="K58" i="3"/>
  <c r="K55" i="3"/>
  <c r="K52" i="3"/>
  <c r="K50" i="3"/>
  <c r="K42" i="3"/>
  <c r="N39" i="3"/>
  <c r="DC39" i="29" s="1"/>
  <c r="L40" i="3"/>
  <c r="K47" i="3"/>
  <c r="M40" i="3"/>
  <c r="L49" i="3"/>
  <c r="L39" i="3"/>
  <c r="L41" i="3"/>
  <c r="K49" i="3"/>
  <c r="N48" i="3"/>
  <c r="DC48" i="29" s="1"/>
  <c r="K41" i="3"/>
  <c r="K40" i="3"/>
  <c r="K39" i="3"/>
  <c r="K38" i="3"/>
  <c r="M48" i="3"/>
  <c r="N46" i="3"/>
  <c r="DC46" i="29" s="1"/>
  <c r="N45" i="3"/>
  <c r="DC45" i="29" s="1"/>
  <c r="N44" i="3"/>
  <c r="DC44" i="29" s="1"/>
  <c r="N43" i="3"/>
  <c r="DC43" i="29" s="1"/>
  <c r="N87" i="3"/>
  <c r="DC87" i="29" s="1"/>
  <c r="N85" i="3"/>
  <c r="DC85" i="29" s="1"/>
  <c r="N83" i="3"/>
  <c r="DC83" i="29" s="1"/>
  <c r="N81" i="3"/>
  <c r="DC81" i="29" s="1"/>
  <c r="N80" i="3"/>
  <c r="DC80" i="29" s="1"/>
  <c r="N78" i="3"/>
  <c r="DC78" i="29" s="1"/>
  <c r="N76" i="3"/>
  <c r="DC76" i="29" s="1"/>
  <c r="N74" i="3"/>
  <c r="DC74" i="29" s="1"/>
  <c r="N72" i="3"/>
  <c r="DC72" i="29" s="1"/>
  <c r="N70" i="3"/>
  <c r="DC70" i="29" s="1"/>
  <c r="N67" i="3"/>
  <c r="DC67" i="29" s="1"/>
  <c r="N65" i="3"/>
  <c r="DC65" i="29" s="1"/>
  <c r="N63" i="3"/>
  <c r="DC63" i="29" s="1"/>
  <c r="N61" i="3"/>
  <c r="DC61" i="29" s="1"/>
  <c r="N59" i="3"/>
  <c r="DC59" i="29" s="1"/>
  <c r="N57" i="3"/>
  <c r="DC57" i="29" s="1"/>
  <c r="N55" i="3"/>
  <c r="DC55" i="29" s="1"/>
  <c r="N52" i="3"/>
  <c r="DC52" i="29" s="1"/>
  <c r="N50" i="3"/>
  <c r="DC50" i="29" s="1"/>
  <c r="M45" i="3"/>
  <c r="M43" i="3"/>
  <c r="M80" i="3"/>
  <c r="M71" i="3"/>
  <c r="M66" i="3"/>
  <c r="M63" i="3"/>
  <c r="M59" i="3"/>
  <c r="M56" i="3"/>
  <c r="M53" i="3"/>
  <c r="N47" i="3"/>
  <c r="DC47" i="29" s="1"/>
  <c r="L44" i="3"/>
  <c r="N86" i="3"/>
  <c r="DC86" i="29" s="1"/>
  <c r="N84" i="3"/>
  <c r="DC84" i="29" s="1"/>
  <c r="N82" i="3"/>
  <c r="DC82" i="29" s="1"/>
  <c r="N79" i="3"/>
  <c r="DC79" i="29" s="1"/>
  <c r="N77" i="3"/>
  <c r="DC77" i="29" s="1"/>
  <c r="N75" i="3"/>
  <c r="DC75" i="29" s="1"/>
  <c r="N73" i="3"/>
  <c r="DC73" i="29" s="1"/>
  <c r="N71" i="3"/>
  <c r="DC71" i="29" s="1"/>
  <c r="N69" i="3"/>
  <c r="DC69" i="29" s="1"/>
  <c r="N66" i="3"/>
  <c r="DC66" i="29" s="1"/>
  <c r="N64" i="3"/>
  <c r="DC64" i="29" s="1"/>
  <c r="N62" i="3"/>
  <c r="DC62" i="29" s="1"/>
  <c r="N60" i="3"/>
  <c r="DC60" i="29" s="1"/>
  <c r="N58" i="3"/>
  <c r="DC58" i="29" s="1"/>
  <c r="N56" i="3"/>
  <c r="DC56" i="29" s="1"/>
  <c r="N53" i="3"/>
  <c r="DC53" i="29" s="1"/>
  <c r="N51" i="3"/>
  <c r="DC51" i="29" s="1"/>
  <c r="L48" i="3"/>
  <c r="M46" i="3"/>
  <c r="M44" i="3"/>
  <c r="N42" i="3"/>
  <c r="DC42" i="29" s="1"/>
  <c r="M84" i="3"/>
  <c r="M76" i="3"/>
  <c r="M72" i="3"/>
  <c r="M68" i="3"/>
  <c r="M65" i="3"/>
  <c r="M62" i="3"/>
  <c r="M58" i="3"/>
  <c r="M55" i="3"/>
  <c r="M51" i="3"/>
  <c r="L45" i="3"/>
  <c r="M42" i="3"/>
  <c r="N68" i="3"/>
  <c r="DC68" i="29" s="1"/>
  <c r="N54" i="3"/>
  <c r="DC54" i="29" s="1"/>
  <c r="M86" i="3"/>
  <c r="M83" i="3"/>
  <c r="M81" i="3"/>
  <c r="M79" i="3"/>
  <c r="M77" i="3"/>
  <c r="M75" i="3"/>
  <c r="M73" i="3"/>
  <c r="M69" i="3"/>
  <c r="M64" i="3"/>
  <c r="M60" i="3"/>
  <c r="M57" i="3"/>
  <c r="M54" i="3"/>
  <c r="M50" i="3"/>
  <c r="K48" i="3"/>
  <c r="L46" i="3"/>
  <c r="L43" i="3"/>
  <c r="M87" i="3"/>
  <c r="M85" i="3"/>
  <c r="M82" i="3"/>
  <c r="M78" i="3"/>
  <c r="M74" i="3"/>
  <c r="M70" i="3"/>
  <c r="M67" i="3"/>
  <c r="M61" i="3"/>
  <c r="M52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M47" i="3"/>
  <c r="K46" i="3"/>
  <c r="K45" i="3"/>
  <c r="K44" i="3"/>
  <c r="K43" i="3"/>
  <c r="L42" i="3"/>
  <c r="K87" i="3"/>
  <c r="K86" i="3"/>
  <c r="K85" i="3"/>
  <c r="K84" i="3"/>
  <c r="K82" i="3"/>
  <c r="K81" i="3"/>
  <c r="K80" i="3"/>
  <c r="K78" i="3"/>
  <c r="K77" i="3"/>
  <c r="K76" i="3"/>
  <c r="K74" i="3"/>
  <c r="K72" i="3"/>
  <c r="K71" i="3"/>
  <c r="K69" i="3"/>
  <c r="K68" i="3"/>
  <c r="K66" i="3"/>
  <c r="K64" i="3"/>
  <c r="K63" i="3"/>
  <c r="K62" i="3"/>
  <c r="K60" i="3"/>
  <c r="K59" i="3"/>
  <c r="K57" i="3"/>
  <c r="K56" i="3"/>
  <c r="K54" i="3"/>
  <c r="K53" i="3"/>
  <c r="K51" i="3"/>
  <c r="N49" i="3"/>
  <c r="DC49" i="29" s="1"/>
  <c r="L47" i="3"/>
  <c r="N41" i="3"/>
  <c r="DC41" i="29" s="1"/>
  <c r="N40" i="3"/>
  <c r="DC40" i="29" s="1"/>
  <c r="N38" i="3"/>
  <c r="DC38" i="29" s="1"/>
  <c r="M49" i="3"/>
  <c r="M41" i="3"/>
  <c r="M39" i="3"/>
  <c r="M38" i="3"/>
  <c r="L38" i="3"/>
  <c r="M37" i="3"/>
  <c r="M36" i="3"/>
  <c r="M35" i="3"/>
  <c r="M34" i="3"/>
  <c r="L30" i="3"/>
  <c r="N29" i="3"/>
  <c r="DC29" i="29" s="1"/>
  <c r="L33" i="3"/>
  <c r="K31" i="3"/>
  <c r="L37" i="3"/>
  <c r="L36" i="3"/>
  <c r="L35" i="3"/>
  <c r="L34" i="3"/>
  <c r="K30" i="3"/>
  <c r="M29" i="3"/>
  <c r="L32" i="3"/>
  <c r="N31" i="3"/>
  <c r="DC31" i="29" s="1"/>
  <c r="K33" i="3"/>
  <c r="M31" i="3"/>
  <c r="K37" i="3"/>
  <c r="K36" i="3"/>
  <c r="K35" i="3"/>
  <c r="K34" i="3"/>
  <c r="N33" i="3"/>
  <c r="DC33" i="29" s="1"/>
  <c r="N32" i="3"/>
  <c r="DC32" i="29" s="1"/>
  <c r="L29" i="3"/>
  <c r="M33" i="3"/>
  <c r="M32" i="3"/>
  <c r="K29" i="3"/>
  <c r="N30" i="3"/>
  <c r="DC30" i="29" s="1"/>
  <c r="N34" i="3"/>
  <c r="DC34" i="29" s="1"/>
  <c r="M30" i="3"/>
  <c r="K32" i="3"/>
  <c r="N35" i="3"/>
  <c r="DC35" i="29" s="1"/>
  <c r="L31" i="3"/>
  <c r="N37" i="3"/>
  <c r="DC37" i="29" s="1"/>
  <c r="N36" i="3"/>
  <c r="DC36" i="29" s="1"/>
  <c r="M28" i="3"/>
  <c r="M27" i="3"/>
  <c r="M26" i="3"/>
  <c r="M24" i="3"/>
  <c r="L24" i="3"/>
  <c r="N25" i="3"/>
  <c r="DC25" i="29" s="1"/>
  <c r="N23" i="3"/>
  <c r="DC23" i="29" s="1"/>
  <c r="M25" i="3"/>
  <c r="M23" i="3"/>
  <c r="N27" i="3"/>
  <c r="DC27" i="29" s="1"/>
  <c r="N24" i="3"/>
  <c r="DC24" i="29" s="1"/>
  <c r="L28" i="3"/>
  <c r="L27" i="3"/>
  <c r="L26" i="3"/>
  <c r="K24" i="3"/>
  <c r="N28" i="3"/>
  <c r="DC28" i="29" s="1"/>
  <c r="K28" i="3"/>
  <c r="K27" i="3"/>
  <c r="K26" i="3"/>
  <c r="L25" i="3"/>
  <c r="L23" i="3"/>
  <c r="K25" i="3"/>
  <c r="K23" i="3"/>
  <c r="N26" i="3"/>
  <c r="DC26" i="29" s="1"/>
  <c r="K22" i="3"/>
  <c r="M20" i="3"/>
  <c r="M19" i="3"/>
  <c r="N18" i="3"/>
  <c r="DC18" i="29" s="1"/>
  <c r="L16" i="3"/>
  <c r="N21" i="3"/>
  <c r="DC21" i="29" s="1"/>
  <c r="L20" i="3"/>
  <c r="L19" i="3"/>
  <c r="M18" i="3"/>
  <c r="K16" i="3"/>
  <c r="N15" i="3"/>
  <c r="DC15" i="29" s="1"/>
  <c r="L22" i="3"/>
  <c r="M21" i="3"/>
  <c r="K20" i="3"/>
  <c r="K19" i="3"/>
  <c r="L18" i="3"/>
  <c r="M15" i="3"/>
  <c r="M17" i="3"/>
  <c r="N19" i="3"/>
  <c r="DC19" i="29" s="1"/>
  <c r="M16" i="3"/>
  <c r="L21" i="3"/>
  <c r="K18" i="3"/>
  <c r="N17" i="3"/>
  <c r="DC17" i="29" s="1"/>
  <c r="L15" i="3"/>
  <c r="K21" i="3"/>
  <c r="K15" i="3"/>
  <c r="N22" i="3"/>
  <c r="DC22" i="29" s="1"/>
  <c r="L17" i="3"/>
  <c r="N20" i="3"/>
  <c r="DC20" i="29" s="1"/>
  <c r="M22" i="3"/>
  <c r="K17" i="3"/>
  <c r="N16" i="3"/>
  <c r="DC16" i="29" s="1"/>
  <c r="L14" i="3"/>
  <c r="L13" i="3"/>
  <c r="K14" i="3"/>
  <c r="K13" i="3"/>
  <c r="N14" i="3"/>
  <c r="DC14" i="29" s="1"/>
  <c r="M13" i="3"/>
  <c r="N13" i="3"/>
  <c r="DC13" i="29" s="1"/>
  <c r="M14" i="3"/>
  <c r="K8" i="3"/>
  <c r="L9" i="3"/>
  <c r="K9" i="3"/>
  <c r="K10" i="3"/>
  <c r="M9" i="3"/>
  <c r="N12" i="3"/>
  <c r="DC12" i="29" s="1"/>
  <c r="N11" i="3"/>
  <c r="DC11" i="29" s="1"/>
  <c r="N10" i="3"/>
  <c r="DC10" i="29" s="1"/>
  <c r="N8" i="3"/>
  <c r="DC8" i="29" s="1"/>
  <c r="L12" i="3"/>
  <c r="L11" i="3"/>
  <c r="L10" i="3"/>
  <c r="M12" i="3"/>
  <c r="M11" i="3"/>
  <c r="M10" i="3"/>
  <c r="M8" i="3"/>
  <c r="L8" i="3"/>
  <c r="K12" i="3"/>
  <c r="K11" i="3"/>
  <c r="N9" i="3"/>
  <c r="DC9" i="29" s="1"/>
  <c r="K7" i="3"/>
  <c r="N7" i="3"/>
  <c r="DC7" i="29" s="1"/>
  <c r="M7" i="3"/>
  <c r="L7" i="3"/>
  <c r="BC6" i="3"/>
  <c r="AK6" i="3"/>
  <c r="AC6" i="3"/>
  <c r="Z6" i="3"/>
  <c r="T6" i="3"/>
  <c r="BX6" i="3"/>
  <c r="BT6" i="3"/>
  <c r="BP6" i="3"/>
  <c r="AR13" i="3" l="1"/>
  <c r="AR12" i="3"/>
  <c r="AR11" i="3"/>
  <c r="AR10" i="3"/>
  <c r="AR9" i="3"/>
  <c r="AR8" i="3"/>
  <c r="AR7" i="3"/>
  <c r="BP41" i="3"/>
  <c r="BT41" i="3"/>
  <c r="BX41" i="3"/>
  <c r="B33" i="57"/>
  <c r="D7" i="57"/>
  <c r="AO24" i="1"/>
  <c r="AN24" i="1"/>
  <c r="AN23" i="1"/>
  <c r="AO16" i="1"/>
  <c r="AN16" i="1"/>
  <c r="AO14" i="1"/>
  <c r="AN14" i="1"/>
  <c r="AO13" i="1"/>
  <c r="AN13" i="1"/>
  <c r="AO12" i="1"/>
  <c r="AO23" i="1" s="1"/>
  <c r="AN12" i="1"/>
  <c r="AO9" i="1"/>
  <c r="AN9" i="1"/>
  <c r="AO7" i="1"/>
  <c r="AN7" i="1"/>
  <c r="AO4" i="1"/>
  <c r="AN4" i="1"/>
  <c r="AM43" i="1"/>
  <c r="BA2" i="1"/>
  <c r="B2" i="1" l="1"/>
  <c r="A1" i="1"/>
  <c r="AV2" i="1" a="1"/>
  <c r="AQ2" i="1" a="1"/>
  <c r="AP1" i="1"/>
  <c r="V8" i="6"/>
  <c r="I10" i="6"/>
  <c r="AA11" i="6"/>
  <c r="Q13" i="6"/>
  <c r="AF14" i="6"/>
  <c r="V16" i="6"/>
  <c r="I18" i="6"/>
  <c r="AA19" i="6"/>
  <c r="AA21" i="6"/>
  <c r="Q25" i="6"/>
  <c r="Q29" i="6"/>
  <c r="I35" i="6"/>
  <c r="I43" i="6"/>
  <c r="I51" i="6"/>
  <c r="G5" i="1"/>
  <c r="R5" i="1"/>
  <c r="AB5" i="1"/>
  <c r="F2" i="20"/>
  <c r="N2" i="20"/>
  <c r="V2" i="20"/>
  <c r="G17" i="1"/>
  <c r="AB17" i="1"/>
  <c r="AF10" i="6"/>
  <c r="AF18" i="6"/>
  <c r="Q27" i="6"/>
  <c r="AH5" i="1"/>
  <c r="Z2" i="20"/>
  <c r="M2" i="20"/>
  <c r="I7" i="6"/>
  <c r="AA8" i="6"/>
  <c r="Q10" i="6"/>
  <c r="AF11" i="6"/>
  <c r="V13" i="6"/>
  <c r="I15" i="6"/>
  <c r="AA16" i="6"/>
  <c r="Q18" i="6"/>
  <c r="I20" i="6"/>
  <c r="I22" i="6"/>
  <c r="I26" i="6"/>
  <c r="I30" i="6"/>
  <c r="I36" i="6"/>
  <c r="I44" i="6"/>
  <c r="I52" i="6"/>
  <c r="H5" i="1"/>
  <c r="H21" i="1" s="1"/>
  <c r="S5" i="1"/>
  <c r="S17" i="1" s="1"/>
  <c r="AD5" i="1"/>
  <c r="G2" i="20"/>
  <c r="O2" i="20"/>
  <c r="W2" i="20"/>
  <c r="G21" i="1"/>
  <c r="H22" i="1"/>
  <c r="S21" i="1"/>
  <c r="AB21" i="1"/>
  <c r="V12" i="6"/>
  <c r="Q23" i="6"/>
  <c r="I39" i="6"/>
  <c r="W5" i="1"/>
  <c r="W17" i="1" s="1"/>
  <c r="R2" i="20"/>
  <c r="R21" i="1"/>
  <c r="G9" i="1"/>
  <c r="W31" i="1"/>
  <c r="Q7" i="6"/>
  <c r="AF8" i="6"/>
  <c r="V10" i="6"/>
  <c r="I12" i="6"/>
  <c r="AA13" i="6"/>
  <c r="Q15" i="6"/>
  <c r="AF16" i="6"/>
  <c r="V18" i="6"/>
  <c r="Q20" i="6"/>
  <c r="Q22" i="6"/>
  <c r="Q26" i="6"/>
  <c r="Q30" i="6"/>
  <c r="I37" i="6"/>
  <c r="I45" i="6"/>
  <c r="I53" i="6"/>
  <c r="J5" i="1"/>
  <c r="J13" i="1" s="1"/>
  <c r="T5" i="1"/>
  <c r="AE5" i="1"/>
  <c r="H2" i="20"/>
  <c r="P2" i="20"/>
  <c r="X2" i="20"/>
  <c r="G22" i="1"/>
  <c r="H31" i="1"/>
  <c r="R9" i="1"/>
  <c r="S22" i="1"/>
  <c r="AB22" i="1"/>
  <c r="AE21" i="1"/>
  <c r="AH9" i="1"/>
  <c r="I14" i="6"/>
  <c r="Q17" i="6"/>
  <c r="Q31" i="6"/>
  <c r="L5" i="1"/>
  <c r="G35" i="1"/>
  <c r="T9" i="1"/>
  <c r="E2" i="20"/>
  <c r="S9" i="1"/>
  <c r="AD22" i="1"/>
  <c r="V7" i="6"/>
  <c r="I9" i="6"/>
  <c r="AA10" i="6"/>
  <c r="Q12" i="6"/>
  <c r="AF13" i="6"/>
  <c r="V15" i="6"/>
  <c r="I17" i="6"/>
  <c r="AA18" i="6"/>
  <c r="V20" i="6"/>
  <c r="I23" i="6"/>
  <c r="I27" i="6"/>
  <c r="I31" i="6"/>
  <c r="I38" i="6"/>
  <c r="I46" i="6"/>
  <c r="K5" i="1"/>
  <c r="U5" i="1"/>
  <c r="AF5" i="1"/>
  <c r="I2" i="20"/>
  <c r="Q2" i="20"/>
  <c r="Y2" i="20"/>
  <c r="G31" i="1"/>
  <c r="J9" i="1"/>
  <c r="K22" i="1"/>
  <c r="R17" i="1"/>
  <c r="S31" i="1"/>
  <c r="W9" i="1"/>
  <c r="AB31" i="1"/>
  <c r="AE22" i="1"/>
  <c r="AH21" i="1"/>
  <c r="Q9" i="6"/>
  <c r="AA15" i="6"/>
  <c r="AA20" i="6"/>
  <c r="I47" i="6"/>
  <c r="C5" i="1"/>
  <c r="J2" i="20"/>
  <c r="AH22" i="1"/>
  <c r="U2" i="20"/>
  <c r="T31" i="1"/>
  <c r="AA7" i="6"/>
  <c r="AF7" i="6"/>
  <c r="V9" i="6"/>
  <c r="I11" i="6"/>
  <c r="AA12" i="6"/>
  <c r="Q14" i="6"/>
  <c r="AF15" i="6"/>
  <c r="V17" i="6"/>
  <c r="I19" i="6"/>
  <c r="I21" i="6"/>
  <c r="I24" i="6"/>
  <c r="I28" i="6"/>
  <c r="I32" i="6"/>
  <c r="I40" i="6"/>
  <c r="I48" i="6"/>
  <c r="D5" i="1"/>
  <c r="N5" i="1"/>
  <c r="X5" i="1"/>
  <c r="C2" i="20"/>
  <c r="K2" i="20"/>
  <c r="S2" i="20"/>
  <c r="B3" i="20"/>
  <c r="D9" i="1"/>
  <c r="H9" i="1"/>
  <c r="J21" i="1"/>
  <c r="L9" i="1"/>
  <c r="N21" i="1"/>
  <c r="R22" i="1"/>
  <c r="T21" i="1"/>
  <c r="W21" i="1"/>
  <c r="AD17" i="1"/>
  <c r="AF9" i="1"/>
  <c r="AH31" i="1"/>
  <c r="AF9" i="6"/>
  <c r="AA14" i="6"/>
  <c r="AF17" i="6"/>
  <c r="V21" i="6"/>
  <c r="I34" i="6"/>
  <c r="I50" i="6"/>
  <c r="AA5" i="1"/>
  <c r="J31" i="1"/>
  <c r="I8" i="6"/>
  <c r="AA9" i="6"/>
  <c r="Q11" i="6"/>
  <c r="AF12" i="6"/>
  <c r="V14" i="6"/>
  <c r="I16" i="6"/>
  <c r="AA17" i="6"/>
  <c r="Q19" i="6"/>
  <c r="Q21" i="6"/>
  <c r="Q24" i="6"/>
  <c r="Q28" i="6"/>
  <c r="I33" i="6"/>
  <c r="I41" i="6"/>
  <c r="I49" i="6"/>
  <c r="E5" i="1"/>
  <c r="O5" i="1"/>
  <c r="Z5" i="1"/>
  <c r="D2" i="20"/>
  <c r="L2" i="20"/>
  <c r="T2" i="20"/>
  <c r="D13" i="1"/>
  <c r="E21" i="1"/>
  <c r="H13" i="1"/>
  <c r="J22" i="1"/>
  <c r="L13" i="1"/>
  <c r="N22" i="1"/>
  <c r="R31" i="1"/>
  <c r="T22" i="1"/>
  <c r="W22" i="1"/>
  <c r="Z17" i="1"/>
  <c r="AA31" i="1"/>
  <c r="AD21" i="1"/>
  <c r="AF17" i="1"/>
  <c r="Q8" i="6"/>
  <c r="V11" i="6"/>
  <c r="I13" i="6"/>
  <c r="Q16" i="6"/>
  <c r="V19" i="6"/>
  <c r="I25" i="6"/>
  <c r="I29" i="6"/>
  <c r="I42" i="6"/>
  <c r="F5" i="1"/>
  <c r="Q5" i="1"/>
  <c r="D17" i="1"/>
  <c r="H17" i="1"/>
  <c r="N31" i="1"/>
  <c r="AB9" i="1"/>
  <c r="AD9" i="1"/>
  <c r="AD31" i="1"/>
  <c r="AE31" i="1"/>
  <c r="AE9" i="1"/>
  <c r="L35" i="1"/>
  <c r="L21" i="1"/>
  <c r="L31" i="1"/>
  <c r="L22" i="1"/>
  <c r="K21" i="1"/>
  <c r="K13" i="1"/>
  <c r="K31" i="1"/>
  <c r="K9" i="1"/>
  <c r="U22" i="1"/>
  <c r="U21" i="1"/>
  <c r="U9" i="1"/>
  <c r="AF31" i="1"/>
  <c r="AF21" i="1"/>
  <c r="AF22" i="1"/>
  <c r="C31" i="1"/>
  <c r="C35" i="1"/>
  <c r="C17" i="1"/>
  <c r="C9" i="1"/>
  <c r="D35" i="1"/>
  <c r="D31" i="1"/>
  <c r="D22" i="1"/>
  <c r="D21" i="1"/>
  <c r="N9" i="1"/>
  <c r="N17" i="1"/>
  <c r="X31" i="1"/>
  <c r="X22" i="1"/>
  <c r="X21" i="1"/>
  <c r="X17" i="1"/>
  <c r="X9" i="1"/>
  <c r="AA22" i="1"/>
  <c r="AA9" i="1"/>
  <c r="AA21" i="1"/>
  <c r="E22" i="1"/>
  <c r="E17" i="1"/>
  <c r="E9" i="1"/>
  <c r="E35" i="1"/>
  <c r="E31" i="1"/>
  <c r="O31" i="1"/>
  <c r="O22" i="1"/>
  <c r="O21" i="1"/>
  <c r="O17" i="1"/>
  <c r="O9" i="1"/>
  <c r="Z21" i="1"/>
  <c r="Z9" i="1"/>
  <c r="Z35" i="1"/>
  <c r="Z31" i="1"/>
  <c r="Z22" i="1"/>
  <c r="F31" i="1"/>
  <c r="F22" i="1"/>
  <c r="F21" i="1"/>
  <c r="F17" i="1"/>
  <c r="F9" i="1"/>
  <c r="Q17" i="1"/>
  <c r="Q9" i="1"/>
  <c r="Q31" i="1"/>
  <c r="Q21" i="1"/>
  <c r="Q22" i="1"/>
  <c r="J53" i="6" l="1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R31" i="6"/>
  <c r="J31" i="6"/>
  <c r="R30" i="6"/>
  <c r="J30" i="6"/>
  <c r="R29" i="6"/>
  <c r="J29" i="6"/>
  <c r="R28" i="6"/>
  <c r="J28" i="6"/>
  <c r="R27" i="6"/>
  <c r="J27" i="6"/>
  <c r="R26" i="6"/>
  <c r="J26" i="6"/>
  <c r="R25" i="6"/>
  <c r="J25" i="6"/>
  <c r="R24" i="6"/>
  <c r="J24" i="6"/>
  <c r="R23" i="6"/>
  <c r="J23" i="6"/>
  <c r="R22" i="6"/>
  <c r="J22" i="6"/>
  <c r="AB21" i="6"/>
  <c r="W21" i="6"/>
  <c r="R21" i="6"/>
  <c r="J21" i="6"/>
  <c r="AB20" i="6"/>
  <c r="W20" i="6"/>
  <c r="R20" i="6"/>
  <c r="J20" i="6"/>
  <c r="AB19" i="6"/>
  <c r="W19" i="6"/>
  <c r="R19" i="6"/>
  <c r="J19" i="6"/>
  <c r="AG18" i="6"/>
  <c r="AB18" i="6"/>
  <c r="W18" i="6"/>
  <c r="R18" i="6"/>
  <c r="J18" i="6"/>
  <c r="AG17" i="6"/>
  <c r="AB17" i="6"/>
  <c r="W17" i="6"/>
  <c r="R17" i="6"/>
  <c r="J17" i="6"/>
  <c r="AG16" i="6"/>
  <c r="AB16" i="6"/>
  <c r="W16" i="6"/>
  <c r="R16" i="6"/>
  <c r="J16" i="6"/>
  <c r="AG15" i="6"/>
  <c r="AB15" i="6"/>
  <c r="W15" i="6"/>
  <c r="R15" i="6"/>
  <c r="J15" i="6"/>
  <c r="AG14" i="6"/>
  <c r="AB14" i="6"/>
  <c r="W14" i="6"/>
  <c r="R14" i="6"/>
  <c r="J14" i="6"/>
  <c r="AG13" i="6"/>
  <c r="AB13" i="6"/>
  <c r="W13" i="6"/>
  <c r="R13" i="6"/>
  <c r="J13" i="6"/>
  <c r="AG12" i="6"/>
  <c r="AB12" i="6"/>
  <c r="W12" i="6"/>
  <c r="R12" i="6"/>
  <c r="J12" i="6"/>
  <c r="AG11" i="6"/>
  <c r="AB11" i="6"/>
  <c r="W11" i="6"/>
  <c r="R11" i="6"/>
  <c r="J11" i="6"/>
  <c r="AG10" i="6"/>
  <c r="AB10" i="6"/>
  <c r="W10" i="6"/>
  <c r="R10" i="6"/>
  <c r="J10" i="6"/>
  <c r="AG9" i="6"/>
  <c r="AB9" i="6"/>
  <c r="W9" i="6"/>
  <c r="R9" i="6"/>
  <c r="J9" i="6"/>
  <c r="AG8" i="6"/>
  <c r="AB8" i="6"/>
  <c r="W8" i="6"/>
  <c r="R8" i="6"/>
  <c r="J8" i="6"/>
  <c r="D12" i="6"/>
  <c r="E12" i="6" s="1"/>
  <c r="AG7" i="6"/>
  <c r="D11" i="6"/>
  <c r="E11" i="6" s="1"/>
  <c r="AB7" i="6"/>
  <c r="D10" i="6"/>
  <c r="E10" i="6" s="1"/>
  <c r="W7" i="6"/>
  <c r="D8" i="6"/>
  <c r="E8" i="6" s="1"/>
  <c r="R7" i="6"/>
  <c r="J7" i="6"/>
  <c r="D7" i="6"/>
  <c r="N18" i="6"/>
  <c r="N17" i="6"/>
  <c r="N16" i="6"/>
  <c r="N15" i="6"/>
  <c r="N14" i="6"/>
  <c r="N13" i="6"/>
  <c r="N12" i="6"/>
  <c r="N11" i="6"/>
  <c r="AY53" i="1"/>
  <c r="AX52" i="1"/>
  <c r="AW51" i="1"/>
  <c r="AV50" i="1"/>
  <c r="AY45" i="1"/>
  <c r="AX44" i="1"/>
  <c r="AW43" i="1"/>
  <c r="AW42" i="1"/>
  <c r="AV41" i="1"/>
  <c r="AY36" i="1"/>
  <c r="AX35" i="1"/>
  <c r="AV35" i="1"/>
  <c r="AX48" i="1"/>
  <c r="AW38" i="1"/>
  <c r="AW48" i="1"/>
  <c r="AV38" i="1"/>
  <c r="AW49" i="1"/>
  <c r="AW40" i="1"/>
  <c r="AW41" i="1"/>
  <c r="AX53" i="1"/>
  <c r="AW52" i="1"/>
  <c r="AV51" i="1"/>
  <c r="AY46" i="1"/>
  <c r="AX45" i="1"/>
  <c r="AW44" i="1"/>
  <c r="AV43" i="1"/>
  <c r="AV42" i="1"/>
  <c r="AY37" i="1"/>
  <c r="AX36" i="1"/>
  <c r="AW35" i="1"/>
  <c r="AW45" i="1"/>
  <c r="AY38" i="1"/>
  <c r="AW36" i="1"/>
  <c r="AV36" i="1"/>
  <c r="AY49" i="1"/>
  <c r="AW47" i="1"/>
  <c r="AV46" i="1"/>
  <c r="AY40" i="1"/>
  <c r="AX49" i="1"/>
  <c r="AW39" i="1"/>
  <c r="AX50" i="1"/>
  <c r="AV48" i="1"/>
  <c r="AV39" i="1"/>
  <c r="AX51" i="1"/>
  <c r="AY44" i="1"/>
  <c r="AW53" i="1"/>
  <c r="AV52" i="1"/>
  <c r="AY47" i="1"/>
  <c r="AX46" i="1"/>
  <c r="AV44" i="1"/>
  <c r="AX37" i="1"/>
  <c r="AX39" i="1"/>
  <c r="AV47" i="1"/>
  <c r="AV53" i="1"/>
  <c r="AY48" i="1"/>
  <c r="AX47" i="1"/>
  <c r="AW46" i="1"/>
  <c r="AV45" i="1"/>
  <c r="AY39" i="1"/>
  <c r="AX38" i="1"/>
  <c r="AW37" i="1"/>
  <c r="AV37" i="1"/>
  <c r="AY50" i="1"/>
  <c r="AX40" i="1"/>
  <c r="AY43" i="1"/>
  <c r="AW50" i="1"/>
  <c r="AV40" i="1"/>
  <c r="AY35" i="1"/>
  <c r="AX41" i="1"/>
  <c r="AV49" i="1"/>
  <c r="AX43" i="1"/>
  <c r="AY41" i="1"/>
  <c r="AY51" i="1"/>
  <c r="AY42" i="1"/>
  <c r="AY52" i="1"/>
  <c r="AX42" i="1"/>
  <c r="AY34" i="1"/>
  <c r="AX33" i="1"/>
  <c r="AW32" i="1"/>
  <c r="AV31" i="1"/>
  <c r="AX34" i="1"/>
  <c r="AW33" i="1"/>
  <c r="AV32" i="1"/>
  <c r="AW34" i="1"/>
  <c r="AV33" i="1"/>
  <c r="AV34" i="1"/>
  <c r="AY31" i="1"/>
  <c r="AY32" i="1"/>
  <c r="AX31" i="1"/>
  <c r="AX32" i="1"/>
  <c r="AW31" i="1"/>
  <c r="AY33" i="1"/>
  <c r="AY30" i="1"/>
  <c r="AX29" i="1"/>
  <c r="AW28" i="1"/>
  <c r="AV27" i="1"/>
  <c r="AW29" i="1"/>
  <c r="AV28" i="1"/>
  <c r="AW30" i="1"/>
  <c r="AV29" i="1"/>
  <c r="AY24" i="1"/>
  <c r="AY29" i="1"/>
  <c r="AV26" i="1"/>
  <c r="AX30" i="1"/>
  <c r="AW23" i="1"/>
  <c r="AY28" i="1"/>
  <c r="AX27" i="1"/>
  <c r="AV25" i="1"/>
  <c r="AV23" i="1"/>
  <c r="AW27" i="1"/>
  <c r="AV22" i="1"/>
  <c r="AV30" i="1"/>
  <c r="AY25" i="1"/>
  <c r="AX24" i="1"/>
  <c r="AY23" i="1"/>
  <c r="AY26" i="1"/>
  <c r="AX25" i="1"/>
  <c r="AW24" i="1"/>
  <c r="AX23" i="1"/>
  <c r="AY22" i="1"/>
  <c r="AY27" i="1"/>
  <c r="AX26" i="1"/>
  <c r="AW25" i="1"/>
  <c r="AV24" i="1"/>
  <c r="AX22" i="1"/>
  <c r="AW26" i="1"/>
  <c r="AW22" i="1"/>
  <c r="AX28" i="1"/>
  <c r="AY21" i="1"/>
  <c r="AX21" i="1"/>
  <c r="AW21" i="1"/>
  <c r="AV21" i="1"/>
  <c r="AY20" i="1"/>
  <c r="AX19" i="1"/>
  <c r="AW18" i="1"/>
  <c r="AV17" i="1"/>
  <c r="AX20" i="1"/>
  <c r="AV18" i="1"/>
  <c r="AW20" i="1"/>
  <c r="AV19" i="1"/>
  <c r="AX18" i="1"/>
  <c r="AW19" i="1"/>
  <c r="AV20" i="1"/>
  <c r="AY18" i="1"/>
  <c r="AX17" i="1"/>
  <c r="AY19" i="1"/>
  <c r="AY17" i="1"/>
  <c r="AW17" i="1"/>
  <c r="AY16" i="1"/>
  <c r="AY14" i="1"/>
  <c r="AX16" i="1"/>
  <c r="AY15" i="1"/>
  <c r="AX14" i="1"/>
  <c r="AY13" i="1"/>
  <c r="AV14" i="1"/>
  <c r="AW16" i="1"/>
  <c r="AX15" i="1"/>
  <c r="AW14" i="1"/>
  <c r="AX13" i="1"/>
  <c r="AV16" i="1"/>
  <c r="AW15" i="1"/>
  <c r="AW13" i="1"/>
  <c r="AV15" i="1"/>
  <c r="AV13" i="1"/>
  <c r="AW12" i="1"/>
  <c r="AX11" i="1"/>
  <c r="AW10" i="1"/>
  <c r="AV9" i="1"/>
  <c r="AV12" i="1"/>
  <c r="AW11" i="1"/>
  <c r="AV10" i="1"/>
  <c r="AV11" i="1"/>
  <c r="AY12" i="1"/>
  <c r="AY10" i="1"/>
  <c r="AX9" i="1"/>
  <c r="AX12" i="1"/>
  <c r="AY11" i="1"/>
  <c r="AX10" i="1"/>
  <c r="AW9" i="1"/>
  <c r="AY9" i="1"/>
  <c r="AY8" i="1"/>
  <c r="AX7" i="1"/>
  <c r="AY6" i="1"/>
  <c r="AX5" i="1"/>
  <c r="AX8" i="1"/>
  <c r="AW7" i="1"/>
  <c r="AX6" i="1"/>
  <c r="AW5" i="1"/>
  <c r="AW8" i="1"/>
  <c r="AV7" i="1"/>
  <c r="AW6" i="1"/>
  <c r="AV5" i="1"/>
  <c r="AV6" i="1"/>
  <c r="AY7" i="1"/>
  <c r="AV8" i="1"/>
  <c r="AY5" i="1"/>
  <c r="AY4" i="1"/>
  <c r="AX4" i="1"/>
  <c r="AY3" i="1"/>
  <c r="AW4" i="1"/>
  <c r="AX3" i="1"/>
  <c r="AV4" i="1"/>
  <c r="AW3" i="1"/>
  <c r="AV3" i="1"/>
  <c r="AY2" i="1"/>
  <c r="AX2" i="1"/>
  <c r="AW2" i="1"/>
  <c r="AV2" i="1"/>
  <c r="S73" i="1"/>
  <c r="CA7" i="32"/>
  <c r="CC7" i="32" s="1"/>
  <c r="BR7" i="60"/>
  <c r="BP7" i="60" s="1"/>
  <c r="BP7" i="30"/>
  <c r="BR7" i="29"/>
  <c r="BP7" i="29" s="1"/>
  <c r="BP7" i="36"/>
  <c r="BP7" i="39"/>
  <c r="BR7" i="34"/>
  <c r="BP7" i="34" s="1"/>
  <c r="BR7" i="35"/>
  <c r="BP7" i="35" s="1"/>
  <c r="BR7" i="33"/>
  <c r="BP7" i="33" s="1"/>
  <c r="BP7" i="38"/>
  <c r="BR7" i="40"/>
  <c r="BP7" i="40" s="1"/>
  <c r="CK41" i="29"/>
  <c r="CQ41" i="29"/>
  <c r="BD41" i="53"/>
  <c r="BO41" i="53"/>
  <c r="L41" i="53"/>
  <c r="BZ40" i="53"/>
  <c r="AH41" i="53"/>
  <c r="CK41" i="53"/>
  <c r="CE41" i="53"/>
  <c r="W41" i="53"/>
  <c r="AH41" i="51"/>
  <c r="CK41" i="51"/>
  <c r="W41" i="51"/>
  <c r="CE41" i="51"/>
  <c r="L41" i="51"/>
  <c r="BO41" i="51"/>
  <c r="BZ40" i="51"/>
  <c r="BZ40" i="60"/>
  <c r="CK41" i="9"/>
  <c r="CE41" i="9"/>
  <c r="BZ40" i="29"/>
  <c r="CE41" i="29"/>
  <c r="W41" i="29"/>
  <c r="BO41" i="29"/>
  <c r="L41" i="29"/>
  <c r="AH41" i="29"/>
  <c r="BO41" i="56"/>
  <c r="L41" i="56"/>
  <c r="AH41" i="56"/>
  <c r="CK41" i="56"/>
  <c r="W41" i="56"/>
  <c r="CE41" i="56"/>
  <c r="CK41" i="40"/>
  <c r="CE41" i="40"/>
  <c r="AH41" i="60"/>
  <c r="CK41" i="60"/>
  <c r="CE41" i="60"/>
  <c r="W41" i="60"/>
  <c r="BO41" i="60"/>
  <c r="L41" i="60"/>
  <c r="AH41" i="36"/>
  <c r="CK41" i="36"/>
  <c r="CE41" i="36"/>
  <c r="W41" i="36"/>
  <c r="BZ40" i="36"/>
  <c r="BO41" i="36"/>
  <c r="L41" i="36"/>
  <c r="AS41" i="36"/>
  <c r="CK41" i="38"/>
  <c r="CE41" i="38"/>
  <c r="W53" i="34"/>
  <c r="L41" i="34"/>
  <c r="BD41" i="34"/>
  <c r="BZ40" i="34"/>
  <c r="AH41" i="34"/>
  <c r="CK41" i="34"/>
  <c r="CE41" i="34"/>
  <c r="BO41" i="34"/>
  <c r="W53" i="35"/>
  <c r="CK41" i="35"/>
  <c r="CE41" i="35"/>
  <c r="BD41" i="35"/>
  <c r="BZ39" i="35"/>
  <c r="BO37" i="35"/>
  <c r="L41" i="35"/>
  <c r="W53" i="33"/>
  <c r="L41" i="33"/>
  <c r="BO41" i="33"/>
  <c r="BZ40" i="33"/>
  <c r="CE41" i="33"/>
  <c r="BD41" i="33"/>
  <c r="AH41" i="33"/>
  <c r="CK41" i="33"/>
  <c r="BD41" i="49"/>
  <c r="BD41" i="38"/>
  <c r="BX33" i="3"/>
  <c r="AS43" i="47"/>
  <c r="BT33" i="3"/>
  <c r="CK41" i="49"/>
  <c r="CE41" i="49"/>
  <c r="CP41" i="47"/>
  <c r="CP41" i="32"/>
  <c r="BO41" i="32"/>
  <c r="AH41" i="32"/>
  <c r="BZ37" i="32"/>
  <c r="W41" i="32"/>
  <c r="CK40" i="32"/>
  <c r="L41" i="32"/>
  <c r="AS41" i="32"/>
  <c r="BP33" i="3"/>
  <c r="AS49" i="1"/>
  <c r="AR48" i="1"/>
  <c r="AQ47" i="1"/>
  <c r="AS40" i="1"/>
  <c r="AR39" i="1"/>
  <c r="AQ38" i="1"/>
  <c r="AS43" i="1"/>
  <c r="AQ40" i="1"/>
  <c r="AS35" i="1"/>
  <c r="AR44" i="1"/>
  <c r="AQ42" i="1"/>
  <c r="AR35" i="1"/>
  <c r="AS54" i="1"/>
  <c r="AQ44" i="1"/>
  <c r="AQ35" i="1"/>
  <c r="AQ53" i="1"/>
  <c r="AR46" i="1"/>
  <c r="AR37" i="1"/>
  <c r="AQ54" i="1"/>
  <c r="AR47" i="1"/>
  <c r="AS50" i="1"/>
  <c r="AR49" i="1"/>
  <c r="AQ48" i="1"/>
  <c r="AS41" i="1"/>
  <c r="AR40" i="1"/>
  <c r="AQ39" i="1"/>
  <c r="AS42" i="1"/>
  <c r="AS53" i="1"/>
  <c r="AQ51" i="1"/>
  <c r="AQ43" i="1"/>
  <c r="AS36" i="1"/>
  <c r="AR53" i="1"/>
  <c r="AR45" i="1"/>
  <c r="AR36" i="1"/>
  <c r="AR54" i="1"/>
  <c r="AQ45" i="1"/>
  <c r="AR38" i="1"/>
  <c r="AS51" i="1"/>
  <c r="AR50" i="1"/>
  <c r="AQ49" i="1"/>
  <c r="AR41" i="1"/>
  <c r="AS45" i="1"/>
  <c r="AQ52" i="1"/>
  <c r="AS52" i="1"/>
  <c r="AR51" i="1"/>
  <c r="AQ50" i="1"/>
  <c r="AS44" i="1"/>
  <c r="AR43" i="1"/>
  <c r="AR42" i="1"/>
  <c r="AQ41" i="1"/>
  <c r="AS46" i="1"/>
  <c r="AS37" i="1"/>
  <c r="AQ46" i="1"/>
  <c r="AR52" i="1"/>
  <c r="AQ36" i="1"/>
  <c r="AS39" i="1"/>
  <c r="AS47" i="1"/>
  <c r="AS38" i="1"/>
  <c r="AS48" i="1"/>
  <c r="AQ37" i="1"/>
  <c r="AS31" i="1"/>
  <c r="AS32" i="1"/>
  <c r="AR31" i="1"/>
  <c r="AR32" i="1"/>
  <c r="AQ31" i="1"/>
  <c r="AS34" i="1"/>
  <c r="AR33" i="1"/>
  <c r="AQ32" i="1"/>
  <c r="AR34" i="1"/>
  <c r="AQ33" i="1"/>
  <c r="AQ34" i="1"/>
  <c r="AS33" i="1"/>
  <c r="AS26" i="1"/>
  <c r="AR25" i="1"/>
  <c r="AQ24" i="1"/>
  <c r="AR23" i="1"/>
  <c r="AS22" i="1"/>
  <c r="AS27" i="1"/>
  <c r="AR26" i="1"/>
  <c r="AQ25" i="1"/>
  <c r="AQ23" i="1"/>
  <c r="AR22" i="1"/>
  <c r="AS28" i="1"/>
  <c r="AR27" i="1"/>
  <c r="AQ26" i="1"/>
  <c r="AS24" i="1"/>
  <c r="AR24" i="1"/>
  <c r="AQ22" i="1"/>
  <c r="AS29" i="1"/>
  <c r="AR28" i="1"/>
  <c r="AQ27" i="1"/>
  <c r="AS30" i="1"/>
  <c r="AR29" i="1"/>
  <c r="AQ28" i="1"/>
  <c r="AR30" i="1"/>
  <c r="AQ29" i="1"/>
  <c r="AQ30" i="1"/>
  <c r="AS25" i="1"/>
  <c r="AS23" i="1"/>
  <c r="AS21" i="1"/>
  <c r="AR21" i="1"/>
  <c r="AQ21" i="1"/>
  <c r="AS17" i="1"/>
  <c r="AS18" i="1"/>
  <c r="AQ18" i="1"/>
  <c r="AR17" i="1"/>
  <c r="AS19" i="1"/>
  <c r="AR18" i="1"/>
  <c r="AQ17" i="1"/>
  <c r="AS20" i="1"/>
  <c r="AR19" i="1"/>
  <c r="AR20" i="1"/>
  <c r="AQ19" i="1"/>
  <c r="AQ20" i="1"/>
  <c r="AS16" i="1"/>
  <c r="AS14" i="1"/>
  <c r="AR16" i="1"/>
  <c r="AS15" i="1"/>
  <c r="AR14" i="1"/>
  <c r="AS13" i="1"/>
  <c r="AQ16" i="1"/>
  <c r="AR15" i="1"/>
  <c r="AQ14" i="1"/>
  <c r="AR13" i="1"/>
  <c r="AQ15" i="1"/>
  <c r="AQ13" i="1"/>
  <c r="AS9" i="1"/>
  <c r="AR9" i="1"/>
  <c r="AR12" i="1"/>
  <c r="AR10" i="1"/>
  <c r="AQ9" i="1"/>
  <c r="AQ12" i="1"/>
  <c r="AQ10" i="1"/>
  <c r="AS12" i="1"/>
  <c r="AS10" i="1"/>
  <c r="AS11" i="1"/>
  <c r="AR11" i="1"/>
  <c r="AQ11" i="1"/>
  <c r="AS7" i="1"/>
  <c r="AS5" i="1"/>
  <c r="AS6" i="1"/>
  <c r="AR8" i="1"/>
  <c r="AQ5" i="1"/>
  <c r="AQ6" i="1"/>
  <c r="AS8" i="1"/>
  <c r="AR7" i="1"/>
  <c r="AR5" i="1"/>
  <c r="AQ7" i="1"/>
  <c r="AR6" i="1"/>
  <c r="AQ8" i="1"/>
  <c r="AS4" i="1"/>
  <c r="AR4" i="1"/>
  <c r="AS3" i="1"/>
  <c r="AQ4" i="1"/>
  <c r="AR3" i="1"/>
  <c r="AQ3" i="1"/>
  <c r="AQ2" i="1"/>
  <c r="AS2" i="1"/>
  <c r="AR2" i="1"/>
  <c r="L41" i="30"/>
  <c r="BA8" i="3"/>
  <c r="BJ8" i="3"/>
  <c r="R9" i="3"/>
  <c r="AI8" i="3"/>
  <c r="H14" i="37"/>
  <c r="O14" i="6"/>
  <c r="O18" i="6"/>
  <c r="CE45" i="33"/>
  <c r="AS45" i="32"/>
  <c r="CE45" i="53"/>
  <c r="CE45" i="38"/>
  <c r="AH45" i="51"/>
  <c r="AH45" i="29"/>
  <c r="P14" i="6"/>
  <c r="P18" i="6"/>
  <c r="BT37" i="3"/>
  <c r="CK45" i="53"/>
  <c r="CK45" i="38"/>
  <c r="CP45" i="32"/>
  <c r="CQ45" i="29"/>
  <c r="CE45" i="51"/>
  <c r="AH45" i="56"/>
  <c r="CK45" i="40"/>
  <c r="CE45" i="56"/>
  <c r="CK45" i="33"/>
  <c r="BP37" i="3"/>
  <c r="P17" i="6"/>
  <c r="CE45" i="60"/>
  <c r="CE45" i="34"/>
  <c r="CK45" i="34"/>
  <c r="CK45" i="51"/>
  <c r="BX37" i="3"/>
  <c r="O12" i="6"/>
  <c r="CE45" i="35"/>
  <c r="CE45" i="49"/>
  <c r="P12" i="6"/>
  <c r="CK45" i="9"/>
  <c r="O16" i="6"/>
  <c r="CP45" i="47"/>
  <c r="CK45" i="29"/>
  <c r="CE45" i="9"/>
  <c r="O15" i="6"/>
  <c r="O11" i="6"/>
  <c r="CE45" i="29"/>
  <c r="CK45" i="35"/>
  <c r="CK45" i="60"/>
  <c r="CE45" i="40"/>
  <c r="AH45" i="60"/>
  <c r="P15" i="6"/>
  <c r="P11" i="6"/>
  <c r="CK45" i="56"/>
  <c r="CK45" i="49"/>
  <c r="AS47" i="47"/>
  <c r="CK45" i="36"/>
  <c r="CE45" i="36"/>
  <c r="P16" i="6"/>
  <c r="O17" i="6"/>
  <c r="O13" i="6"/>
  <c r="E7" i="6" l="1"/>
  <c r="AZ52" i="36"/>
  <c r="AZ52" i="40"/>
  <c r="AZ30" i="36"/>
  <c r="AZ30" i="40"/>
  <c r="BK30" i="47"/>
  <c r="AZ44" i="36"/>
  <c r="AZ44" i="40"/>
  <c r="AZ37" i="39"/>
  <c r="AZ37" i="36"/>
  <c r="AZ37" i="40"/>
  <c r="AZ52" i="39"/>
  <c r="BK52" i="47"/>
  <c r="BK37" i="47"/>
  <c r="AZ44" i="39"/>
  <c r="BK44" i="47"/>
  <c r="AZ30" i="39"/>
  <c r="W41" i="30"/>
  <c r="F13" i="37"/>
  <c r="AZ8" i="36"/>
  <c r="AZ8" i="40"/>
  <c r="AZ8" i="39"/>
  <c r="P13" i="6"/>
  <c r="AE7" i="37"/>
  <c r="D9" i="6" l="1"/>
  <c r="E9" i="6" s="1"/>
  <c r="E4" i="6" s="1"/>
  <c r="AH41" i="30"/>
  <c r="T49" i="8"/>
  <c r="AQ48" i="8"/>
  <c r="AD48" i="8"/>
  <c r="Y48" i="8"/>
  <c r="T48" i="8"/>
  <c r="AQ47" i="8"/>
  <c r="AD47" i="8"/>
  <c r="Y47" i="8"/>
  <c r="T47" i="8"/>
  <c r="AQ46" i="8"/>
  <c r="AD46" i="8"/>
  <c r="Y46" i="8"/>
  <c r="T46" i="8"/>
  <c r="AQ45" i="8"/>
  <c r="AD45" i="8"/>
  <c r="Y45" i="8"/>
  <c r="T45" i="8"/>
  <c r="AQ44" i="8"/>
  <c r="AD44" i="8"/>
  <c r="Y44" i="8"/>
  <c r="T44" i="8"/>
  <c r="AQ43" i="8"/>
  <c r="AD43" i="8"/>
  <c r="Y43" i="8"/>
  <c r="T43" i="8"/>
  <c r="AQ42" i="8"/>
  <c r="AD42" i="8"/>
  <c r="Y42" i="8"/>
  <c r="T42" i="8"/>
  <c r="AQ41" i="8"/>
  <c r="AD41" i="8"/>
  <c r="Y41" i="8"/>
  <c r="T41" i="8"/>
  <c r="AQ40" i="8"/>
  <c r="AD40" i="8"/>
  <c r="Y40" i="8"/>
  <c r="T40" i="8"/>
  <c r="AQ39" i="8"/>
  <c r="AD39" i="8"/>
  <c r="Y39" i="8"/>
  <c r="T39" i="8"/>
  <c r="AQ38" i="8"/>
  <c r="AD38" i="8"/>
  <c r="Y38" i="8"/>
  <c r="AQ37" i="8"/>
  <c r="AD37" i="8"/>
  <c r="Y37" i="8"/>
  <c r="AQ36" i="8"/>
  <c r="AD36" i="8"/>
  <c r="Y36" i="8"/>
  <c r="AQ35" i="8"/>
  <c r="AD35" i="8"/>
  <c r="Y35" i="8"/>
  <c r="AQ34" i="8"/>
  <c r="AD34" i="8"/>
  <c r="Y34" i="8"/>
  <c r="AQ33" i="8"/>
  <c r="AD33" i="8"/>
  <c r="Y33" i="8"/>
  <c r="AQ32" i="8"/>
  <c r="AD32" i="8"/>
  <c r="Y32" i="8"/>
  <c r="D1" i="37"/>
  <c r="AH45" i="30"/>
  <c r="B4" i="6" l="1"/>
  <c r="BO41" i="30"/>
  <c r="O32" i="8"/>
  <c r="AQ31" i="8"/>
  <c r="AD31" i="8"/>
  <c r="Y31" i="8"/>
  <c r="S32" i="8"/>
  <c r="R32" i="8"/>
  <c r="T32" i="8"/>
  <c r="U32" i="8" l="1"/>
  <c r="Z32" i="9" s="1"/>
  <c r="BZ40" i="30"/>
  <c r="O31" i="8"/>
  <c r="R31" i="8"/>
  <c r="S31" i="8"/>
  <c r="T31" i="8"/>
  <c r="U31" i="8" l="1"/>
  <c r="CE41" i="30"/>
  <c r="W32" i="9"/>
  <c r="O26" i="9"/>
  <c r="L26" i="9" s="1"/>
  <c r="AY30" i="8"/>
  <c r="AQ30" i="8"/>
  <c r="AD30" i="8"/>
  <c r="Y30" i="8"/>
  <c r="BD30" i="8"/>
  <c r="BB30" i="8"/>
  <c r="BC30" i="8"/>
  <c r="CE45" i="30"/>
  <c r="CA24" i="9" l="1"/>
  <c r="BZ24" i="9"/>
  <c r="CK41" i="30"/>
  <c r="Z31" i="9"/>
  <c r="W31" i="9" s="1"/>
  <c r="O25" i="9"/>
  <c r="L25" i="9" s="1"/>
  <c r="O30" i="8"/>
  <c r="T30" i="8"/>
  <c r="CK45" i="30"/>
  <c r="R30" i="8"/>
  <c r="S30" i="8"/>
  <c r="U30" i="8" l="1"/>
  <c r="Z30" i="9" s="1"/>
  <c r="W30" i="9" s="1"/>
  <c r="AY29" i="8"/>
  <c r="AQ29" i="8"/>
  <c r="AD29" i="8"/>
  <c r="Y29" i="8"/>
  <c r="BB29" i="8"/>
  <c r="BC29" i="8"/>
  <c r="BD29" i="8"/>
  <c r="CA23" i="9" l="1"/>
  <c r="BZ23" i="9"/>
  <c r="O29" i="8"/>
  <c r="S29" i="8"/>
  <c r="R29" i="8"/>
  <c r="T29" i="8"/>
  <c r="U29" i="8" l="1"/>
  <c r="Z29" i="9" s="1"/>
  <c r="W29" i="9" s="1"/>
  <c r="AY28" i="8"/>
  <c r="AQ28" i="8"/>
  <c r="AD28" i="8"/>
  <c r="Y28" i="8"/>
  <c r="BB28" i="8"/>
  <c r="BD28" i="8"/>
  <c r="BC28" i="8"/>
  <c r="CA22" i="9" l="1"/>
  <c r="CA22" i="49"/>
  <c r="BZ22" i="9"/>
  <c r="BZ22" i="49"/>
  <c r="O28" i="8"/>
  <c r="R28" i="8"/>
  <c r="S28" i="8"/>
  <c r="T28" i="8"/>
  <c r="U28" i="8" l="1"/>
  <c r="AY27" i="8"/>
  <c r="AQ27" i="8"/>
  <c r="AD27" i="8"/>
  <c r="Y27" i="8"/>
  <c r="BB27" i="8"/>
  <c r="BD27" i="8"/>
  <c r="BC27" i="8"/>
  <c r="CA21" i="9" l="1"/>
  <c r="CA21" i="49"/>
  <c r="BZ21" i="9"/>
  <c r="BZ21" i="49"/>
  <c r="O24" i="9"/>
  <c r="L24" i="9" s="1"/>
  <c r="Z28" i="9"/>
  <c r="W28" i="9" s="1"/>
  <c r="O27" i="8"/>
  <c r="S27" i="8"/>
  <c r="T27" i="8"/>
  <c r="R27" i="8"/>
  <c r="U27" i="8" l="1"/>
  <c r="Z27" i="9" s="1"/>
  <c r="W27" i="9" s="1"/>
  <c r="AY26" i="8"/>
  <c r="AQ26" i="8"/>
  <c r="AD26" i="8"/>
  <c r="Y26" i="8"/>
  <c r="O26" i="8"/>
  <c r="R26" i="8"/>
  <c r="S26" i="8"/>
  <c r="T26" i="8"/>
  <c r="BB26" i="8"/>
  <c r="BD26" i="8"/>
  <c r="BC26" i="8"/>
  <c r="U26" i="8" l="1"/>
  <c r="Z26" i="9" s="1"/>
  <c r="W26" i="9" s="1"/>
  <c r="AY25" i="8"/>
  <c r="AQ25" i="8"/>
  <c r="AD25" i="8"/>
  <c r="Y25" i="8"/>
  <c r="BD25" i="8"/>
  <c r="BB25" i="8"/>
  <c r="BC25" i="8"/>
  <c r="CA19" i="9" l="1"/>
  <c r="CA20" i="9" s="1"/>
  <c r="CA19" i="49"/>
  <c r="CA20" i="49" s="1"/>
  <c r="BZ19" i="9"/>
  <c r="BZ20" i="9" s="1"/>
  <c r="BZ19" i="49"/>
  <c r="BZ20" i="49" s="1"/>
  <c r="O25" i="8"/>
  <c r="S25" i="8"/>
  <c r="T25" i="8"/>
  <c r="R25" i="8"/>
  <c r="U25" i="8" l="1"/>
  <c r="AY24" i="8"/>
  <c r="AQ24" i="8"/>
  <c r="AD24" i="8"/>
  <c r="Y24" i="8"/>
  <c r="BD24" i="8"/>
  <c r="BC24" i="8"/>
  <c r="BB24" i="8"/>
  <c r="Z25" i="9" l="1"/>
  <c r="W25" i="9" s="1"/>
  <c r="O23" i="9"/>
  <c r="L23" i="9" s="1"/>
  <c r="O24" i="8"/>
  <c r="R24" i="8"/>
  <c r="T24" i="8"/>
  <c r="S24" i="8"/>
  <c r="U24" i="8" l="1"/>
  <c r="Z24" i="9" s="1"/>
  <c r="W24" i="9" s="1"/>
  <c r="AY23" i="8"/>
  <c r="AQ23" i="8"/>
  <c r="AD23" i="8"/>
  <c r="Y23" i="8"/>
  <c r="BB23" i="8"/>
  <c r="BC23" i="8"/>
  <c r="BD23" i="8"/>
  <c r="CA17" i="9" l="1"/>
  <c r="CA18" i="9" s="1"/>
  <c r="CA17" i="49"/>
  <c r="CA18" i="49" s="1"/>
  <c r="BZ17" i="9"/>
  <c r="BZ18" i="9" s="1"/>
  <c r="BZ17" i="49"/>
  <c r="BZ18" i="49" s="1"/>
  <c r="O23" i="8"/>
  <c r="R23" i="8"/>
  <c r="T23" i="8"/>
  <c r="S23" i="8"/>
  <c r="U23" i="8" l="1"/>
  <c r="AY22" i="8"/>
  <c r="AQ22" i="8"/>
  <c r="AD22" i="8"/>
  <c r="Y22" i="8"/>
  <c r="BC22" i="8"/>
  <c r="BB22" i="8"/>
  <c r="BD22" i="8"/>
  <c r="BR22" i="9" l="1"/>
  <c r="BO22" i="9" s="1"/>
  <c r="O22" i="9"/>
  <c r="L22" i="9" s="1"/>
  <c r="Z23" i="9"/>
  <c r="W23" i="9" s="1"/>
  <c r="O22" i="8"/>
  <c r="S22" i="8"/>
  <c r="R22" i="8"/>
  <c r="T22" i="8"/>
  <c r="U22" i="8" l="1"/>
  <c r="AY21" i="8"/>
  <c r="AQ21" i="8"/>
  <c r="BB21" i="8"/>
  <c r="BC21" i="8"/>
  <c r="BD21" i="8"/>
  <c r="BR21" i="9" l="1"/>
  <c r="BO21" i="9" s="1"/>
  <c r="O21" i="9"/>
  <c r="L21" i="9" s="1"/>
  <c r="Z22" i="9"/>
  <c r="W22" i="9" s="1"/>
  <c r="O21" i="8"/>
  <c r="R21" i="8"/>
  <c r="T21" i="8"/>
  <c r="S21" i="8"/>
  <c r="U21" i="8" l="1"/>
  <c r="AY20" i="8"/>
  <c r="AQ20" i="8"/>
  <c r="BC20" i="8"/>
  <c r="BB20" i="8"/>
  <c r="BD20" i="8"/>
  <c r="BR20" i="9" l="1"/>
  <c r="BO20" i="9" s="1"/>
  <c r="CA16" i="9"/>
  <c r="CA16" i="49"/>
  <c r="BZ16" i="9"/>
  <c r="BZ16" i="49"/>
  <c r="Z21" i="9"/>
  <c r="W21" i="9" s="1"/>
  <c r="O20" i="9"/>
  <c r="L20" i="9" s="1"/>
  <c r="O20" i="8"/>
  <c r="R20" i="8"/>
  <c r="S20" i="8"/>
  <c r="T20" i="8"/>
  <c r="U20" i="8" l="1"/>
  <c r="AY19" i="8"/>
  <c r="BB19" i="8"/>
  <c r="BC19" i="8"/>
  <c r="BD19" i="8"/>
  <c r="BR19" i="9" l="1"/>
  <c r="BO19" i="9" s="1"/>
  <c r="Z20" i="9"/>
  <c r="W20" i="9" s="1"/>
  <c r="O19" i="9"/>
  <c r="L19" i="9" s="1"/>
  <c r="AL19" i="8"/>
  <c r="AO19" i="8"/>
  <c r="AP19" i="8"/>
  <c r="AQ19" i="8"/>
  <c r="AR19" i="8" l="1"/>
  <c r="BR35" i="9" s="1"/>
  <c r="BO35" i="9" s="1"/>
  <c r="O19" i="8"/>
  <c r="R19" i="8"/>
  <c r="T19" i="8"/>
  <c r="S19" i="8"/>
  <c r="U19" i="8" l="1"/>
  <c r="O18" i="9" s="1"/>
  <c r="L18" i="9" s="1"/>
  <c r="AY18" i="8"/>
  <c r="BB18" i="8"/>
  <c r="BD18" i="8"/>
  <c r="BC18" i="8"/>
  <c r="BR18" i="9" l="1"/>
  <c r="BO18" i="9" s="1"/>
  <c r="AL18" i="8"/>
  <c r="AO18" i="8"/>
  <c r="AP18" i="8"/>
  <c r="AQ18" i="8"/>
  <c r="AR18" i="8" l="1"/>
  <c r="BR34" i="9" s="1"/>
  <c r="BO34" i="9" s="1"/>
  <c r="O18" i="8"/>
  <c r="S18" i="8"/>
  <c r="R18" i="8"/>
  <c r="T18" i="8"/>
  <c r="U18" i="8" l="1"/>
  <c r="Z19" i="9" s="1"/>
  <c r="W19" i="9" s="1"/>
  <c r="AY17" i="8"/>
  <c r="BB17" i="8"/>
  <c r="BD17" i="8"/>
  <c r="BC17" i="8"/>
  <c r="BR17" i="9" l="1"/>
  <c r="BO17" i="9" s="1"/>
  <c r="CA15" i="9"/>
  <c r="CA15" i="49"/>
  <c r="BZ15" i="9"/>
  <c r="BZ15" i="49"/>
  <c r="AL17" i="8"/>
  <c r="AQ17" i="8"/>
  <c r="AP17" i="8"/>
  <c r="AO17" i="8"/>
  <c r="AR17" i="8" l="1"/>
  <c r="BR33" i="9" s="1"/>
  <c r="BO33" i="9" s="1"/>
  <c r="O17" i="8"/>
  <c r="R17" i="8"/>
  <c r="T17" i="8"/>
  <c r="S17" i="8"/>
  <c r="U17" i="8" l="1"/>
  <c r="Z18" i="9" s="1"/>
  <c r="W18" i="9" s="1"/>
  <c r="AY16" i="8"/>
  <c r="BB16" i="8"/>
  <c r="BD16" i="8"/>
  <c r="BC16" i="8"/>
  <c r="BR16" i="9" l="1"/>
  <c r="BO16" i="9" s="1"/>
  <c r="AL16" i="8"/>
  <c r="AP16" i="8"/>
  <c r="AO16" i="8"/>
  <c r="AQ16" i="8"/>
  <c r="AR16" i="8" l="1"/>
  <c r="BR32" i="9" s="1"/>
  <c r="BO32" i="9" s="1"/>
  <c r="O16" i="8"/>
  <c r="R16" i="8"/>
  <c r="T16" i="8"/>
  <c r="S16" i="8"/>
  <c r="U16" i="8" l="1"/>
  <c r="Z17" i="9" s="1"/>
  <c r="W17" i="9" s="1"/>
  <c r="AY15" i="8"/>
  <c r="BB15" i="8"/>
  <c r="BD15" i="8"/>
  <c r="BC15" i="8"/>
  <c r="BR15" i="9" l="1"/>
  <c r="BO15" i="9" s="1"/>
  <c r="AL15" i="8"/>
  <c r="AO15" i="8"/>
  <c r="AP15" i="8"/>
  <c r="AQ15" i="8"/>
  <c r="AR15" i="8" l="1"/>
  <c r="BR31" i="9" s="1"/>
  <c r="BO31" i="9" s="1"/>
  <c r="O15" i="8"/>
  <c r="R15" i="8"/>
  <c r="T15" i="8"/>
  <c r="S15" i="8"/>
  <c r="U15" i="8" l="1"/>
  <c r="Z16" i="9" s="1"/>
  <c r="W16" i="9" s="1"/>
  <c r="AY14" i="8"/>
  <c r="BB14" i="8"/>
  <c r="BD14" i="8"/>
  <c r="BC14" i="8"/>
  <c r="BR14" i="9" l="1"/>
  <c r="BO14" i="9" s="1"/>
  <c r="CA14" i="9"/>
  <c r="CA14" i="49"/>
  <c r="BZ14" i="9"/>
  <c r="BZ14" i="49"/>
  <c r="AL14" i="8"/>
  <c r="AQ14" i="8"/>
  <c r="AP14" i="8"/>
  <c r="AO14" i="8"/>
  <c r="AR14" i="8" l="1"/>
  <c r="BR30" i="9" s="1"/>
  <c r="BO30" i="9" s="1"/>
  <c r="O14" i="8"/>
  <c r="R14" i="8"/>
  <c r="T14" i="8"/>
  <c r="S14" i="8"/>
  <c r="U14" i="8" l="1"/>
  <c r="Z15" i="9" s="1"/>
  <c r="W15" i="9" s="1"/>
  <c r="AY13" i="8"/>
  <c r="BC13" i="8"/>
  <c r="BB13" i="8"/>
  <c r="BD13" i="8"/>
  <c r="BR13" i="9" l="1"/>
  <c r="BO13" i="9" s="1"/>
  <c r="CA13" i="9"/>
  <c r="CA13" i="49"/>
  <c r="BZ13" i="9"/>
  <c r="BZ13" i="49"/>
  <c r="AL13" i="8"/>
  <c r="AQ13" i="8"/>
  <c r="AP13" i="8"/>
  <c r="AO13" i="8"/>
  <c r="AR13" i="8" l="1"/>
  <c r="BR29" i="9" s="1"/>
  <c r="BO29" i="9" s="1"/>
  <c r="O13" i="8"/>
  <c r="R13" i="8"/>
  <c r="T13" i="8"/>
  <c r="S13" i="8"/>
  <c r="U13" i="8" l="1"/>
  <c r="Z14" i="9" s="1"/>
  <c r="W14" i="9" s="1"/>
  <c r="AY12" i="8"/>
  <c r="BB12" i="8"/>
  <c r="BC12" i="8"/>
  <c r="BD12" i="8"/>
  <c r="BR12" i="9" l="1"/>
  <c r="BO12" i="9" s="1"/>
  <c r="CA12" i="9"/>
  <c r="CA12" i="49"/>
  <c r="BZ12" i="9"/>
  <c r="BZ12" i="49"/>
  <c r="AL12" i="8"/>
  <c r="AQ12" i="8"/>
  <c r="AO12" i="8"/>
  <c r="AP12" i="8"/>
  <c r="AR12" i="8" l="1"/>
  <c r="BR28" i="9" s="1"/>
  <c r="BO28" i="9" s="1"/>
  <c r="O12" i="8"/>
  <c r="T12" i="8"/>
  <c r="R12" i="8"/>
  <c r="S12" i="8"/>
  <c r="U12" i="8" l="1"/>
  <c r="Z13" i="9" s="1"/>
  <c r="W13" i="9" s="1"/>
  <c r="AY11" i="8"/>
  <c r="BC11" i="8"/>
  <c r="BB11" i="8"/>
  <c r="BD11" i="8"/>
  <c r="BR11" i="9" l="1"/>
  <c r="BO11" i="9" s="1"/>
  <c r="CA11" i="9"/>
  <c r="CA11" i="49"/>
  <c r="BZ11" i="9"/>
  <c r="BZ11" i="49"/>
  <c r="AL11" i="8"/>
  <c r="AQ11" i="8"/>
  <c r="AP11" i="8"/>
  <c r="AO11" i="8"/>
  <c r="AR11" i="8" l="1"/>
  <c r="BR27" i="9" s="1"/>
  <c r="BO27" i="9" s="1"/>
  <c r="O11" i="8"/>
  <c r="D11" i="8"/>
  <c r="C11" i="8"/>
  <c r="R11" i="8"/>
  <c r="S11" i="8"/>
  <c r="T11" i="8"/>
  <c r="E11" i="8" l="1"/>
  <c r="U11" i="8"/>
  <c r="Z12" i="9" s="1"/>
  <c r="W12" i="9" s="1"/>
  <c r="AY10" i="8"/>
  <c r="BC10" i="8"/>
  <c r="BD10" i="8"/>
  <c r="BB10" i="8"/>
  <c r="BR10" i="9" l="1"/>
  <c r="BO10" i="9" s="1"/>
  <c r="CA10" i="9"/>
  <c r="CA10" i="49"/>
  <c r="BZ10" i="9"/>
  <c r="BZ10" i="49"/>
  <c r="AL10" i="8"/>
  <c r="AQ10" i="8"/>
  <c r="T10" i="8"/>
  <c r="AO10" i="8"/>
  <c r="AP10" i="8"/>
  <c r="U10" i="8" l="1"/>
  <c r="Z11" i="9" s="1"/>
  <c r="W11" i="9" s="1"/>
  <c r="AR10" i="8"/>
  <c r="BR26" i="9" s="1"/>
  <c r="BO26" i="9" s="1"/>
  <c r="D10" i="8"/>
  <c r="C10" i="8"/>
  <c r="AY9" i="8"/>
  <c r="BD9" i="8"/>
  <c r="BB9" i="8"/>
  <c r="BC9" i="8"/>
  <c r="E10" i="8" l="1"/>
  <c r="BR9" i="9"/>
  <c r="BO9" i="9" s="1"/>
  <c r="CA9" i="9"/>
  <c r="CA9" i="49"/>
  <c r="BZ9" i="9"/>
  <c r="BZ9" i="49"/>
  <c r="AL9" i="8"/>
  <c r="T9" i="8"/>
  <c r="AO9" i="8"/>
  <c r="AQ9" i="8"/>
  <c r="AP9" i="8"/>
  <c r="U9" i="8" l="1"/>
  <c r="Z10" i="9" s="1"/>
  <c r="AR9" i="8"/>
  <c r="BR25" i="9" s="1"/>
  <c r="BO25" i="9" s="1"/>
  <c r="D9" i="8"/>
  <c r="C9" i="8"/>
  <c r="E9" i="8" l="1"/>
  <c r="W10" i="9"/>
  <c r="O16" i="9"/>
  <c r="AY8" i="8"/>
  <c r="BB8" i="8"/>
  <c r="BC8" i="8"/>
  <c r="BD8" i="8"/>
  <c r="BR8" i="9" l="1"/>
  <c r="BO8" i="9" s="1"/>
  <c r="CA8" i="9"/>
  <c r="CA8" i="49"/>
  <c r="BZ8" i="9"/>
  <c r="BZ8" i="49"/>
  <c r="O17" i="9"/>
  <c r="L17" i="9" s="1"/>
  <c r="L16" i="9"/>
  <c r="AL8" i="8"/>
  <c r="AQ8" i="8"/>
  <c r="T8" i="8"/>
  <c r="AO8" i="8"/>
  <c r="AP8" i="8"/>
  <c r="U8" i="8" l="1"/>
  <c r="Z9" i="9" s="1"/>
  <c r="AR8" i="8"/>
  <c r="BR24" i="9" s="1"/>
  <c r="BO24" i="9" s="1"/>
  <c r="C8" i="8"/>
  <c r="O12" i="9" l="1"/>
  <c r="L12" i="9" s="1"/>
  <c r="W9" i="9"/>
  <c r="O13" i="9"/>
  <c r="AY7" i="8"/>
  <c r="BC7" i="8"/>
  <c r="BD7" i="8"/>
  <c r="BB7" i="8"/>
  <c r="BR7" i="9" l="1"/>
  <c r="BP7" i="9" s="1"/>
  <c r="CA7" i="9"/>
  <c r="CA7" i="49"/>
  <c r="BZ7" i="9"/>
  <c r="BZ7" i="49"/>
  <c r="L13" i="9"/>
  <c r="O15" i="9"/>
  <c r="L15" i="9" s="1"/>
  <c r="O14" i="9"/>
  <c r="L14" i="9" s="1"/>
  <c r="AL7" i="8"/>
  <c r="AP7" i="8"/>
  <c r="AQ7" i="8"/>
  <c r="T7" i="8"/>
  <c r="AO7" i="8"/>
  <c r="D8" i="8" l="1"/>
  <c r="E8" i="8" s="1"/>
  <c r="U7" i="8"/>
  <c r="D12" i="8"/>
  <c r="AR7" i="8"/>
  <c r="BR23" i="9" s="1"/>
  <c r="BO23" i="9" s="1"/>
  <c r="C12" i="8"/>
  <c r="D7" i="8"/>
  <c r="C7" i="8"/>
  <c r="AL3" i="8"/>
  <c r="AB3" i="8"/>
  <c r="W3" i="8"/>
  <c r="O3" i="8"/>
  <c r="AY57" i="10"/>
  <c r="AY56" i="10"/>
  <c r="AY55" i="10"/>
  <c r="AY54" i="10"/>
  <c r="AY53" i="10"/>
  <c r="AY52" i="10"/>
  <c r="AY51" i="10"/>
  <c r="AY50" i="10"/>
  <c r="AY49" i="10"/>
  <c r="AY48" i="10"/>
  <c r="AQ48" i="10"/>
  <c r="AI48" i="10"/>
  <c r="AD48" i="10"/>
  <c r="Y48" i="10"/>
  <c r="AY47" i="10"/>
  <c r="AQ47" i="10"/>
  <c r="AI47" i="10"/>
  <c r="AD47" i="10"/>
  <c r="Y47" i="10"/>
  <c r="AQ46" i="10"/>
  <c r="AI46" i="10"/>
  <c r="AD46" i="10"/>
  <c r="Y46" i="10"/>
  <c r="AQ45" i="10"/>
  <c r="AI45" i="10"/>
  <c r="AD45" i="10"/>
  <c r="Y45" i="10"/>
  <c r="AQ44" i="10"/>
  <c r="AI44" i="10"/>
  <c r="AD44" i="10"/>
  <c r="Y44" i="10"/>
  <c r="AQ43" i="10"/>
  <c r="AI43" i="10"/>
  <c r="AD43" i="10"/>
  <c r="Y43" i="10"/>
  <c r="AQ42" i="10"/>
  <c r="AI42" i="10"/>
  <c r="AD42" i="10"/>
  <c r="Y42" i="10"/>
  <c r="AQ41" i="10"/>
  <c r="AI41" i="10"/>
  <c r="AD41" i="10"/>
  <c r="Y41" i="10"/>
  <c r="AQ40" i="10"/>
  <c r="AI40" i="10"/>
  <c r="AD40" i="10"/>
  <c r="Y40" i="10"/>
  <c r="AY39" i="10"/>
  <c r="AQ39" i="10"/>
  <c r="AI39" i="10"/>
  <c r="AD39" i="10"/>
  <c r="Y39" i="10"/>
  <c r="AY38" i="10"/>
  <c r="AQ38" i="10"/>
  <c r="AI38" i="10"/>
  <c r="AD38" i="10"/>
  <c r="Y38" i="10"/>
  <c r="BO45" i="9"/>
  <c r="E7" i="8" l="1"/>
  <c r="E12" i="8"/>
  <c r="B4" i="8"/>
  <c r="Z8" i="9"/>
  <c r="Z7" i="9"/>
  <c r="AT37" i="10"/>
  <c r="AI37" i="10"/>
  <c r="AD37" i="10"/>
  <c r="Y37" i="10"/>
  <c r="AW37" i="10"/>
  <c r="AX37" i="10"/>
  <c r="AY37" i="10"/>
  <c r="E4" i="8" l="1"/>
  <c r="AZ37" i="10"/>
  <c r="BR28" i="30" s="1"/>
  <c r="O7" i="9"/>
  <c r="W7" i="9"/>
  <c r="O11" i="9"/>
  <c r="L11" i="9" s="1"/>
  <c r="W8" i="9"/>
  <c r="AT36" i="10"/>
  <c r="AI36" i="10"/>
  <c r="AD36" i="10"/>
  <c r="Y36" i="10"/>
  <c r="W45" i="9"/>
  <c r="AW36" i="10"/>
  <c r="AX36" i="10"/>
  <c r="AY36" i="10"/>
  <c r="BO28" i="30" l="1"/>
  <c r="BR29" i="30"/>
  <c r="BO29" i="30" s="1"/>
  <c r="O8" i="9"/>
  <c r="L7" i="9"/>
  <c r="AT35" i="10"/>
  <c r="AI35" i="10"/>
  <c r="AD35" i="10"/>
  <c r="Y35" i="10"/>
  <c r="AW35" i="10"/>
  <c r="AX35" i="10"/>
  <c r="AY35" i="10"/>
  <c r="AZ35" i="10" l="1"/>
  <c r="L8" i="9"/>
  <c r="O9" i="9"/>
  <c r="AT34" i="10"/>
  <c r="AI34" i="10"/>
  <c r="AD34" i="10"/>
  <c r="Y34" i="10"/>
  <c r="AX34" i="10"/>
  <c r="AW34" i="10"/>
  <c r="AY34" i="10"/>
  <c r="AZ34" i="10" l="1"/>
  <c r="BR25" i="30" s="1"/>
  <c r="BO25" i="30" s="1"/>
  <c r="L9" i="9"/>
  <c r="O10" i="9"/>
  <c r="L10" i="9" s="1"/>
  <c r="BR26" i="30"/>
  <c r="BO26" i="30" s="1"/>
  <c r="AZ36" i="10"/>
  <c r="BR27" i="30" s="1"/>
  <c r="BO27" i="30" s="1"/>
  <c r="AT33" i="10"/>
  <c r="AI33" i="10"/>
  <c r="AD33" i="10"/>
  <c r="Y33" i="10"/>
  <c r="AX33" i="10"/>
  <c r="L45" i="9"/>
  <c r="AW33" i="10"/>
  <c r="AY33" i="10"/>
  <c r="L54" i="9" a="1"/>
  <c r="L56" i="9" l="1"/>
  <c r="L57" i="9"/>
  <c r="L55" i="9"/>
  <c r="L54" i="9"/>
  <c r="AZ33" i="10"/>
  <c r="BR24" i="30" s="1"/>
  <c r="BO24" i="30" s="1"/>
  <c r="AT32" i="10"/>
  <c r="AI32" i="10"/>
  <c r="AD32" i="10"/>
  <c r="Y32" i="10"/>
  <c r="AY32" i="10"/>
  <c r="AM7" i="37"/>
  <c r="AW32" i="10"/>
  <c r="AX32" i="10"/>
  <c r="AZ32" i="10" l="1"/>
  <c r="BR23" i="30" s="1"/>
  <c r="BO23" i="30" s="1"/>
  <c r="AT31" i="10"/>
  <c r="AI31" i="10"/>
  <c r="AD31" i="10"/>
  <c r="Y31" i="10"/>
  <c r="W54" i="9" a="1"/>
  <c r="AY31" i="10"/>
  <c r="AW31" i="10"/>
  <c r="AX31" i="10"/>
  <c r="AZ31" i="10" l="1"/>
  <c r="BR22" i="30" s="1"/>
  <c r="BO22" i="30" s="1"/>
  <c r="W56" i="9"/>
  <c r="W57" i="9"/>
  <c r="W55" i="9"/>
  <c r="W54" i="9"/>
  <c r="AT30" i="10"/>
  <c r="AI30" i="10"/>
  <c r="AD30" i="10"/>
  <c r="Y30" i="10"/>
  <c r="AY30" i="10"/>
  <c r="AM9" i="37"/>
  <c r="AW30" i="10"/>
  <c r="AX30" i="10"/>
  <c r="AZ30" i="10" l="1"/>
  <c r="BR21" i="30" s="1"/>
  <c r="BO21" i="30" s="1"/>
  <c r="AT29" i="10"/>
  <c r="AI29" i="10"/>
  <c r="AD29" i="10"/>
  <c r="Y29" i="10"/>
  <c r="AH54" i="9" a="1"/>
  <c r="AY29" i="10"/>
  <c r="AW29" i="10"/>
  <c r="AX29" i="10"/>
  <c r="AZ29" i="10" l="1"/>
  <c r="BR20" i="30" s="1"/>
  <c r="BO20" i="30" s="1"/>
  <c r="AH56" i="9"/>
  <c r="AH57" i="9"/>
  <c r="AH55" i="9"/>
  <c r="AH54" i="9"/>
  <c r="AT28" i="10"/>
  <c r="AI28" i="10"/>
  <c r="AD28" i="10"/>
  <c r="Y28" i="10"/>
  <c r="AM10" i="37"/>
  <c r="AY28" i="10"/>
  <c r="AW28" i="10"/>
  <c r="AX28" i="10"/>
  <c r="AZ28" i="10" l="1"/>
  <c r="BR19" i="30" s="1"/>
  <c r="BO19" i="30" s="1"/>
  <c r="AT27" i="10"/>
  <c r="AI27" i="10"/>
  <c r="AD27" i="10"/>
  <c r="Y27" i="10"/>
  <c r="AY27" i="10"/>
  <c r="AW27" i="10"/>
  <c r="AX27" i="10"/>
  <c r="AZ27" i="10" l="1"/>
  <c r="BR18" i="30" s="1"/>
  <c r="BO18" i="30" s="1"/>
  <c r="AT26" i="10"/>
  <c r="AI26" i="10"/>
  <c r="AD26" i="10"/>
  <c r="Y26" i="10"/>
  <c r="AI25" i="10"/>
  <c r="AD25" i="10"/>
  <c r="Y25" i="10"/>
  <c r="AW26" i="10"/>
  <c r="AX26" i="10"/>
  <c r="AY26" i="10"/>
  <c r="AZ26" i="10" l="1"/>
  <c r="BR17" i="30" s="1"/>
  <c r="BO17" i="30" s="1"/>
  <c r="AT24" i="10"/>
  <c r="AI24" i="10"/>
  <c r="AD24" i="10"/>
  <c r="Y24" i="10"/>
  <c r="AW24" i="10"/>
  <c r="AX24" i="10"/>
  <c r="AY24" i="10"/>
  <c r="AZ24" i="10" l="1"/>
  <c r="CA22" i="30"/>
  <c r="BZ22" i="30"/>
  <c r="G24" i="10"/>
  <c r="K24" i="10"/>
  <c r="J24" i="10"/>
  <c r="L24" i="10"/>
  <c r="M24" i="10" l="1"/>
  <c r="O24" i="30" s="1"/>
  <c r="L24" i="30" s="1"/>
  <c r="AT23" i="10"/>
  <c r="AI23" i="10"/>
  <c r="AD23" i="10"/>
  <c r="Y23" i="10"/>
  <c r="AX23" i="10"/>
  <c r="AW23" i="10"/>
  <c r="AY23" i="10"/>
  <c r="AZ23" i="10" l="1"/>
  <c r="CA21" i="30"/>
  <c r="BZ21" i="30"/>
  <c r="G23" i="10"/>
  <c r="L23" i="10"/>
  <c r="K23" i="10"/>
  <c r="J23" i="10"/>
  <c r="M23" i="10" l="1"/>
  <c r="O23" i="30" s="1"/>
  <c r="L23" i="30" s="1"/>
  <c r="AT22" i="10"/>
  <c r="AI22" i="10"/>
  <c r="AD22" i="10"/>
  <c r="Y22" i="10"/>
  <c r="AW22" i="10"/>
  <c r="AY22" i="10"/>
  <c r="AX22" i="10"/>
  <c r="AZ22" i="10" l="1"/>
  <c r="CA20" i="30"/>
  <c r="BZ20" i="30"/>
  <c r="G22" i="10"/>
  <c r="J22" i="10"/>
  <c r="K22" i="10"/>
  <c r="L22" i="10"/>
  <c r="M22" i="10" l="1"/>
  <c r="O22" i="30" s="1"/>
  <c r="L22" i="30" s="1"/>
  <c r="AT21" i="10"/>
  <c r="AI21" i="10"/>
  <c r="AD21" i="10"/>
  <c r="Y21" i="10"/>
  <c r="AX21" i="10"/>
  <c r="AY21" i="10"/>
  <c r="AW21" i="10"/>
  <c r="AZ21" i="10" l="1"/>
  <c r="CA19" i="30"/>
  <c r="BZ19" i="30"/>
  <c r="G21" i="10"/>
  <c r="L21" i="10"/>
  <c r="K21" i="10"/>
  <c r="J21" i="10"/>
  <c r="M21" i="10" l="1"/>
  <c r="O21" i="30" s="1"/>
  <c r="L21" i="30" s="1"/>
  <c r="AT20" i="10"/>
  <c r="AI20" i="10"/>
  <c r="AD20" i="10"/>
  <c r="Y20" i="10"/>
  <c r="AW20" i="10"/>
  <c r="AX20" i="10"/>
  <c r="AY20" i="10"/>
  <c r="AZ20" i="10" l="1"/>
  <c r="CA18" i="30"/>
  <c r="BZ18" i="30"/>
  <c r="O20" i="10"/>
  <c r="R20" i="10"/>
  <c r="S20" i="10"/>
  <c r="T20" i="10"/>
  <c r="U20" i="10" l="1"/>
  <c r="Z21" i="30" s="1"/>
  <c r="W21" i="30" s="1"/>
  <c r="G20" i="10"/>
  <c r="L20" i="10"/>
  <c r="J20" i="10"/>
  <c r="K20" i="10"/>
  <c r="M20" i="10" l="1"/>
  <c r="O20" i="30" s="1"/>
  <c r="L20" i="30" s="1"/>
  <c r="AT19" i="10"/>
  <c r="AI19" i="10"/>
  <c r="AD19" i="10"/>
  <c r="Y19" i="10"/>
  <c r="AX19" i="10"/>
  <c r="AW19" i="10"/>
  <c r="AY19" i="10"/>
  <c r="AZ19" i="10" l="1"/>
  <c r="CA17" i="30"/>
  <c r="BZ17" i="30"/>
  <c r="O19" i="10"/>
  <c r="T19" i="10"/>
  <c r="R19" i="10"/>
  <c r="S19" i="10"/>
  <c r="U19" i="10" l="1"/>
  <c r="Z20" i="30" s="1"/>
  <c r="W20" i="30" s="1"/>
  <c r="G19" i="10"/>
  <c r="K19" i="10"/>
  <c r="J19" i="10"/>
  <c r="L19" i="10"/>
  <c r="M19" i="10" l="1"/>
  <c r="O19" i="30" s="1"/>
  <c r="L19" i="30" s="1"/>
  <c r="AT18" i="10"/>
  <c r="AI18" i="10"/>
  <c r="AD18" i="10"/>
  <c r="Y18" i="10"/>
  <c r="AX18" i="10"/>
  <c r="AW18" i="10"/>
  <c r="AY18" i="10"/>
  <c r="AZ18" i="10" l="1"/>
  <c r="BR16" i="30" s="1"/>
  <c r="BO16" i="30" s="1"/>
  <c r="CA16" i="30"/>
  <c r="BZ16" i="30"/>
  <c r="O18" i="10"/>
  <c r="S18" i="10"/>
  <c r="R18" i="10"/>
  <c r="T18" i="10"/>
  <c r="U18" i="10" l="1"/>
  <c r="Z19" i="30" s="1"/>
  <c r="W19" i="30" s="1"/>
  <c r="G18" i="10"/>
  <c r="J18" i="10"/>
  <c r="L18" i="10"/>
  <c r="K18" i="10"/>
  <c r="M18" i="10" l="1"/>
  <c r="O18" i="30" s="1"/>
  <c r="L18" i="30" s="1"/>
  <c r="AT17" i="10"/>
  <c r="AQ17" i="10"/>
  <c r="AP17" i="10"/>
  <c r="AO17" i="10"/>
  <c r="AI17" i="10"/>
  <c r="AD17" i="10"/>
  <c r="Y17" i="10"/>
  <c r="AW17" i="10"/>
  <c r="AX17" i="10"/>
  <c r="AY17" i="10"/>
  <c r="AZ17" i="10" l="1"/>
  <c r="BR15" i="30" s="1"/>
  <c r="BO15" i="30" s="1"/>
  <c r="CA15" i="30"/>
  <c r="BZ15" i="30"/>
  <c r="O17" i="10"/>
  <c r="S17" i="10"/>
  <c r="R17" i="10"/>
  <c r="T17" i="10"/>
  <c r="U17" i="10" l="1"/>
  <c r="Z18" i="30" s="1"/>
  <c r="W18" i="30" s="1"/>
  <c r="G17" i="10"/>
  <c r="J17" i="10"/>
  <c r="K17" i="10"/>
  <c r="L17" i="10"/>
  <c r="M17" i="10" l="1"/>
  <c r="O17" i="30" s="1"/>
  <c r="L17" i="30" s="1"/>
  <c r="AT16" i="10"/>
  <c r="AX16" i="10"/>
  <c r="AW16" i="10"/>
  <c r="AY16" i="10"/>
  <c r="AZ16" i="10" l="1"/>
  <c r="AL16" i="10"/>
  <c r="AI16" i="10"/>
  <c r="AD16" i="10"/>
  <c r="Y16" i="10"/>
  <c r="AO16" i="10"/>
  <c r="AP16" i="10"/>
  <c r="AQ16" i="10"/>
  <c r="AR16" i="10" l="1"/>
  <c r="O16" i="10"/>
  <c r="R16" i="10"/>
  <c r="S16" i="10"/>
  <c r="T16" i="10"/>
  <c r="U16" i="10" l="1"/>
  <c r="Z17" i="30" s="1"/>
  <c r="W17" i="30" s="1"/>
  <c r="G16" i="10"/>
  <c r="L16" i="10"/>
  <c r="J16" i="10"/>
  <c r="K16" i="10"/>
  <c r="M16" i="10" l="1"/>
  <c r="O16" i="30" s="1"/>
  <c r="L16" i="30" s="1"/>
  <c r="AT15" i="10"/>
  <c r="AX15" i="10"/>
  <c r="AW15" i="10"/>
  <c r="AY15" i="10"/>
  <c r="AZ15" i="10" l="1"/>
  <c r="AL15" i="10"/>
  <c r="AI15" i="10"/>
  <c r="AD15" i="10"/>
  <c r="Y15" i="10"/>
  <c r="AO15" i="10"/>
  <c r="AP15" i="10"/>
  <c r="AQ15" i="10"/>
  <c r="AR15" i="10" l="1"/>
  <c r="O15" i="10"/>
  <c r="R15" i="10"/>
  <c r="S15" i="10"/>
  <c r="T15" i="10"/>
  <c r="U15" i="10" l="1"/>
  <c r="Z16" i="30" s="1"/>
  <c r="W16" i="30" s="1"/>
  <c r="G15" i="10"/>
  <c r="J15" i="10"/>
  <c r="K15" i="10"/>
  <c r="L15" i="10"/>
  <c r="M15" i="10" l="1"/>
  <c r="O15" i="30" s="1"/>
  <c r="L15" i="30" s="1"/>
  <c r="AT14" i="10"/>
  <c r="AW14" i="10"/>
  <c r="AX14" i="10"/>
  <c r="AY14" i="10"/>
  <c r="AZ14" i="10" l="1"/>
  <c r="BR14" i="30" s="1"/>
  <c r="BO14" i="30" s="1"/>
  <c r="CA14" i="30"/>
  <c r="BZ14" i="30"/>
  <c r="AL14" i="10"/>
  <c r="AI14" i="10"/>
  <c r="AD14" i="10"/>
  <c r="Y14" i="10"/>
  <c r="AQ14" i="10"/>
  <c r="AP14" i="10"/>
  <c r="AO14" i="10"/>
  <c r="AR14" i="10" l="1"/>
  <c r="O14" i="10"/>
  <c r="R14" i="10"/>
  <c r="S14" i="10"/>
  <c r="T14" i="10"/>
  <c r="U14" i="10" l="1"/>
  <c r="Z15" i="30" s="1"/>
  <c r="W15" i="30" s="1"/>
  <c r="G14" i="10"/>
  <c r="L14" i="10"/>
  <c r="K14" i="10"/>
  <c r="J14" i="10"/>
  <c r="M14" i="10" l="1"/>
  <c r="O14" i="30" s="1"/>
  <c r="L14" i="30" s="1"/>
  <c r="AT13" i="10"/>
  <c r="AY13" i="10"/>
  <c r="AX13" i="10"/>
  <c r="AW13" i="10"/>
  <c r="AZ13" i="10" l="1"/>
  <c r="BR13" i="30" s="1"/>
  <c r="BO13" i="30" s="1"/>
  <c r="CA13" i="30"/>
  <c r="BZ13" i="30"/>
  <c r="AL13" i="10"/>
  <c r="AI13" i="10"/>
  <c r="AD13" i="10"/>
  <c r="Y13" i="10"/>
  <c r="AO13" i="10"/>
  <c r="AQ13" i="10"/>
  <c r="AP13" i="10"/>
  <c r="AR13" i="10" l="1"/>
  <c r="O13" i="10"/>
  <c r="S13" i="10"/>
  <c r="R13" i="10"/>
  <c r="T13" i="10"/>
  <c r="U13" i="10" l="1"/>
  <c r="Z14" i="30" s="1"/>
  <c r="W14" i="30" s="1"/>
  <c r="G13" i="10"/>
  <c r="K13" i="10"/>
  <c r="J13" i="10"/>
  <c r="L13" i="10"/>
  <c r="M13" i="10" l="1"/>
  <c r="O13" i="30" s="1"/>
  <c r="L13" i="30" s="1"/>
  <c r="AT12" i="10"/>
  <c r="AW12" i="10"/>
  <c r="AY12" i="10"/>
  <c r="AX12" i="10"/>
  <c r="AZ12" i="10" l="1"/>
  <c r="BR12" i="30" s="1"/>
  <c r="BO12" i="30" s="1"/>
  <c r="CA12" i="30"/>
  <c r="BZ12" i="30"/>
  <c r="AL12" i="10"/>
  <c r="AI12" i="10"/>
  <c r="AD12" i="10"/>
  <c r="Y12" i="10"/>
  <c r="AQ12" i="10"/>
  <c r="AP12" i="10"/>
  <c r="AO12" i="10"/>
  <c r="AR12" i="10" l="1"/>
  <c r="O12" i="10"/>
  <c r="R12" i="10"/>
  <c r="S12" i="10"/>
  <c r="T12" i="10"/>
  <c r="U12" i="10" l="1"/>
  <c r="Z13" i="30" s="1"/>
  <c r="W13" i="30" s="1"/>
  <c r="G12" i="10"/>
  <c r="C12" i="10"/>
  <c r="J12" i="10"/>
  <c r="L12" i="10"/>
  <c r="K12" i="10"/>
  <c r="M12" i="10" l="1"/>
  <c r="O12" i="30" s="1"/>
  <c r="L12" i="30" s="1"/>
  <c r="AT11" i="10"/>
  <c r="AY11" i="10"/>
  <c r="AW11" i="10"/>
  <c r="AX11" i="10"/>
  <c r="AZ11" i="10" l="1"/>
  <c r="BR11" i="30" s="1"/>
  <c r="BO11" i="30" s="1"/>
  <c r="CA11" i="30"/>
  <c r="BZ11" i="30"/>
  <c r="AL11" i="10"/>
  <c r="AI11" i="10"/>
  <c r="AD11" i="10"/>
  <c r="Y11" i="10"/>
  <c r="AP11" i="10"/>
  <c r="AQ11" i="10"/>
  <c r="AO11" i="10"/>
  <c r="AR11" i="10" l="1"/>
  <c r="O11" i="10"/>
  <c r="R11" i="10"/>
  <c r="S11" i="10"/>
  <c r="T11" i="10"/>
  <c r="U11" i="10" l="1"/>
  <c r="Z12" i="30" s="1"/>
  <c r="W12" i="30" s="1"/>
  <c r="G11" i="10"/>
  <c r="C11" i="10"/>
  <c r="L11" i="10"/>
  <c r="J11" i="10"/>
  <c r="K11" i="10"/>
  <c r="M11" i="10" l="1"/>
  <c r="O11" i="30" s="1"/>
  <c r="L11" i="30" s="1"/>
  <c r="AT10" i="10"/>
  <c r="AY10" i="10"/>
  <c r="AW10" i="10"/>
  <c r="AX10" i="10"/>
  <c r="AZ10" i="10" l="1"/>
  <c r="BR10" i="30" s="1"/>
  <c r="BO10" i="30" s="1"/>
  <c r="CA10" i="30"/>
  <c r="BZ10" i="30"/>
  <c r="AL10" i="10"/>
  <c r="AI10" i="10"/>
  <c r="AD10" i="10"/>
  <c r="Y10" i="10"/>
  <c r="AP10" i="10"/>
  <c r="AO10" i="10"/>
  <c r="AQ10" i="10"/>
  <c r="AR10" i="10" l="1"/>
  <c r="O10" i="10"/>
  <c r="T10" i="10"/>
  <c r="U10" i="10" l="1"/>
  <c r="Z11" i="30" s="1"/>
  <c r="W11" i="30" s="1"/>
  <c r="G10" i="10"/>
  <c r="C10" i="10"/>
  <c r="J10" i="10"/>
  <c r="K10" i="10"/>
  <c r="L10" i="10"/>
  <c r="M10" i="10" l="1"/>
  <c r="O10" i="30" s="1"/>
  <c r="L10" i="30" s="1"/>
  <c r="AT9" i="10"/>
  <c r="AW9" i="10"/>
  <c r="AY9" i="10"/>
  <c r="AX9" i="10"/>
  <c r="AZ9" i="10" l="1"/>
  <c r="BR9" i="30" s="1"/>
  <c r="BO9" i="30" s="1"/>
  <c r="CA9" i="30"/>
  <c r="BZ9" i="30"/>
  <c r="AL9" i="10"/>
  <c r="AI9" i="10"/>
  <c r="AD9" i="10"/>
  <c r="Y9" i="10"/>
  <c r="AP9" i="10"/>
  <c r="AQ9" i="10"/>
  <c r="AO9" i="10"/>
  <c r="AR9" i="10" l="1"/>
  <c r="O9" i="10"/>
  <c r="T9" i="10"/>
  <c r="U9" i="10" l="1"/>
  <c r="Z10" i="30" s="1"/>
  <c r="W10" i="30" s="1"/>
  <c r="G9" i="10"/>
  <c r="D9" i="10"/>
  <c r="C9" i="10"/>
  <c r="K9" i="10"/>
  <c r="L9" i="10"/>
  <c r="J9" i="10"/>
  <c r="E9" i="10" l="1"/>
  <c r="M9" i="10"/>
  <c r="O9" i="30" s="1"/>
  <c r="L9" i="30" s="1"/>
  <c r="AT8" i="10"/>
  <c r="AW8" i="10"/>
  <c r="AX8" i="10"/>
  <c r="AY8" i="10"/>
  <c r="AZ8" i="10" l="1"/>
  <c r="BR8" i="30" s="1"/>
  <c r="BO8" i="30" s="1"/>
  <c r="CA8" i="30"/>
  <c r="BZ8" i="30"/>
  <c r="AL8" i="10"/>
  <c r="AI8" i="10"/>
  <c r="AD8" i="10"/>
  <c r="Y8" i="10"/>
  <c r="AO8" i="10"/>
  <c r="AP8" i="10"/>
  <c r="AQ8" i="10"/>
  <c r="BO45" i="30"/>
  <c r="AR8" i="10" l="1"/>
  <c r="O8" i="10"/>
  <c r="T8" i="10"/>
  <c r="U8" i="10" l="1"/>
  <c r="Z9" i="30" s="1"/>
  <c r="W9" i="30" s="1"/>
  <c r="G8" i="10"/>
  <c r="J8" i="10"/>
  <c r="AW7" i="10"/>
  <c r="K8" i="10"/>
  <c r="AX7" i="10"/>
  <c r="L8" i="10"/>
  <c r="BZ7" i="30" l="1"/>
  <c r="CA7" i="30"/>
  <c r="M8" i="10"/>
  <c r="O8" i="30" s="1"/>
  <c r="L8" i="30" s="1"/>
  <c r="AL7" i="10"/>
  <c r="AI7" i="10"/>
  <c r="D12" i="10" s="1"/>
  <c r="E12" i="10" s="1"/>
  <c r="AD7" i="10"/>
  <c r="D11" i="10" s="1"/>
  <c r="E11" i="10" s="1"/>
  <c r="Y7" i="10"/>
  <c r="D10" i="10" s="1"/>
  <c r="E10" i="10" s="1"/>
  <c r="AP7" i="10"/>
  <c r="AO7" i="10"/>
  <c r="AQ7" i="10"/>
  <c r="AR7" i="10" l="1"/>
  <c r="O7" i="10"/>
  <c r="K7" i="10"/>
  <c r="T7" i="10"/>
  <c r="L7" i="10"/>
  <c r="J7" i="10"/>
  <c r="M7" i="10" l="1"/>
  <c r="O7" i="30" s="1"/>
  <c r="L7" i="30" s="1"/>
  <c r="D8" i="10"/>
  <c r="U7" i="10"/>
  <c r="C8" i="10"/>
  <c r="D7" i="10"/>
  <c r="C7" i="10"/>
  <c r="AT3" i="10"/>
  <c r="AL3" i="10"/>
  <c r="AG3" i="10"/>
  <c r="AB3" i="10"/>
  <c r="W3" i="10"/>
  <c r="O3" i="10"/>
  <c r="AY53" i="19"/>
  <c r="AD53" i="19"/>
  <c r="AY52" i="19"/>
  <c r="AD52" i="19"/>
  <c r="AY51" i="19"/>
  <c r="AD51" i="19"/>
  <c r="AY50" i="19"/>
  <c r="AD50" i="19"/>
  <c r="AY49" i="19"/>
  <c r="AD49" i="19"/>
  <c r="AY48" i="19"/>
  <c r="AQ48" i="19"/>
  <c r="AI48" i="19"/>
  <c r="AD48" i="19"/>
  <c r="AY47" i="19"/>
  <c r="AQ47" i="19"/>
  <c r="AI47" i="19"/>
  <c r="AD47" i="19"/>
  <c r="AY46" i="19"/>
  <c r="AQ46" i="19"/>
  <c r="AI46" i="19"/>
  <c r="AD46" i="19"/>
  <c r="AY45" i="19"/>
  <c r="AQ45" i="19"/>
  <c r="AI45" i="19"/>
  <c r="AD45" i="19"/>
  <c r="AY44" i="19"/>
  <c r="AQ44" i="19"/>
  <c r="AI44" i="19"/>
  <c r="AD44" i="19"/>
  <c r="AY43" i="19"/>
  <c r="AQ43" i="19"/>
  <c r="AI43" i="19"/>
  <c r="AD43" i="19"/>
  <c r="AQ42" i="19"/>
  <c r="AI42" i="19"/>
  <c r="AD42" i="19"/>
  <c r="AQ41" i="19"/>
  <c r="AI41" i="19"/>
  <c r="AD41" i="19"/>
  <c r="AQ40" i="19"/>
  <c r="AI40" i="19"/>
  <c r="AD40" i="19"/>
  <c r="AQ39" i="19"/>
  <c r="AI39" i="19"/>
  <c r="AD39" i="19"/>
  <c r="AQ38" i="19"/>
  <c r="AI38" i="19"/>
  <c r="AD38" i="19"/>
  <c r="AI37" i="19"/>
  <c r="AD37" i="19"/>
  <c r="L45" i="30"/>
  <c r="L54" i="30" s="1" a="1"/>
  <c r="B4" i="10" l="1"/>
  <c r="E8" i="10"/>
  <c r="L56" i="30"/>
  <c r="L57" i="30"/>
  <c r="L54" i="30"/>
  <c r="L55" i="30"/>
  <c r="E7" i="10"/>
  <c r="Z8" i="30"/>
  <c r="W8" i="30" s="1"/>
  <c r="Z7" i="30"/>
  <c r="W7" i="30" s="1"/>
  <c r="AT36" i="19"/>
  <c r="AI36" i="19"/>
  <c r="AD36" i="19"/>
  <c r="AY36" i="19"/>
  <c r="AW36" i="19"/>
  <c r="AK7" i="37"/>
  <c r="AX36" i="19"/>
  <c r="W45" i="30"/>
  <c r="E4" i="10" l="1"/>
  <c r="AZ36" i="19"/>
  <c r="AT35" i="19"/>
  <c r="AI35" i="19"/>
  <c r="AD35" i="19"/>
  <c r="W54" i="30" a="1"/>
  <c r="AY35" i="19"/>
  <c r="AW35" i="19"/>
  <c r="AX35" i="19"/>
  <c r="AZ35" i="19" l="1"/>
  <c r="W57" i="30"/>
  <c r="W56" i="30"/>
  <c r="W55" i="30"/>
  <c r="W54" i="30"/>
  <c r="AT34" i="19"/>
  <c r="AI34" i="19"/>
  <c r="AD34" i="19"/>
  <c r="AK9" i="37"/>
  <c r="AW34" i="19"/>
  <c r="AX34" i="19"/>
  <c r="AY34" i="19"/>
  <c r="AZ34" i="19" l="1"/>
  <c r="AT33" i="19"/>
  <c r="AI33" i="19"/>
  <c r="AD33" i="19"/>
  <c r="AH54" i="30" a="1"/>
  <c r="AW33" i="19"/>
  <c r="AY33" i="19"/>
  <c r="AX33" i="19"/>
  <c r="AZ33" i="19" l="1"/>
  <c r="AH57" i="30"/>
  <c r="AH56" i="30"/>
  <c r="AH55" i="30"/>
  <c r="AH54" i="30"/>
  <c r="AT32" i="19"/>
  <c r="AI32" i="19"/>
  <c r="AD32" i="19"/>
  <c r="AX32" i="19"/>
  <c r="AY32" i="19"/>
  <c r="AW32" i="19"/>
  <c r="AK10" i="37"/>
  <c r="AZ32" i="19" l="1"/>
  <c r="AT31" i="19"/>
  <c r="AI31" i="19"/>
  <c r="AD31" i="19"/>
  <c r="AY31" i="19"/>
  <c r="AW31" i="19"/>
  <c r="AX31" i="19"/>
  <c r="AZ31" i="19" l="1"/>
  <c r="AT30" i="19"/>
  <c r="AI30" i="19"/>
  <c r="AD30" i="19"/>
  <c r="AW30" i="19"/>
  <c r="AX30" i="19"/>
  <c r="AY30" i="19"/>
  <c r="AZ30" i="19" l="1"/>
  <c r="AT29" i="19"/>
  <c r="AI29" i="19"/>
  <c r="AD29" i="19"/>
  <c r="AW29" i="19"/>
  <c r="AX29" i="19"/>
  <c r="AY29" i="19"/>
  <c r="AZ29" i="19" l="1"/>
  <c r="AT28" i="19"/>
  <c r="AI28" i="19"/>
  <c r="AD28" i="19"/>
  <c r="AW28" i="19"/>
  <c r="AX28" i="19"/>
  <c r="AY28" i="19"/>
  <c r="AZ28" i="19" l="1"/>
  <c r="AT27" i="19"/>
  <c r="AI27" i="19"/>
  <c r="AD27" i="19"/>
  <c r="AY27" i="19"/>
  <c r="AX27" i="19"/>
  <c r="AW27" i="19"/>
  <c r="AZ27" i="19" l="1"/>
  <c r="AT26" i="19"/>
  <c r="AI26" i="19"/>
  <c r="AD26" i="19"/>
  <c r="AX26" i="19"/>
  <c r="AW26" i="19"/>
  <c r="AY26" i="19"/>
  <c r="AZ26" i="19" l="1"/>
  <c r="AT25" i="19"/>
  <c r="AI25" i="19"/>
  <c r="AD25" i="19"/>
  <c r="AW25" i="19"/>
  <c r="AY25" i="19"/>
  <c r="AX25" i="19"/>
  <c r="AZ25" i="19" l="1"/>
  <c r="AI24" i="19"/>
  <c r="AD24" i="19"/>
  <c r="O24" i="19"/>
  <c r="R24" i="19"/>
  <c r="N24" i="19"/>
  <c r="S24" i="19"/>
  <c r="T24" i="19"/>
  <c r="U24" i="19" l="1"/>
  <c r="Z24" i="36" s="1"/>
  <c r="L24" i="36" l="1"/>
  <c r="L25" i="36" s="1"/>
  <c r="L26" i="36" s="1"/>
  <c r="W24" i="36"/>
  <c r="AT23" i="19"/>
  <c r="AI23" i="19"/>
  <c r="AD23" i="19"/>
  <c r="AW23" i="19"/>
  <c r="AY23" i="19"/>
  <c r="AX23" i="19"/>
  <c r="AZ23" i="19" l="1"/>
  <c r="BO24" i="19" s="1"/>
  <c r="CA23" i="36"/>
  <c r="BZ23" i="36"/>
  <c r="O23" i="19"/>
  <c r="R23" i="19"/>
  <c r="S23" i="19"/>
  <c r="T23" i="19"/>
  <c r="N23" i="19"/>
  <c r="U23" i="19" l="1"/>
  <c r="Z23" i="36" s="1"/>
  <c r="L23" i="36" l="1"/>
  <c r="W23" i="36"/>
  <c r="AT22" i="19"/>
  <c r="AI22" i="19"/>
  <c r="AD22" i="19"/>
  <c r="AY22" i="19"/>
  <c r="AW22" i="19"/>
  <c r="AX22" i="19"/>
  <c r="AZ22" i="19" l="1"/>
  <c r="CA22" i="36"/>
  <c r="BZ22" i="36"/>
  <c r="O22" i="19"/>
  <c r="S22" i="19"/>
  <c r="T22" i="19"/>
  <c r="R22" i="19"/>
  <c r="N22" i="19"/>
  <c r="U22" i="19" l="1"/>
  <c r="Z22" i="36" s="1"/>
  <c r="BO22" i="19"/>
  <c r="W22" i="36" l="1"/>
  <c r="L22" i="36"/>
  <c r="AT21" i="19"/>
  <c r="AI21" i="19"/>
  <c r="AD21" i="19"/>
  <c r="AW21" i="19"/>
  <c r="AX21" i="19"/>
  <c r="AY21" i="19"/>
  <c r="AZ21" i="19" l="1"/>
  <c r="CA21" i="36"/>
  <c r="BZ21" i="36"/>
  <c r="O21" i="19"/>
  <c r="T21" i="19"/>
  <c r="S21" i="19"/>
  <c r="R21" i="19"/>
  <c r="N21" i="19"/>
  <c r="U21" i="19" l="1"/>
  <c r="Z21" i="36" s="1"/>
  <c r="BR21" i="36"/>
  <c r="BO21" i="36" s="1"/>
  <c r="BO23" i="19"/>
  <c r="W21" i="36" l="1"/>
  <c r="L21" i="36"/>
  <c r="AT20" i="19"/>
  <c r="AI20" i="19"/>
  <c r="AD20" i="19"/>
  <c r="AW20" i="19"/>
  <c r="AX20" i="19"/>
  <c r="AY20" i="19"/>
  <c r="AZ20" i="19" l="1"/>
  <c r="BR20" i="36" s="1"/>
  <c r="BO20" i="36" s="1"/>
  <c r="CA20" i="36"/>
  <c r="BZ20" i="36"/>
  <c r="O20" i="19"/>
  <c r="R20" i="19"/>
  <c r="S20" i="19"/>
  <c r="T20" i="19"/>
  <c r="N20" i="19"/>
  <c r="U20" i="19" l="1"/>
  <c r="Z20" i="36" s="1"/>
  <c r="W20" i="36" l="1"/>
  <c r="L20" i="36"/>
  <c r="AT19" i="19"/>
  <c r="AI19" i="19"/>
  <c r="AD19" i="19"/>
  <c r="AY19" i="19"/>
  <c r="AW19" i="19"/>
  <c r="BE19" i="19"/>
  <c r="AX19" i="19"/>
  <c r="AZ19" i="19" l="1"/>
  <c r="BR19" i="36" s="1"/>
  <c r="BO19" i="36" s="1"/>
  <c r="CA19" i="36"/>
  <c r="BZ19" i="36"/>
  <c r="O19" i="19"/>
  <c r="S19" i="19"/>
  <c r="R19" i="19"/>
  <c r="N19" i="19"/>
  <c r="T19" i="19"/>
  <c r="U19" i="19" l="1"/>
  <c r="Z19" i="36" s="1"/>
  <c r="W19" i="36" l="1"/>
  <c r="L19" i="36"/>
  <c r="BE18" i="19"/>
  <c r="BG19" i="19" l="1"/>
  <c r="AT18" i="19"/>
  <c r="AI18" i="19"/>
  <c r="AW18" i="19"/>
  <c r="AX18" i="19"/>
  <c r="AY18" i="19"/>
  <c r="AZ18" i="19" l="1"/>
  <c r="BR18" i="36" s="1"/>
  <c r="BO18" i="36" s="1"/>
  <c r="CA18" i="36"/>
  <c r="BZ18" i="36"/>
  <c r="AB18" i="19"/>
  <c r="AD18" i="19"/>
  <c r="AE18" i="19" l="1"/>
  <c r="AV18" i="36" s="1"/>
  <c r="AS18" i="36" s="1"/>
  <c r="O18" i="19"/>
  <c r="R18" i="19"/>
  <c r="S18" i="19"/>
  <c r="T18" i="19"/>
  <c r="N18" i="19"/>
  <c r="U18" i="19" l="1"/>
  <c r="Z18" i="36" s="1"/>
  <c r="L18" i="36" l="1"/>
  <c r="W18" i="36"/>
  <c r="BE17" i="19"/>
  <c r="BG18" i="19" l="1"/>
  <c r="AT17" i="19"/>
  <c r="AI17" i="19"/>
  <c r="AW17" i="19"/>
  <c r="AX17" i="19"/>
  <c r="AY17" i="19"/>
  <c r="AZ17" i="19" l="1"/>
  <c r="BR17" i="36" s="1"/>
  <c r="BO17" i="36" s="1"/>
  <c r="CA17" i="36"/>
  <c r="BZ17" i="36"/>
  <c r="AB17" i="19"/>
  <c r="AD17" i="19"/>
  <c r="AE17" i="19" l="1"/>
  <c r="AV17" i="36" s="1"/>
  <c r="AS17" i="36" s="1"/>
  <c r="W17" i="19"/>
  <c r="Y17" i="19"/>
  <c r="Z17" i="19" l="1"/>
  <c r="AK17" i="36" s="1"/>
  <c r="AH17" i="36" s="1"/>
  <c r="O17" i="19"/>
  <c r="R17" i="19"/>
  <c r="T17" i="19"/>
  <c r="N17" i="19"/>
  <c r="S17" i="19"/>
  <c r="U17" i="19" l="1"/>
  <c r="BF18" i="19"/>
  <c r="BF19" i="19"/>
  <c r="BF17" i="19"/>
  <c r="Z17" i="36" l="1"/>
  <c r="W17" i="36" l="1"/>
  <c r="L17" i="36"/>
  <c r="BE16" i="19"/>
  <c r="BF16" i="19"/>
  <c r="BG17" i="19" l="1"/>
  <c r="AT16" i="19"/>
  <c r="AI16" i="19"/>
  <c r="AW16" i="19"/>
  <c r="AX16" i="19"/>
  <c r="AY16" i="19"/>
  <c r="AZ16" i="19" l="1"/>
  <c r="BR16" i="36" s="1"/>
  <c r="BO16" i="36" s="1"/>
  <c r="CA16" i="36"/>
  <c r="BZ16" i="36"/>
  <c r="AB16" i="19"/>
  <c r="AD16" i="19"/>
  <c r="AE16" i="19" l="1"/>
  <c r="AV16" i="36" s="1"/>
  <c r="AS16" i="36" s="1"/>
  <c r="W16" i="19"/>
  <c r="Y16" i="19"/>
  <c r="Z16" i="19" l="1"/>
  <c r="AK16" i="36" s="1"/>
  <c r="AH16" i="36" s="1"/>
  <c r="O16" i="19"/>
  <c r="S16" i="19"/>
  <c r="R16" i="19"/>
  <c r="T16" i="19"/>
  <c r="U16" i="19" l="1"/>
  <c r="Z16" i="36" s="1"/>
  <c r="W16" i="36" l="1"/>
  <c r="L16" i="36"/>
  <c r="BE15" i="19"/>
  <c r="BF15" i="19" s="1"/>
  <c r="BG16" i="19" l="1"/>
  <c r="AT15" i="19"/>
  <c r="AX15" i="19"/>
  <c r="AW15" i="19"/>
  <c r="AY15" i="19"/>
  <c r="AZ15" i="19" l="1"/>
  <c r="BR15" i="36" s="1"/>
  <c r="BO15" i="36" s="1"/>
  <c r="CA15" i="36"/>
  <c r="BZ15" i="36"/>
  <c r="AG15" i="19"/>
  <c r="AB15" i="19"/>
  <c r="AI15" i="19"/>
  <c r="AD15" i="19"/>
  <c r="AE15" i="19" l="1"/>
  <c r="AV15" i="36" s="1"/>
  <c r="AS15" i="36" s="1"/>
  <c r="W15" i="19"/>
  <c r="Y15" i="19"/>
  <c r="Z15" i="19" l="1"/>
  <c r="AK15" i="36" s="1"/>
  <c r="AH15" i="36" s="1"/>
  <c r="O15" i="19"/>
  <c r="R15" i="19"/>
  <c r="S15" i="19"/>
  <c r="T15" i="19"/>
  <c r="U15" i="19" l="1"/>
  <c r="Z15" i="36" s="1"/>
  <c r="W15" i="36" l="1"/>
  <c r="L15" i="36"/>
  <c r="BE14" i="19"/>
  <c r="BF14" i="19"/>
  <c r="BG15" i="19" l="1"/>
  <c r="AT14" i="19"/>
  <c r="AW14" i="19"/>
  <c r="AY14" i="19"/>
  <c r="AX14" i="19"/>
  <c r="AZ14" i="19" l="1"/>
  <c r="BR14" i="36" s="1"/>
  <c r="BO14" i="36" s="1"/>
  <c r="CA14" i="36"/>
  <c r="BZ14" i="36"/>
  <c r="AG14" i="19"/>
  <c r="AB14" i="19"/>
  <c r="AD14" i="19"/>
  <c r="AI14" i="19"/>
  <c r="AE14" i="19" l="1"/>
  <c r="AV14" i="36" s="1"/>
  <c r="AS14" i="36" s="1"/>
  <c r="W14" i="19"/>
  <c r="Y14" i="19"/>
  <c r="Z14" i="19" l="1"/>
  <c r="AK14" i="36" s="1"/>
  <c r="AH14" i="36" s="1"/>
  <c r="O14" i="19"/>
  <c r="S14" i="19"/>
  <c r="R14" i="19"/>
  <c r="T14" i="19"/>
  <c r="U14" i="19" l="1"/>
  <c r="Z14" i="36" s="1"/>
  <c r="L14" i="36" l="1"/>
  <c r="W14" i="36"/>
  <c r="BE13" i="19"/>
  <c r="BF13" i="19"/>
  <c r="BG14" i="19" l="1"/>
  <c r="AT13" i="19"/>
  <c r="AW13" i="19"/>
  <c r="AY13" i="19"/>
  <c r="AX13" i="19"/>
  <c r="AZ13" i="19" l="1"/>
  <c r="BR13" i="36" s="1"/>
  <c r="BO13" i="36" s="1"/>
  <c r="CA13" i="36"/>
  <c r="BZ13" i="36"/>
  <c r="AL13" i="19"/>
  <c r="AP13" i="19"/>
  <c r="AO13" i="19"/>
  <c r="AQ13" i="19"/>
  <c r="AR13" i="19" l="1"/>
  <c r="AG13" i="19"/>
  <c r="AI13" i="19"/>
  <c r="BR23" i="36" l="1"/>
  <c r="BO23" i="36" s="1"/>
  <c r="AB13" i="19"/>
  <c r="AD13" i="19"/>
  <c r="AE13" i="19" l="1"/>
  <c r="AV13" i="36" s="1"/>
  <c r="AS13" i="36" s="1"/>
  <c r="W13" i="19"/>
  <c r="Y13" i="19"/>
  <c r="Z13" i="19" l="1"/>
  <c r="AK13" i="36" s="1"/>
  <c r="AH13" i="36" s="1"/>
  <c r="O13" i="19"/>
  <c r="R13" i="19"/>
  <c r="T13" i="19"/>
  <c r="S13" i="19"/>
  <c r="U13" i="19" l="1"/>
  <c r="Z13" i="36" s="1"/>
  <c r="W13" i="36" l="1"/>
  <c r="L13" i="36"/>
  <c r="BE12" i="19"/>
  <c r="BF12" i="19"/>
  <c r="BG13" i="19" l="1"/>
  <c r="AT12" i="19"/>
  <c r="AW12" i="19"/>
  <c r="AY12" i="19"/>
  <c r="AX12" i="19"/>
  <c r="AZ12" i="19" l="1"/>
  <c r="BR12" i="36" s="1"/>
  <c r="BO12" i="36" s="1"/>
  <c r="CA12" i="36"/>
  <c r="BZ12" i="36"/>
  <c r="AL12" i="19"/>
  <c r="AO12" i="19"/>
  <c r="AQ12" i="19"/>
  <c r="AP12" i="19"/>
  <c r="AQ14" i="19" l="1"/>
  <c r="AR14" i="19" s="1"/>
  <c r="BO24" i="36" s="1"/>
  <c r="AR12" i="19"/>
  <c r="BR22" i="36" s="1"/>
  <c r="BO22" i="36" s="1"/>
  <c r="AG12" i="19"/>
  <c r="AB12" i="19"/>
  <c r="AI12" i="19"/>
  <c r="AD12" i="19"/>
  <c r="AE12" i="19" l="1"/>
  <c r="AV12" i="36" s="1"/>
  <c r="AS12" i="36" s="1"/>
  <c r="W12" i="19"/>
  <c r="Y12" i="19"/>
  <c r="Z12" i="19" l="1"/>
  <c r="AK12" i="36" s="1"/>
  <c r="AH12" i="36" s="1"/>
  <c r="O12" i="19"/>
  <c r="T12" i="19"/>
  <c r="R12" i="19"/>
  <c r="S12" i="19"/>
  <c r="U12" i="19" l="1"/>
  <c r="Z12" i="36" s="1"/>
  <c r="L12" i="36" l="1"/>
  <c r="W12" i="36"/>
  <c r="BE11" i="19"/>
  <c r="BF11" i="19" s="1"/>
  <c r="BG12" i="19" l="1"/>
  <c r="AT11" i="19"/>
  <c r="AX11" i="19"/>
  <c r="AW11" i="19"/>
  <c r="AY11" i="19"/>
  <c r="AZ11" i="19" l="1"/>
  <c r="BR11" i="36" s="1"/>
  <c r="BO11" i="36" s="1"/>
  <c r="CA11" i="36"/>
  <c r="BZ11" i="36"/>
  <c r="AL11" i="19"/>
  <c r="AP11" i="19"/>
  <c r="AO11" i="19"/>
  <c r="AQ11" i="19"/>
  <c r="AR11" i="19" l="1"/>
  <c r="AG11" i="19"/>
  <c r="AB11" i="19"/>
  <c r="AI11" i="19"/>
  <c r="AD11" i="19"/>
  <c r="AE11" i="19" l="1"/>
  <c r="AV11" i="36" s="1"/>
  <c r="AS11" i="36" s="1"/>
  <c r="W11" i="19"/>
  <c r="Y11" i="19"/>
  <c r="T11" i="19"/>
  <c r="U11" i="19" l="1"/>
  <c r="Z11" i="19"/>
  <c r="AK11" i="36" s="1"/>
  <c r="AH11" i="36" s="1"/>
  <c r="D11" i="19"/>
  <c r="C11" i="19"/>
  <c r="CA10" i="19"/>
  <c r="CB10" i="19" s="1"/>
  <c r="BY10" i="19"/>
  <c r="BY13" i="19"/>
  <c r="BY15" i="19"/>
  <c r="BY23" i="19"/>
  <c r="BY18" i="19"/>
  <c r="BY14" i="19"/>
  <c r="BY16" i="19"/>
  <c r="BY24" i="19"/>
  <c r="BY25" i="19"/>
  <c r="BY26" i="19"/>
  <c r="BY22" i="19"/>
  <c r="BY17" i="19"/>
  <c r="BY11" i="19"/>
  <c r="BY19" i="19"/>
  <c r="BY27" i="19"/>
  <c r="BY21" i="19"/>
  <c r="BY29" i="19"/>
  <c r="BY30" i="19"/>
  <c r="BY12" i="19"/>
  <c r="BY20" i="19"/>
  <c r="BY28" i="19"/>
  <c r="E11" i="19" l="1"/>
  <c r="BZ30" i="19"/>
  <c r="BZ29" i="19"/>
  <c r="BZ28" i="19"/>
  <c r="BZ27" i="19"/>
  <c r="BZ26" i="19"/>
  <c r="BZ25" i="19"/>
  <c r="BZ24" i="19"/>
  <c r="BZ23" i="19"/>
  <c r="BZ22" i="19"/>
  <c r="BZ21" i="19"/>
  <c r="BZ20" i="19"/>
  <c r="BZ19" i="19"/>
  <c r="BZ18" i="19"/>
  <c r="BZ17" i="19"/>
  <c r="BZ16" i="19"/>
  <c r="BZ15" i="19"/>
  <c r="BZ14" i="19"/>
  <c r="BZ13" i="19"/>
  <c r="BZ12" i="19"/>
  <c r="BZ11" i="19"/>
  <c r="Z11" i="36"/>
  <c r="Z11" i="53"/>
  <c r="W11" i="53" s="1"/>
  <c r="Z11" i="51"/>
  <c r="W11" i="51" s="1"/>
  <c r="BQ10" i="19"/>
  <c r="BK10" i="19"/>
  <c r="BK17" i="19"/>
  <c r="BU10" i="19"/>
  <c r="BQ16" i="19"/>
  <c r="BQ24" i="19"/>
  <c r="BR16" i="19"/>
  <c r="BR24" i="19"/>
  <c r="BK18" i="19"/>
  <c r="BQ11" i="19"/>
  <c r="BQ19" i="19"/>
  <c r="BQ13" i="19"/>
  <c r="BK11" i="19"/>
  <c r="BK19" i="19"/>
  <c r="BR11" i="19"/>
  <c r="BQ14" i="19"/>
  <c r="BU16" i="19"/>
  <c r="BR19" i="19"/>
  <c r="BQ22" i="19"/>
  <c r="BU24" i="19"/>
  <c r="BK16" i="19"/>
  <c r="BK12" i="19"/>
  <c r="BK20" i="19"/>
  <c r="BU11" i="19"/>
  <c r="BR14" i="19"/>
  <c r="BQ17" i="19"/>
  <c r="BU19" i="19"/>
  <c r="BR22" i="19"/>
  <c r="BE10" i="19"/>
  <c r="BU17" i="19"/>
  <c r="BK13" i="19"/>
  <c r="BK21" i="19"/>
  <c r="BQ12" i="19"/>
  <c r="BU14" i="19"/>
  <c r="BR17" i="19"/>
  <c r="BQ20" i="19"/>
  <c r="BR20" i="19" s="1"/>
  <c r="BU22" i="19"/>
  <c r="BF10" i="19"/>
  <c r="BQ15" i="19"/>
  <c r="BQ23" i="19"/>
  <c r="BK24" i="19"/>
  <c r="BU23" i="19"/>
  <c r="BK14" i="19"/>
  <c r="BK22" i="19"/>
  <c r="BR12" i="19"/>
  <c r="BU15" i="19"/>
  <c r="BK15" i="19"/>
  <c r="BK23" i="19"/>
  <c r="BU12" i="19"/>
  <c r="BR15" i="19"/>
  <c r="BQ18" i="19"/>
  <c r="BU20" i="19"/>
  <c r="BR23" i="19"/>
  <c r="BQ21" i="19"/>
  <c r="BU13" i="19"/>
  <c r="BR13" i="19"/>
  <c r="BR18" i="19"/>
  <c r="BU18" i="19"/>
  <c r="BU21" i="19"/>
  <c r="BR21" i="19"/>
  <c r="BG11" i="19" l="1"/>
  <c r="BG10" i="19"/>
  <c r="BS24" i="19"/>
  <c r="BS23" i="19"/>
  <c r="BS22" i="19"/>
  <c r="BS21" i="19"/>
  <c r="BS20" i="19"/>
  <c r="BS19" i="19"/>
  <c r="BS18" i="19"/>
  <c r="BS17" i="19"/>
  <c r="BS16" i="19"/>
  <c r="BT15" i="19"/>
  <c r="BV15" i="19" s="1"/>
  <c r="BS15" i="19"/>
  <c r="BT14" i="19"/>
  <c r="BV14" i="19" s="1"/>
  <c r="BT13" i="19"/>
  <c r="BV13" i="19" s="1"/>
  <c r="BT12" i="19"/>
  <c r="BV12" i="19" s="1"/>
  <c r="BT11" i="19"/>
  <c r="BV11" i="19" s="1"/>
  <c r="BL24" i="19"/>
  <c r="BL23" i="19"/>
  <c r="BL22" i="19"/>
  <c r="BL21" i="19"/>
  <c r="BL20" i="19"/>
  <c r="BL19" i="19"/>
  <c r="BL18" i="19"/>
  <c r="BL17" i="19"/>
  <c r="BL16" i="19"/>
  <c r="BL15" i="19"/>
  <c r="BM14" i="19"/>
  <c r="BL14" i="19"/>
  <c r="BL13" i="19"/>
  <c r="BL12" i="19"/>
  <c r="BL11" i="19"/>
  <c r="L11" i="36"/>
  <c r="W11" i="36"/>
  <c r="BL10" i="19"/>
  <c r="BN14" i="19" l="1"/>
  <c r="BT16" i="19"/>
  <c r="BT17" i="19" s="1"/>
  <c r="BV17" i="19" s="1"/>
  <c r="BH10" i="19"/>
  <c r="AT10" i="19"/>
  <c r="AW10" i="19"/>
  <c r="AX10" i="19"/>
  <c r="AY10" i="19"/>
  <c r="AZ10" i="19" l="1"/>
  <c r="BR10" i="36" s="1"/>
  <c r="BO10" i="36" s="1"/>
  <c r="CA10" i="36"/>
  <c r="BZ10" i="36"/>
  <c r="BH11" i="19"/>
  <c r="BV16" i="19"/>
  <c r="BT18" i="19"/>
  <c r="BV18" i="19" s="1"/>
  <c r="BM15" i="19"/>
  <c r="BN15" i="19" s="1"/>
  <c r="AL10" i="19"/>
  <c r="AO10" i="19"/>
  <c r="AP10" i="19"/>
  <c r="AQ10" i="19"/>
  <c r="AR10" i="19" l="1"/>
  <c r="BM16" i="19"/>
  <c r="BN16" i="19" s="1"/>
  <c r="BH12" i="19"/>
  <c r="BM17" i="19" s="1"/>
  <c r="BN17" i="19" s="1"/>
  <c r="BT19" i="19"/>
  <c r="BV19" i="19" s="1"/>
  <c r="AG10" i="19"/>
  <c r="AI10" i="19"/>
  <c r="BH13" i="19" l="1"/>
  <c r="BM18" i="19" s="1"/>
  <c r="BN18" i="19" s="1"/>
  <c r="BT20" i="19"/>
  <c r="BV20" i="19" s="1"/>
  <c r="AB10" i="19"/>
  <c r="X10" i="19"/>
  <c r="W10" i="19"/>
  <c r="AD10" i="19"/>
  <c r="T10" i="19"/>
  <c r="BT21" i="19" l="1"/>
  <c r="BV21" i="19" s="1"/>
  <c r="BH14" i="19"/>
  <c r="BM19" i="19" s="1"/>
  <c r="BN19" i="19" s="1"/>
  <c r="U10" i="19"/>
  <c r="Y10" i="19"/>
  <c r="AE10" i="19"/>
  <c r="AV10" i="36" s="1"/>
  <c r="AS10" i="36" s="1"/>
  <c r="BT22" i="19" l="1"/>
  <c r="BV22" i="19" s="1"/>
  <c r="BH15" i="19"/>
  <c r="BM20" i="19" s="1"/>
  <c r="BN20" i="19" s="1"/>
  <c r="Z10" i="36"/>
  <c r="BM13" i="19"/>
  <c r="BN13" i="19" s="1"/>
  <c r="Z10" i="19"/>
  <c r="AK10" i="36" s="1"/>
  <c r="AH10" i="36" s="1"/>
  <c r="AT9" i="19"/>
  <c r="AY9" i="19"/>
  <c r="AX9" i="19"/>
  <c r="AW9" i="19"/>
  <c r="BT23" i="19" l="1"/>
  <c r="BV23" i="19" s="1"/>
  <c r="BH16" i="19"/>
  <c r="BM21" i="19" s="1"/>
  <c r="BN21" i="19" s="1"/>
  <c r="AZ9" i="19"/>
  <c r="BR9" i="36" s="1"/>
  <c r="BO9" i="36" s="1"/>
  <c r="CA9" i="36"/>
  <c r="BZ9" i="36"/>
  <c r="L10" i="36"/>
  <c r="W10" i="36"/>
  <c r="AL9" i="19"/>
  <c r="AO9" i="19"/>
  <c r="AP9" i="19"/>
  <c r="AQ9" i="19"/>
  <c r="BT24" i="19" l="1"/>
  <c r="BV24" i="19" s="1"/>
  <c r="BH17" i="19"/>
  <c r="BM22" i="19" s="1"/>
  <c r="BN22" i="19" s="1"/>
  <c r="AR9" i="19"/>
  <c r="AG9" i="19"/>
  <c r="AI9" i="19"/>
  <c r="BH18" i="19" l="1"/>
  <c r="BM23" i="19" s="1"/>
  <c r="BN23" i="19" s="1"/>
  <c r="AB9" i="19"/>
  <c r="X9" i="19"/>
  <c r="W9" i="19"/>
  <c r="T9" i="19"/>
  <c r="AD9" i="19"/>
  <c r="BH19" i="19" l="1"/>
  <c r="BM24" i="19" s="1"/>
  <c r="BN24" i="19" s="1"/>
  <c r="Y9" i="19"/>
  <c r="U9" i="19"/>
  <c r="AE9" i="19"/>
  <c r="AV9" i="36" s="1"/>
  <c r="AS9" i="36" s="1"/>
  <c r="D9" i="19"/>
  <c r="C9" i="19"/>
  <c r="E9" i="19" l="1"/>
  <c r="Z9" i="36"/>
  <c r="BM12" i="19"/>
  <c r="BN12" i="19" s="1"/>
  <c r="Z9" i="19"/>
  <c r="AK9" i="36" s="1"/>
  <c r="AH9" i="36" s="1"/>
  <c r="AT8" i="19"/>
  <c r="AW8" i="19"/>
  <c r="AY8" i="19"/>
  <c r="AX8" i="19"/>
  <c r="AZ8" i="19" l="1"/>
  <c r="BR8" i="36" s="1"/>
  <c r="BO8" i="36" s="1"/>
  <c r="CA8" i="36"/>
  <c r="BZ8" i="36"/>
  <c r="W9" i="36"/>
  <c r="Z8" i="36"/>
  <c r="L9" i="36"/>
  <c r="AL8" i="19"/>
  <c r="AP8" i="19"/>
  <c r="AQ8" i="19"/>
  <c r="BO45" i="36"/>
  <c r="AO8" i="19"/>
  <c r="AR8" i="19" l="1"/>
  <c r="W8" i="36"/>
  <c r="L8" i="36"/>
  <c r="Z7" i="36"/>
  <c r="AG8" i="19"/>
  <c r="X8" i="19"/>
  <c r="AC8" i="19" s="1"/>
  <c r="W8" i="19"/>
  <c r="AB8" i="19" s="1"/>
  <c r="T8" i="19"/>
  <c r="AI8" i="19"/>
  <c r="Y8" i="19" l="1"/>
  <c r="AD8" i="19" s="1"/>
  <c r="U8" i="19"/>
  <c r="W7" i="36"/>
  <c r="L7" i="36"/>
  <c r="C8" i="19"/>
  <c r="AW7" i="19"/>
  <c r="L45" i="36"/>
  <c r="W45" i="36"/>
  <c r="L54" i="36" a="1"/>
  <c r="AY7" i="19"/>
  <c r="AX7" i="19"/>
  <c r="BZ7" i="36" l="1"/>
  <c r="CA7" i="36"/>
  <c r="L57" i="36"/>
  <c r="L56" i="36"/>
  <c r="L55" i="36"/>
  <c r="L54" i="36"/>
  <c r="BM11" i="19"/>
  <c r="BN11" i="19" s="1"/>
  <c r="BN10" i="19" s="1"/>
  <c r="Z8" i="19"/>
  <c r="AI7" i="37"/>
  <c r="AK8" i="36" l="1"/>
  <c r="AH8" i="36" s="1"/>
  <c r="AE8" i="19"/>
  <c r="AV8" i="36" s="1"/>
  <c r="AS8" i="36" s="1"/>
  <c r="AL7" i="19"/>
  <c r="W54" i="36" a="1"/>
  <c r="AQ7" i="19"/>
  <c r="AO7" i="19"/>
  <c r="AP7" i="19"/>
  <c r="AR7" i="19" l="1"/>
  <c r="W57" i="36"/>
  <c r="W56" i="36"/>
  <c r="W54" i="36"/>
  <c r="W55" i="36"/>
  <c r="AG7" i="19"/>
  <c r="X7" i="19"/>
  <c r="AC7" i="19" s="1"/>
  <c r="W7" i="19"/>
  <c r="C10" i="19" s="1"/>
  <c r="AI9" i="37"/>
  <c r="T7" i="19"/>
  <c r="AI7" i="19"/>
  <c r="D8" i="19" l="1"/>
  <c r="E8" i="19" s="1"/>
  <c r="U7" i="19"/>
  <c r="Z7" i="19" s="1"/>
  <c r="Y7" i="19"/>
  <c r="D12" i="19"/>
  <c r="C12" i="19"/>
  <c r="AB7" i="19"/>
  <c r="D7" i="19"/>
  <c r="C7" i="19"/>
  <c r="B7" i="19"/>
  <c r="AT3" i="19"/>
  <c r="AL3" i="19"/>
  <c r="AG3" i="19"/>
  <c r="AB3" i="19"/>
  <c r="W3" i="19"/>
  <c r="O3" i="19"/>
  <c r="B8" i="19" s="1"/>
  <c r="Q2" i="19"/>
  <c r="Q1" i="19"/>
  <c r="AY56" i="4"/>
  <c r="AY55" i="4"/>
  <c r="AY54" i="4"/>
  <c r="AY53" i="4"/>
  <c r="AY52" i="4"/>
  <c r="AY51" i="4"/>
  <c r="AY50" i="4"/>
  <c r="AY49" i="4"/>
  <c r="AY48" i="4"/>
  <c r="AQ48" i="4"/>
  <c r="AI48" i="4"/>
  <c r="AD48" i="4"/>
  <c r="Y48" i="4"/>
  <c r="T48" i="4"/>
  <c r="AY47" i="4"/>
  <c r="AQ47" i="4"/>
  <c r="AI47" i="4"/>
  <c r="AD47" i="4"/>
  <c r="Y47" i="4"/>
  <c r="T47" i="4"/>
  <c r="AY46" i="4"/>
  <c r="AQ46" i="4"/>
  <c r="AI46" i="4"/>
  <c r="AD46" i="4"/>
  <c r="Y46" i="4"/>
  <c r="T46" i="4"/>
  <c r="AQ45" i="4"/>
  <c r="AI45" i="4"/>
  <c r="AD45" i="4"/>
  <c r="Y45" i="4"/>
  <c r="T45" i="4"/>
  <c r="AQ44" i="4"/>
  <c r="AI44" i="4"/>
  <c r="AD44" i="4"/>
  <c r="Y44" i="4"/>
  <c r="T44" i="4"/>
  <c r="AQ43" i="4"/>
  <c r="AI43" i="4"/>
  <c r="AD43" i="4"/>
  <c r="Y43" i="4"/>
  <c r="T43" i="4"/>
  <c r="AQ42" i="4"/>
  <c r="AI42" i="4"/>
  <c r="AD42" i="4"/>
  <c r="Y42" i="4"/>
  <c r="T42" i="4"/>
  <c r="AQ41" i="4"/>
  <c r="AI41" i="4"/>
  <c r="AD41" i="4"/>
  <c r="Y41" i="4"/>
  <c r="T41" i="4"/>
  <c r="AQ40" i="4"/>
  <c r="AI40" i="4"/>
  <c r="AD40" i="4"/>
  <c r="Y40" i="4"/>
  <c r="T40" i="4"/>
  <c r="AQ39" i="4"/>
  <c r="AI39" i="4"/>
  <c r="AD39" i="4"/>
  <c r="Y39" i="4"/>
  <c r="T39" i="4"/>
  <c r="AY38" i="4"/>
  <c r="AQ38" i="4"/>
  <c r="AI38" i="4"/>
  <c r="AD38" i="4"/>
  <c r="Y38" i="4"/>
  <c r="T38" i="4"/>
  <c r="AY37" i="4"/>
  <c r="AI37" i="4"/>
  <c r="AD37" i="4"/>
  <c r="Y37" i="4"/>
  <c r="T4" i="19"/>
  <c r="E12" i="19" l="1"/>
  <c r="E7" i="19"/>
  <c r="D10" i="19"/>
  <c r="E10" i="19" s="1"/>
  <c r="AD7" i="19"/>
  <c r="AK7" i="36"/>
  <c r="AH7" i="36" s="1"/>
  <c r="AE7" i="19"/>
  <c r="AV7" i="36" s="1"/>
  <c r="AS7" i="36" s="1"/>
  <c r="AT36" i="4"/>
  <c r="AI36" i="4"/>
  <c r="AD36" i="4"/>
  <c r="Y36" i="4"/>
  <c r="AH45" i="36"/>
  <c r="AX36" i="4"/>
  <c r="AS45" i="36"/>
  <c r="AW36" i="4"/>
  <c r="AY36" i="4"/>
  <c r="AZ36" i="4" l="1"/>
  <c r="BR28" i="29" s="1"/>
  <c r="E4" i="19"/>
  <c r="B4" i="19"/>
  <c r="AT35" i="4"/>
  <c r="AI35" i="4"/>
  <c r="AD35" i="4"/>
  <c r="Y35" i="4"/>
  <c r="AS54" i="36" a="1"/>
  <c r="AH54" i="36" a="1"/>
  <c r="AW35" i="4"/>
  <c r="AX35" i="4"/>
  <c r="AY35" i="4"/>
  <c r="AH57" i="36" l="1"/>
  <c r="AS57" i="36"/>
  <c r="AH54" i="36"/>
  <c r="AH56" i="36"/>
  <c r="AH55" i="36"/>
  <c r="AS55" i="36"/>
  <c r="AS56" i="36"/>
  <c r="AS54" i="36"/>
  <c r="AZ35" i="4"/>
  <c r="BR27" i="29" s="1"/>
  <c r="BO27" i="29" s="1"/>
  <c r="BR29" i="29"/>
  <c r="BO29" i="29" s="1"/>
  <c r="BO28" i="29"/>
  <c r="AT34" i="4"/>
  <c r="AI34" i="4"/>
  <c r="AD34" i="4"/>
  <c r="Y34" i="4"/>
  <c r="AI10" i="37"/>
  <c r="AI8" i="37"/>
  <c r="AW34" i="4"/>
  <c r="AX34" i="4"/>
  <c r="AY34" i="4"/>
  <c r="AZ34" i="4" l="1"/>
  <c r="BR26" i="29" s="1"/>
  <c r="BO26" i="29" s="1"/>
  <c r="AT33" i="4"/>
  <c r="AI33" i="4"/>
  <c r="AD33" i="4"/>
  <c r="Y33" i="4"/>
  <c r="AY33" i="4"/>
  <c r="AW33" i="4"/>
  <c r="AX33" i="4"/>
  <c r="AZ33" i="4" l="1"/>
  <c r="BR25" i="29" s="1"/>
  <c r="BO25" i="29" s="1"/>
  <c r="O33" i="4"/>
  <c r="R33" i="4"/>
  <c r="T33" i="4"/>
  <c r="S33" i="4"/>
  <c r="U33" i="4" l="1"/>
  <c r="AT32" i="4"/>
  <c r="AI32" i="4"/>
  <c r="AD32" i="4"/>
  <c r="Y32" i="4"/>
  <c r="AY32" i="4"/>
  <c r="AW32" i="4"/>
  <c r="AX32" i="4"/>
  <c r="AZ32" i="4" l="1"/>
  <c r="BR24" i="29" s="1"/>
  <c r="BO24" i="29" s="1"/>
  <c r="AT31" i="4"/>
  <c r="AI31" i="4"/>
  <c r="AD31" i="4"/>
  <c r="Y31" i="4"/>
  <c r="AW31" i="4"/>
  <c r="AX31" i="4"/>
  <c r="AY31" i="4"/>
  <c r="AZ31" i="4" l="1"/>
  <c r="BR23" i="29" s="1"/>
  <c r="BO23" i="29" s="1"/>
  <c r="AT30" i="4"/>
  <c r="AI30" i="4"/>
  <c r="AD30" i="4"/>
  <c r="Y30" i="4"/>
  <c r="AW30" i="4"/>
  <c r="AY30" i="4"/>
  <c r="AX30" i="4"/>
  <c r="AZ30" i="4" l="1"/>
  <c r="BR22" i="29" s="1"/>
  <c r="BO22" i="29" s="1"/>
  <c r="O30" i="4"/>
  <c r="R30" i="4"/>
  <c r="S30" i="4"/>
  <c r="T30" i="4"/>
  <c r="U30" i="4" l="1"/>
  <c r="AT29" i="4"/>
  <c r="AI29" i="4"/>
  <c r="AD29" i="4"/>
  <c r="Y29" i="4"/>
  <c r="AW29" i="4"/>
  <c r="AY29" i="4"/>
  <c r="AX29" i="4"/>
  <c r="AZ29" i="4" l="1"/>
  <c r="BR21" i="29" s="1"/>
  <c r="BO21" i="29" s="1"/>
  <c r="Z29" i="29"/>
  <c r="W29" i="29" s="1"/>
  <c r="Z29" i="56"/>
  <c r="W29" i="56" s="1"/>
  <c r="Z29" i="60"/>
  <c r="W29" i="60" s="1"/>
  <c r="O29" i="4"/>
  <c r="R29" i="4"/>
  <c r="T29" i="4"/>
  <c r="S29" i="4"/>
  <c r="U29" i="4" l="1"/>
  <c r="AT28" i="4"/>
  <c r="AI28" i="4"/>
  <c r="AD28" i="4"/>
  <c r="Y28" i="4"/>
  <c r="AW28" i="4"/>
  <c r="AY28" i="4"/>
  <c r="AX28" i="4"/>
  <c r="AZ28" i="4" l="1"/>
  <c r="BR20" i="29" s="1"/>
  <c r="BO20" i="29" s="1"/>
  <c r="Z28" i="29"/>
  <c r="W28" i="29" s="1"/>
  <c r="Z28" i="56"/>
  <c r="W28" i="56" s="1"/>
  <c r="Z28" i="60"/>
  <c r="W28" i="60" s="1"/>
  <c r="O28" i="4"/>
  <c r="T28" i="4"/>
  <c r="R28" i="4"/>
  <c r="S28" i="4"/>
  <c r="U28" i="4" l="1"/>
  <c r="AT27" i="4"/>
  <c r="AI27" i="4"/>
  <c r="AD27" i="4"/>
  <c r="Y27" i="4"/>
  <c r="AW27" i="4"/>
  <c r="AY27" i="4"/>
  <c r="AX27" i="4"/>
  <c r="AZ27" i="4" l="1"/>
  <c r="BR19" i="29" s="1"/>
  <c r="BO19" i="29" s="1"/>
  <c r="Z27" i="29"/>
  <c r="W27" i="29" s="1"/>
  <c r="Z27" i="56"/>
  <c r="W27" i="56" s="1"/>
  <c r="Z27" i="60"/>
  <c r="W27" i="60" s="1"/>
  <c r="O27" i="4"/>
  <c r="T27" i="4"/>
  <c r="R27" i="4"/>
  <c r="S27" i="4"/>
  <c r="U27" i="4" l="1"/>
  <c r="AT26" i="4"/>
  <c r="AI26" i="4"/>
  <c r="AD26" i="4"/>
  <c r="Y26" i="4"/>
  <c r="AX26" i="4"/>
  <c r="AW26" i="4"/>
  <c r="AY26" i="4"/>
  <c r="AZ26" i="4" l="1"/>
  <c r="BR18" i="29" s="1"/>
  <c r="BO18" i="29" s="1"/>
  <c r="Z26" i="29"/>
  <c r="W26" i="29" s="1"/>
  <c r="Z26" i="56"/>
  <c r="W26" i="56" s="1"/>
  <c r="Z26" i="60"/>
  <c r="W26" i="60" s="1"/>
  <c r="O26" i="4"/>
  <c r="T26" i="4"/>
  <c r="R26" i="4"/>
  <c r="S26" i="4"/>
  <c r="U26" i="4" l="1"/>
  <c r="AT25" i="4"/>
  <c r="AI25" i="4"/>
  <c r="AD25" i="4"/>
  <c r="Y25" i="4"/>
  <c r="AY25" i="4"/>
  <c r="AW25" i="4"/>
  <c r="AX25" i="4"/>
  <c r="AZ25" i="4" l="1"/>
  <c r="BR17" i="29" s="1"/>
  <c r="BO17" i="29" s="1"/>
  <c r="Z25" i="29"/>
  <c r="W25" i="29" s="1"/>
  <c r="Z25" i="56"/>
  <c r="W25" i="56" s="1"/>
  <c r="Z25" i="60"/>
  <c r="W25" i="60" s="1"/>
  <c r="O25" i="4"/>
  <c r="T25" i="4"/>
  <c r="R25" i="4"/>
  <c r="S25" i="4"/>
  <c r="U25" i="4" l="1"/>
  <c r="AT24" i="4"/>
  <c r="AI24" i="4"/>
  <c r="AD24" i="4"/>
  <c r="Y24" i="4"/>
  <c r="AX24" i="4"/>
  <c r="AY24" i="4"/>
  <c r="AW24" i="4"/>
  <c r="AZ24" i="4" l="1"/>
  <c r="CA22" i="29"/>
  <c r="BZ22" i="29"/>
  <c r="Z24" i="29"/>
  <c r="W24" i="29" s="1"/>
  <c r="Z24" i="56"/>
  <c r="W24" i="56" s="1"/>
  <c r="Z24" i="60"/>
  <c r="W24" i="60" s="1"/>
  <c r="O24" i="4"/>
  <c r="S24" i="4"/>
  <c r="T24" i="4"/>
  <c r="R24" i="4"/>
  <c r="U24" i="4" l="1"/>
  <c r="AT23" i="4"/>
  <c r="AK23" i="4"/>
  <c r="AI23" i="4"/>
  <c r="AD23" i="4"/>
  <c r="Y23" i="4"/>
  <c r="AY23" i="4"/>
  <c r="AW23" i="4"/>
  <c r="AX23" i="4"/>
  <c r="AZ23" i="4" l="1"/>
  <c r="CA21" i="29"/>
  <c r="BZ21" i="29"/>
  <c r="Z23" i="29"/>
  <c r="W23" i="29" s="1"/>
  <c r="Z23" i="56"/>
  <c r="W23" i="56" s="1"/>
  <c r="Z23" i="60"/>
  <c r="W23" i="60" s="1"/>
  <c r="O23" i="4"/>
  <c r="S23" i="4"/>
  <c r="T23" i="4"/>
  <c r="R23" i="4"/>
  <c r="U23" i="4" l="1"/>
  <c r="AT22" i="4"/>
  <c r="AK22" i="4"/>
  <c r="AI22" i="4"/>
  <c r="AD22" i="4"/>
  <c r="Y22" i="4"/>
  <c r="AY22" i="4"/>
  <c r="AX22" i="4"/>
  <c r="AW22" i="4"/>
  <c r="AZ22" i="4" l="1"/>
  <c r="CA20" i="29"/>
  <c r="BZ20" i="29"/>
  <c r="Z22" i="29"/>
  <c r="W22" i="29" s="1"/>
  <c r="Z22" i="56"/>
  <c r="W22" i="56" s="1"/>
  <c r="Z22" i="60"/>
  <c r="W22" i="60" s="1"/>
  <c r="O22" i="4"/>
  <c r="S22" i="4"/>
  <c r="T22" i="4"/>
  <c r="R22" i="4"/>
  <c r="U22" i="4" l="1"/>
  <c r="AT21" i="4"/>
  <c r="AK21" i="4"/>
  <c r="AI21" i="4"/>
  <c r="AD21" i="4"/>
  <c r="Y21" i="4"/>
  <c r="AY21" i="4"/>
  <c r="AX21" i="4"/>
  <c r="AW21" i="4"/>
  <c r="AZ21" i="4" l="1"/>
  <c r="CA19" i="29"/>
  <c r="BZ19" i="29"/>
  <c r="Z21" i="29"/>
  <c r="W21" i="29" s="1"/>
  <c r="Z21" i="56"/>
  <c r="W21" i="56" s="1"/>
  <c r="Z21" i="60"/>
  <c r="W21" i="60" s="1"/>
  <c r="O21" i="4"/>
  <c r="S21" i="4"/>
  <c r="T21" i="4"/>
  <c r="R21" i="4"/>
  <c r="U21" i="4" l="1"/>
  <c r="AT20" i="4"/>
  <c r="AK20" i="4"/>
  <c r="AI20" i="4"/>
  <c r="AD20" i="4"/>
  <c r="Y20" i="4"/>
  <c r="AY20" i="4"/>
  <c r="AX20" i="4"/>
  <c r="AW20" i="4"/>
  <c r="AZ20" i="4" l="1"/>
  <c r="CA18" i="29"/>
  <c r="BZ18" i="29"/>
  <c r="Z20" i="29"/>
  <c r="W20" i="29" s="1"/>
  <c r="Z20" i="56"/>
  <c r="W20" i="56" s="1"/>
  <c r="Z20" i="60"/>
  <c r="W20" i="60" s="1"/>
  <c r="O20" i="4"/>
  <c r="S20" i="4"/>
  <c r="T20" i="4"/>
  <c r="R20" i="4"/>
  <c r="U20" i="4" l="1"/>
  <c r="AT19" i="4"/>
  <c r="AK19" i="4"/>
  <c r="AI19" i="4"/>
  <c r="AD19" i="4"/>
  <c r="Y19" i="4"/>
  <c r="AX19" i="4"/>
  <c r="AY19" i="4"/>
  <c r="AW19" i="4"/>
  <c r="AZ19" i="4" l="1"/>
  <c r="CA17" i="29"/>
  <c r="CA23" i="29" s="1"/>
  <c r="BZ17" i="29"/>
  <c r="BZ23" i="29" s="1"/>
  <c r="Z19" i="29"/>
  <c r="W19" i="29" s="1"/>
  <c r="Z19" i="56"/>
  <c r="W19" i="56" s="1"/>
  <c r="Z19" i="60"/>
  <c r="W19" i="60" s="1"/>
  <c r="O19" i="4"/>
  <c r="S19" i="4"/>
  <c r="T19" i="4"/>
  <c r="R19" i="4"/>
  <c r="U19" i="4" l="1"/>
  <c r="AT18" i="4"/>
  <c r="AK18" i="4"/>
  <c r="AI18" i="4"/>
  <c r="AD18" i="4"/>
  <c r="Y18" i="4"/>
  <c r="AY18" i="4"/>
  <c r="AX18" i="4"/>
  <c r="AW18" i="4"/>
  <c r="AZ18" i="4" l="1"/>
  <c r="BR16" i="29" s="1"/>
  <c r="BO16" i="29" s="1"/>
  <c r="CA16" i="29"/>
  <c r="BZ16" i="29"/>
  <c r="Z18" i="29"/>
  <c r="W18" i="29" s="1"/>
  <c r="Z18" i="56"/>
  <c r="W18" i="56" s="1"/>
  <c r="Z18" i="60"/>
  <c r="W18" i="60" s="1"/>
  <c r="O18" i="4"/>
  <c r="S18" i="4"/>
  <c r="R18" i="4"/>
  <c r="T18" i="4"/>
  <c r="U18" i="4" l="1"/>
  <c r="AT17" i="4"/>
  <c r="AW17" i="4"/>
  <c r="AY17" i="4"/>
  <c r="AX17" i="4"/>
  <c r="AZ17" i="4" l="1"/>
  <c r="BR15" i="29" s="1"/>
  <c r="BO15" i="29" s="1"/>
  <c r="CA15" i="29"/>
  <c r="BZ15" i="29"/>
  <c r="Z17" i="29"/>
  <c r="W17" i="29" s="1"/>
  <c r="Z17" i="56"/>
  <c r="W17" i="56" s="1"/>
  <c r="Z17" i="60"/>
  <c r="W17" i="60" s="1"/>
  <c r="AL17" i="4"/>
  <c r="AK17" i="4"/>
  <c r="AI17" i="4"/>
  <c r="AD17" i="4"/>
  <c r="Y17" i="4"/>
  <c r="AO17" i="4"/>
  <c r="AP17" i="4"/>
  <c r="AQ17" i="4"/>
  <c r="AR17" i="4" l="1"/>
  <c r="O17" i="4"/>
  <c r="R17" i="4"/>
  <c r="T17" i="4"/>
  <c r="S17" i="4"/>
  <c r="U17" i="4" l="1"/>
  <c r="G17" i="4"/>
  <c r="J17" i="4"/>
  <c r="L17" i="4"/>
  <c r="K17" i="4"/>
  <c r="M17" i="4" l="1"/>
  <c r="O17" i="29" s="1"/>
  <c r="AT16" i="4"/>
  <c r="AX16" i="4"/>
  <c r="AW16" i="4"/>
  <c r="AY16" i="4"/>
  <c r="AZ16" i="4" l="1"/>
  <c r="O18" i="29"/>
  <c r="L17" i="29"/>
  <c r="AL16" i="4"/>
  <c r="AK16" i="4"/>
  <c r="AI16" i="4"/>
  <c r="AD16" i="4"/>
  <c r="Y16" i="4"/>
  <c r="AO16" i="4"/>
  <c r="AP16" i="4"/>
  <c r="AQ16" i="4"/>
  <c r="AR16" i="4" l="1"/>
  <c r="O19" i="29"/>
  <c r="L18" i="29"/>
  <c r="O16" i="4"/>
  <c r="R16" i="4"/>
  <c r="S16" i="4"/>
  <c r="T16" i="4"/>
  <c r="U16" i="4" l="1"/>
  <c r="Z16" i="29" s="1"/>
  <c r="W16" i="29" s="1"/>
  <c r="L19" i="29"/>
  <c r="O20" i="29"/>
  <c r="G16" i="4"/>
  <c r="L16" i="4"/>
  <c r="K16" i="4"/>
  <c r="J16" i="4"/>
  <c r="L20" i="29" l="1"/>
  <c r="O21" i="29"/>
  <c r="AT15" i="4"/>
  <c r="AX15" i="4"/>
  <c r="AW15" i="4"/>
  <c r="AY15" i="4"/>
  <c r="AZ15" i="4" l="1"/>
  <c r="L21" i="29"/>
  <c r="O22" i="29"/>
  <c r="AL15" i="4"/>
  <c r="AK15" i="4"/>
  <c r="AI15" i="4"/>
  <c r="AD15" i="4"/>
  <c r="Y15" i="4"/>
  <c r="AO15" i="4"/>
  <c r="AP15" i="4"/>
  <c r="AQ15" i="4"/>
  <c r="AR15" i="4" l="1"/>
  <c r="L22" i="29"/>
  <c r="O23" i="29"/>
  <c r="O15" i="4"/>
  <c r="T15" i="4"/>
  <c r="R15" i="4"/>
  <c r="S15" i="4"/>
  <c r="U15" i="4" l="1"/>
  <c r="L23" i="29"/>
  <c r="O24" i="29"/>
  <c r="G15" i="4"/>
  <c r="K15" i="4"/>
  <c r="J15" i="4"/>
  <c r="L15" i="4"/>
  <c r="M15" i="4" l="1"/>
  <c r="O25" i="29"/>
  <c r="L24" i="29"/>
  <c r="Z15" i="29"/>
  <c r="W15" i="29" s="1"/>
  <c r="Z16" i="56"/>
  <c r="W16" i="56" s="1"/>
  <c r="Z16" i="60"/>
  <c r="W16" i="60" s="1"/>
  <c r="AT14" i="4"/>
  <c r="AX14" i="4"/>
  <c r="AY14" i="4"/>
  <c r="AW14" i="4"/>
  <c r="AZ14" i="4" l="1"/>
  <c r="BR14" i="29" s="1"/>
  <c r="BO14" i="29" s="1"/>
  <c r="CA14" i="29"/>
  <c r="BZ14" i="29"/>
  <c r="L25" i="29"/>
  <c r="O26" i="29"/>
  <c r="O15" i="29"/>
  <c r="L15" i="29" s="1"/>
  <c r="M16" i="4"/>
  <c r="O16" i="29" s="1"/>
  <c r="L16" i="29" s="1"/>
  <c r="AL14" i="4"/>
  <c r="AK14" i="4"/>
  <c r="AI14" i="4"/>
  <c r="AD14" i="4"/>
  <c r="Y14" i="4"/>
  <c r="AQ14" i="4"/>
  <c r="AO14" i="4"/>
  <c r="AP14" i="4"/>
  <c r="AR14" i="4" l="1"/>
  <c r="O27" i="29"/>
  <c r="L27" i="29" s="1"/>
  <c r="L26" i="29"/>
  <c r="O14" i="4"/>
  <c r="S14" i="4"/>
  <c r="R14" i="4"/>
  <c r="T14" i="4"/>
  <c r="U14" i="4" l="1"/>
  <c r="G14" i="4"/>
  <c r="J14" i="4"/>
  <c r="L14" i="4"/>
  <c r="K14" i="4"/>
  <c r="M14" i="4" l="1"/>
  <c r="O14" i="29" s="1"/>
  <c r="L14" i="29" s="1"/>
  <c r="Z14" i="29"/>
  <c r="W14" i="29" s="1"/>
  <c r="Z15" i="56"/>
  <c r="W15" i="56" s="1"/>
  <c r="Z15" i="60"/>
  <c r="W15" i="60" s="1"/>
  <c r="AT13" i="4"/>
  <c r="AW13" i="4"/>
  <c r="AX13" i="4"/>
  <c r="AY13" i="4"/>
  <c r="AZ13" i="4" l="1"/>
  <c r="BR13" i="29" s="1"/>
  <c r="BO13" i="29" s="1"/>
  <c r="CA13" i="29"/>
  <c r="BZ13" i="29"/>
  <c r="AL13" i="4"/>
  <c r="AK13" i="4"/>
  <c r="AI13" i="4"/>
  <c r="AD13" i="4"/>
  <c r="Y13" i="4"/>
  <c r="AP13" i="4"/>
  <c r="AQ13" i="4"/>
  <c r="AO13" i="4"/>
  <c r="AR13" i="4" l="1"/>
  <c r="O13" i="4"/>
  <c r="R13" i="4"/>
  <c r="S13" i="4"/>
  <c r="T13" i="4"/>
  <c r="U13" i="4" l="1"/>
  <c r="G13" i="4"/>
  <c r="L13" i="4"/>
  <c r="K13" i="4"/>
  <c r="J13" i="4"/>
  <c r="M13" i="4" l="1"/>
  <c r="O13" i="29" s="1"/>
  <c r="L13" i="29" s="1"/>
  <c r="Z13" i="29"/>
  <c r="W13" i="29" s="1"/>
  <c r="Z14" i="56"/>
  <c r="W14" i="56" s="1"/>
  <c r="Z14" i="60"/>
  <c r="W14" i="60" s="1"/>
  <c r="AT12" i="4"/>
  <c r="AW12" i="4"/>
  <c r="AX12" i="4"/>
  <c r="AY12" i="4"/>
  <c r="AZ12" i="4" l="1"/>
  <c r="BR12" i="29" s="1"/>
  <c r="BO12" i="29" s="1"/>
  <c r="CA12" i="29"/>
  <c r="BZ12" i="29"/>
  <c r="AL12" i="4"/>
  <c r="AK12" i="4"/>
  <c r="AI12" i="4"/>
  <c r="AD12" i="4"/>
  <c r="Y12" i="4"/>
  <c r="AP12" i="4"/>
  <c r="AQ12" i="4"/>
  <c r="AO12" i="4"/>
  <c r="AR12" i="4" l="1"/>
  <c r="O12" i="4"/>
  <c r="R12" i="4"/>
  <c r="T12" i="4"/>
  <c r="S12" i="4"/>
  <c r="U12" i="4" l="1"/>
  <c r="G12" i="4"/>
  <c r="C12" i="4"/>
  <c r="J12" i="4"/>
  <c r="L12" i="4"/>
  <c r="K12" i="4"/>
  <c r="M12" i="4" l="1"/>
  <c r="O12" i="29" s="1"/>
  <c r="L12" i="29" s="1"/>
  <c r="Z12" i="29"/>
  <c r="W12" i="29" s="1"/>
  <c r="Z13" i="56"/>
  <c r="W13" i="56" s="1"/>
  <c r="Z13" i="60"/>
  <c r="W13" i="60" s="1"/>
  <c r="AT11" i="4"/>
  <c r="AY11" i="4"/>
  <c r="AW11" i="4"/>
  <c r="AX11" i="4"/>
  <c r="AZ11" i="4" l="1"/>
  <c r="BR11" i="29" s="1"/>
  <c r="BO11" i="29" s="1"/>
  <c r="CA11" i="29"/>
  <c r="BZ11" i="29"/>
  <c r="AL11" i="4"/>
  <c r="AK11" i="4"/>
  <c r="AI11" i="4"/>
  <c r="AD11" i="4"/>
  <c r="Y11" i="4"/>
  <c r="AQ11" i="4"/>
  <c r="AP11" i="4"/>
  <c r="AO11" i="4"/>
  <c r="AR11" i="4" l="1"/>
  <c r="O11" i="4"/>
  <c r="R11" i="4"/>
  <c r="S11" i="4"/>
  <c r="T11" i="4"/>
  <c r="U11" i="4" l="1"/>
  <c r="G11" i="4"/>
  <c r="C11" i="4"/>
  <c r="J11" i="4"/>
  <c r="K11" i="4"/>
  <c r="L11" i="4"/>
  <c r="M11" i="4" l="1"/>
  <c r="O11" i="29" s="1"/>
  <c r="L11" i="29" s="1"/>
  <c r="Z12" i="56"/>
  <c r="W12" i="56" s="1"/>
  <c r="Z12" i="60"/>
  <c r="W12" i="60" s="1"/>
  <c r="AT10" i="4"/>
  <c r="AX10" i="4"/>
  <c r="AW10" i="4"/>
  <c r="AY10" i="4"/>
  <c r="AZ10" i="4" l="1"/>
  <c r="BR10" i="29" s="1"/>
  <c r="BO10" i="29" s="1"/>
  <c r="CA10" i="29"/>
  <c r="BZ10" i="29"/>
  <c r="AL10" i="4"/>
  <c r="AK10" i="4"/>
  <c r="AI10" i="4"/>
  <c r="AD10" i="4"/>
  <c r="Y10" i="4"/>
  <c r="AQ10" i="4"/>
  <c r="AO10" i="4"/>
  <c r="AP10" i="4"/>
  <c r="T10" i="4"/>
  <c r="U10" i="4" l="1"/>
  <c r="AR10" i="4"/>
  <c r="Z11" i="29" l="1"/>
  <c r="W11" i="29" s="1"/>
  <c r="Z10" i="29"/>
  <c r="W10" i="29" s="1"/>
  <c r="Z11" i="56"/>
  <c r="W11" i="56" s="1"/>
  <c r="Z10" i="56"/>
  <c r="W10" i="56" s="1"/>
  <c r="Z10" i="60"/>
  <c r="W10" i="60" s="1"/>
  <c r="Z11" i="60"/>
  <c r="W11" i="60" s="1"/>
  <c r="G10" i="4"/>
  <c r="C10" i="4"/>
  <c r="K10" i="4"/>
  <c r="L10" i="4"/>
  <c r="J10" i="4"/>
  <c r="M10" i="4" l="1"/>
  <c r="O10" i="29" s="1"/>
  <c r="L10" i="29" s="1"/>
  <c r="AT9" i="4"/>
  <c r="AX9" i="4"/>
  <c r="AW9" i="4"/>
  <c r="AY9" i="4"/>
  <c r="AZ9" i="4" l="1"/>
  <c r="BR9" i="29" s="1"/>
  <c r="BO9" i="29" s="1"/>
  <c r="CA9" i="29"/>
  <c r="BZ9" i="29"/>
  <c r="AL9" i="4"/>
  <c r="AK9" i="4"/>
  <c r="AI9" i="4"/>
  <c r="AD9" i="4"/>
  <c r="Y9" i="4"/>
  <c r="AO9" i="4"/>
  <c r="AP9" i="4"/>
  <c r="T9" i="4"/>
  <c r="AQ9" i="4"/>
  <c r="U9" i="4" l="1"/>
  <c r="AR9" i="4"/>
  <c r="Z9" i="29" l="1"/>
  <c r="W9" i="29" s="1"/>
  <c r="Z9" i="56"/>
  <c r="W9" i="56" s="1"/>
  <c r="Z9" i="60"/>
  <c r="W9" i="60" s="1"/>
  <c r="G9" i="4"/>
  <c r="D9" i="4"/>
  <c r="C9" i="4"/>
  <c r="L9" i="4"/>
  <c r="K9" i="4"/>
  <c r="J9" i="4"/>
  <c r="E9" i="4" l="1"/>
  <c r="M9" i="4"/>
  <c r="O9" i="29" s="1"/>
  <c r="L9" i="29" s="1"/>
  <c r="AT8" i="4"/>
  <c r="AX8" i="4"/>
  <c r="AW8" i="4"/>
  <c r="AY8" i="4"/>
  <c r="AZ8" i="4" l="1"/>
  <c r="BR8" i="29" s="1"/>
  <c r="BO8" i="29" s="1"/>
  <c r="CA8" i="29"/>
  <c r="BZ8" i="29"/>
  <c r="AL8" i="4"/>
  <c r="AK8" i="4"/>
  <c r="AI8" i="4"/>
  <c r="AD8" i="4"/>
  <c r="Y8" i="4"/>
  <c r="BO45" i="29"/>
  <c r="AO8" i="4"/>
  <c r="AQ8" i="4"/>
  <c r="AP8" i="4"/>
  <c r="T8" i="4"/>
  <c r="U8" i="4" l="1"/>
  <c r="AR8" i="4"/>
  <c r="Z8" i="29" l="1"/>
  <c r="W8" i="29" s="1"/>
  <c r="Z8" i="56"/>
  <c r="W8" i="56" s="1"/>
  <c r="Z8" i="60"/>
  <c r="W8" i="60" s="1"/>
  <c r="G8" i="4"/>
  <c r="C8" i="4"/>
  <c r="K8" i="4"/>
  <c r="L8" i="4"/>
  <c r="J8" i="4"/>
  <c r="M8" i="4" l="1"/>
  <c r="O8" i="29" s="1"/>
  <c r="L8" i="29" s="1"/>
  <c r="AT7" i="4"/>
  <c r="AX7" i="4"/>
  <c r="AY7" i="4"/>
  <c r="AW7" i="4"/>
  <c r="AZ7" i="4" l="1"/>
  <c r="CA7" i="29"/>
  <c r="BZ7" i="29"/>
  <c r="AL7" i="4"/>
  <c r="AK7" i="4"/>
  <c r="AI7" i="4"/>
  <c r="D12" i="4" s="1"/>
  <c r="E12" i="4" s="1"/>
  <c r="AD7" i="4"/>
  <c r="D11" i="4" s="1"/>
  <c r="E11" i="4" s="1"/>
  <c r="Y7" i="4"/>
  <c r="D10" i="4" s="1"/>
  <c r="E10" i="4" s="1"/>
  <c r="AO7" i="4"/>
  <c r="AQ7" i="4"/>
  <c r="T7" i="4"/>
  <c r="AP7" i="4"/>
  <c r="D8" i="4" l="1"/>
  <c r="E8" i="4" s="1"/>
  <c r="U7" i="4"/>
  <c r="AR7" i="4"/>
  <c r="L7" i="4"/>
  <c r="K7" i="4"/>
  <c r="J7" i="4"/>
  <c r="M7" i="4" l="1"/>
  <c r="Z7" i="29"/>
  <c r="W7" i="29" s="1"/>
  <c r="Z7" i="56"/>
  <c r="W7" i="56" s="1"/>
  <c r="Z7" i="60"/>
  <c r="W7" i="60" s="1"/>
  <c r="D7" i="4"/>
  <c r="C7" i="4"/>
  <c r="AL3" i="4"/>
  <c r="A1" i="4"/>
  <c r="AT3" i="4" s="1"/>
  <c r="AY49" i="16"/>
  <c r="AY48" i="16"/>
  <c r="AQ48" i="16"/>
  <c r="AI48" i="16"/>
  <c r="AD48" i="16"/>
  <c r="AY47" i="16"/>
  <c r="AQ47" i="16"/>
  <c r="AI47" i="16"/>
  <c r="AD47" i="16"/>
  <c r="AY46" i="16"/>
  <c r="AQ46" i="16"/>
  <c r="AI46" i="16"/>
  <c r="AD46" i="16"/>
  <c r="AY45" i="16"/>
  <c r="AQ45" i="16"/>
  <c r="AI45" i="16"/>
  <c r="AD45" i="16"/>
  <c r="AY44" i="16"/>
  <c r="AQ44" i="16"/>
  <c r="AI44" i="16"/>
  <c r="AD44" i="16"/>
  <c r="AY43" i="16"/>
  <c r="AQ43" i="16"/>
  <c r="AI43" i="16"/>
  <c r="AD43" i="16"/>
  <c r="AY42" i="16"/>
  <c r="AQ42" i="16"/>
  <c r="AI42" i="16"/>
  <c r="AD42" i="16"/>
  <c r="AY41" i="16"/>
  <c r="AQ41" i="16"/>
  <c r="AI41" i="16"/>
  <c r="AD41" i="16"/>
  <c r="AY40" i="16"/>
  <c r="AQ40" i="16"/>
  <c r="AI40" i="16"/>
  <c r="AD40" i="16"/>
  <c r="AY39" i="16"/>
  <c r="AQ39" i="16"/>
  <c r="AI39" i="16"/>
  <c r="AD39" i="16"/>
  <c r="AQ38" i="16"/>
  <c r="AI38" i="16"/>
  <c r="AD38" i="16"/>
  <c r="AI37" i="16"/>
  <c r="AD37" i="16"/>
  <c r="AI36" i="16"/>
  <c r="AD36" i="16"/>
  <c r="AI35" i="16"/>
  <c r="AD35" i="16"/>
  <c r="AI34" i="16"/>
  <c r="AD34" i="16"/>
  <c r="AI33" i="16"/>
  <c r="AD33" i="16"/>
  <c r="AI32" i="16"/>
  <c r="AD32" i="16"/>
  <c r="AY31" i="16"/>
  <c r="AI31" i="16"/>
  <c r="AD31" i="16"/>
  <c r="W45" i="29"/>
  <c r="W45" i="56"/>
  <c r="W45" i="60"/>
  <c r="B4" i="4" l="1"/>
  <c r="W58" i="60"/>
  <c r="AH54" i="60" s="1" a="1"/>
  <c r="O3" i="4"/>
  <c r="W3" i="4"/>
  <c r="AB3" i="4"/>
  <c r="E7" i="4"/>
  <c r="E4" i="4" s="1"/>
  <c r="AG3" i="4"/>
  <c r="O7" i="29"/>
  <c r="L7" i="29" s="1"/>
  <c r="O7" i="56"/>
  <c r="L7" i="56" s="1"/>
  <c r="O7" i="60"/>
  <c r="L7" i="60" s="1"/>
  <c r="AT30" i="16"/>
  <c r="AI30" i="16"/>
  <c r="AD30" i="16"/>
  <c r="AY30" i="16"/>
  <c r="AX30" i="16"/>
  <c r="L45" i="29"/>
  <c r="L54" i="29" a="1"/>
  <c r="AW30" i="16"/>
  <c r="L56" i="29" l="1"/>
  <c r="L57" i="29"/>
  <c r="L55" i="29"/>
  <c r="L54" i="29"/>
  <c r="AZ30" i="16"/>
  <c r="BR27" i="39" s="1"/>
  <c r="BO27" i="39" s="1"/>
  <c r="AH56" i="60"/>
  <c r="AH57" i="60"/>
  <c r="AH55" i="60"/>
  <c r="AH54" i="60"/>
  <c r="AT29" i="16"/>
  <c r="AI29" i="16"/>
  <c r="AD29" i="16"/>
  <c r="AY29" i="16"/>
  <c r="AX29" i="16"/>
  <c r="AG7" i="37"/>
  <c r="AH58" i="60"/>
  <c r="AW29" i="16"/>
  <c r="AZ29" i="16" l="1"/>
  <c r="BR26" i="39" s="1"/>
  <c r="BO26" i="39" s="1"/>
  <c r="AT28" i="16"/>
  <c r="AI28" i="16"/>
  <c r="AD28" i="16"/>
  <c r="W54" i="29" a="1"/>
  <c r="AX28" i="16"/>
  <c r="AY28" i="16"/>
  <c r="AW28" i="16"/>
  <c r="AZ28" i="16" l="1"/>
  <c r="BR25" i="39" s="1"/>
  <c r="BO25" i="39" s="1"/>
  <c r="W57" i="29"/>
  <c r="W56" i="29"/>
  <c r="W54" i="29"/>
  <c r="W55" i="29"/>
  <c r="AT27" i="16"/>
  <c r="AI27" i="16"/>
  <c r="AD27" i="16"/>
  <c r="AW27" i="16"/>
  <c r="AG9" i="37"/>
  <c r="AX27" i="16"/>
  <c r="AY27" i="16"/>
  <c r="AZ27" i="16" l="1"/>
  <c r="BR24" i="39" s="1"/>
  <c r="BO24" i="39" s="1"/>
  <c r="AT26" i="16"/>
  <c r="AI26" i="16"/>
  <c r="AD26" i="16"/>
  <c r="AH54" i="29" a="1"/>
  <c r="AW26" i="16"/>
  <c r="AX26" i="16"/>
  <c r="AY26" i="16"/>
  <c r="AZ26" i="16" l="1"/>
  <c r="BR23" i="39" s="1"/>
  <c r="BO23" i="39" s="1"/>
  <c r="AH57" i="29"/>
  <c r="AH56" i="29"/>
  <c r="AH54" i="29"/>
  <c r="AH55" i="29"/>
  <c r="AT25" i="16"/>
  <c r="AI25" i="16"/>
  <c r="AD25" i="16"/>
  <c r="AW25" i="16"/>
  <c r="AX25" i="16"/>
  <c r="AY25" i="16"/>
  <c r="AG10" i="37"/>
  <c r="AZ25" i="16" l="1"/>
  <c r="BR22" i="39" s="1"/>
  <c r="BO22" i="39" s="1"/>
  <c r="AT24" i="16"/>
  <c r="AI24" i="16"/>
  <c r="AD24" i="16"/>
  <c r="AW24" i="16"/>
  <c r="AX24" i="16"/>
  <c r="AY24" i="16"/>
  <c r="AZ24" i="16" l="1"/>
  <c r="BR21" i="39" s="1"/>
  <c r="BO21" i="39" s="1"/>
  <c r="AT23" i="16"/>
  <c r="AI23" i="16"/>
  <c r="AD23" i="16"/>
  <c r="AW23" i="16"/>
  <c r="AX23" i="16"/>
  <c r="AY23" i="16"/>
  <c r="AZ23" i="16" l="1"/>
  <c r="BR20" i="39" s="1"/>
  <c r="BO20" i="39" s="1"/>
  <c r="AT22" i="16"/>
  <c r="AI22" i="16"/>
  <c r="AD22" i="16"/>
  <c r="AX22" i="16"/>
  <c r="AW22" i="16"/>
  <c r="AY22" i="16"/>
  <c r="AZ22" i="16" l="1"/>
  <c r="BR19" i="39" s="1"/>
  <c r="BO19" i="39" s="1"/>
  <c r="BO18" i="39" s="1"/>
  <c r="AT21" i="16"/>
  <c r="AI21" i="16"/>
  <c r="AD21" i="16"/>
  <c r="AW21" i="16"/>
  <c r="AX21" i="16"/>
  <c r="AY21" i="16"/>
  <c r="AZ21" i="16" l="1"/>
  <c r="BR18" i="39" s="1"/>
  <c r="O21" i="16"/>
  <c r="R21" i="16"/>
  <c r="T21" i="16"/>
  <c r="S21" i="16"/>
  <c r="U21" i="16" l="1"/>
  <c r="Z21" i="39" s="1"/>
  <c r="W21" i="39" s="1"/>
  <c r="AT20" i="16"/>
  <c r="AI20" i="16"/>
  <c r="AD20" i="16"/>
  <c r="AW20" i="16"/>
  <c r="AX20" i="16"/>
  <c r="AY20" i="16"/>
  <c r="AZ20" i="16" l="1"/>
  <c r="CA20" i="39"/>
  <c r="BZ20" i="39"/>
  <c r="O20" i="16"/>
  <c r="S20" i="16"/>
  <c r="R20" i="16"/>
  <c r="T20" i="16"/>
  <c r="U20" i="16" l="1"/>
  <c r="Z20" i="39" s="1"/>
  <c r="W20" i="39" s="1"/>
  <c r="AT19" i="16"/>
  <c r="AQ19" i="16"/>
  <c r="AR19" i="16" s="1"/>
  <c r="AP19" i="16"/>
  <c r="AO19" i="16"/>
  <c r="AI19" i="16"/>
  <c r="AD19" i="16"/>
  <c r="Y19" i="16"/>
  <c r="AY19" i="16"/>
  <c r="AW19" i="16"/>
  <c r="AX19" i="16"/>
  <c r="AZ19" i="16" l="1"/>
  <c r="CA19" i="39"/>
  <c r="BZ19" i="39"/>
  <c r="O19" i="16"/>
  <c r="R19" i="16"/>
  <c r="S19" i="16"/>
  <c r="T19" i="16"/>
  <c r="U19" i="16" l="1"/>
  <c r="Z19" i="39" s="1"/>
  <c r="W19" i="39" s="1"/>
  <c r="AT18" i="16"/>
  <c r="AQ18" i="16"/>
  <c r="AR18" i="16" s="1"/>
  <c r="AP18" i="16"/>
  <c r="AO18" i="16"/>
  <c r="AI18" i="16"/>
  <c r="AD18" i="16"/>
  <c r="Y18" i="16"/>
  <c r="AX18" i="16"/>
  <c r="AY18" i="16"/>
  <c r="AW18" i="16"/>
  <c r="AZ18" i="16" l="1"/>
  <c r="CA18" i="39"/>
  <c r="BZ18" i="39"/>
  <c r="O18" i="16"/>
  <c r="R18" i="16"/>
  <c r="S18" i="16"/>
  <c r="T18" i="16"/>
  <c r="U18" i="16" l="1"/>
  <c r="Z18" i="39" s="1"/>
  <c r="W18" i="39" s="1"/>
  <c r="AT17" i="16"/>
  <c r="AQ17" i="16"/>
  <c r="AR17" i="16" s="1"/>
  <c r="AP17" i="16"/>
  <c r="AO17" i="16"/>
  <c r="AI17" i="16"/>
  <c r="AD17" i="16"/>
  <c r="Y17" i="16"/>
  <c r="AX17" i="16"/>
  <c r="AY17" i="16"/>
  <c r="AW17" i="16"/>
  <c r="AZ17" i="16" l="1"/>
  <c r="BR17" i="39" s="1"/>
  <c r="BO17" i="39" s="1"/>
  <c r="CA17" i="39"/>
  <c r="BZ17" i="39"/>
  <c r="O17" i="16"/>
  <c r="T17" i="16"/>
  <c r="S17" i="16"/>
  <c r="R17" i="16"/>
  <c r="U17" i="16" l="1"/>
  <c r="Z17" i="39" s="1"/>
  <c r="W17" i="39" s="1"/>
  <c r="AT16" i="16"/>
  <c r="AQ16" i="16"/>
  <c r="AR16" i="16" s="1"/>
  <c r="AP16" i="16"/>
  <c r="AO16" i="16"/>
  <c r="AI16" i="16"/>
  <c r="AD16" i="16"/>
  <c r="Y16" i="16"/>
  <c r="AX16" i="16"/>
  <c r="AY16" i="16"/>
  <c r="AW16" i="16"/>
  <c r="AZ16" i="16" l="1"/>
  <c r="BR16" i="39" s="1"/>
  <c r="BO16" i="39" s="1"/>
  <c r="CA16" i="39"/>
  <c r="BZ16" i="39"/>
  <c r="O16" i="16"/>
  <c r="S16" i="16"/>
  <c r="T16" i="16"/>
  <c r="R16" i="16"/>
  <c r="U16" i="16" l="1"/>
  <c r="Z16" i="39" s="1"/>
  <c r="W16" i="39" s="1"/>
  <c r="AT15" i="16"/>
  <c r="AQ15" i="16"/>
  <c r="AR15" i="16" s="1"/>
  <c r="AP15" i="16"/>
  <c r="AO15" i="16"/>
  <c r="AI15" i="16"/>
  <c r="AD15" i="16"/>
  <c r="Y15" i="16"/>
  <c r="AX15" i="16"/>
  <c r="AY15" i="16"/>
  <c r="AW15" i="16"/>
  <c r="AZ15" i="16" l="1"/>
  <c r="BR15" i="39" s="1"/>
  <c r="BO15" i="39" s="1"/>
  <c r="CA15" i="39"/>
  <c r="BZ15" i="39"/>
  <c r="O15" i="16"/>
  <c r="L15" i="16"/>
  <c r="M15" i="16" s="1"/>
  <c r="K15" i="16"/>
  <c r="J15" i="16"/>
  <c r="S15" i="16"/>
  <c r="T15" i="16"/>
  <c r="R15" i="16"/>
  <c r="U15" i="16" l="1"/>
  <c r="Z15" i="39" s="1"/>
  <c r="W15" i="39" s="1"/>
  <c r="AT14" i="16"/>
  <c r="AQ14" i="16"/>
  <c r="AR14" i="16" s="1"/>
  <c r="AP14" i="16"/>
  <c r="AO14" i="16"/>
  <c r="AI14" i="16"/>
  <c r="AD14" i="16"/>
  <c r="Y14" i="16"/>
  <c r="AW14" i="16"/>
  <c r="AX14" i="16"/>
  <c r="AY14" i="16"/>
  <c r="AZ14" i="16" l="1"/>
  <c r="BR14" i="39" s="1"/>
  <c r="BO14" i="39" s="1"/>
  <c r="CA14" i="39"/>
  <c r="BZ14" i="39"/>
  <c r="O14" i="16"/>
  <c r="L14" i="16"/>
  <c r="M14" i="16" s="1"/>
  <c r="K14" i="16"/>
  <c r="J14" i="16"/>
  <c r="S14" i="16"/>
  <c r="R14" i="16"/>
  <c r="T14" i="16"/>
  <c r="U14" i="16" l="1"/>
  <c r="Z14" i="39" s="1"/>
  <c r="W14" i="39" s="1"/>
  <c r="AT13" i="16"/>
  <c r="AQ13" i="16"/>
  <c r="AR13" i="16" s="1"/>
  <c r="AP13" i="16"/>
  <c r="AO13" i="16"/>
  <c r="AI13" i="16"/>
  <c r="AD13" i="16"/>
  <c r="Y13" i="16"/>
  <c r="AX13" i="16"/>
  <c r="AY13" i="16"/>
  <c r="AW13" i="16"/>
  <c r="AZ13" i="16" l="1"/>
  <c r="BR13" i="39" s="1"/>
  <c r="BO13" i="39" s="1"/>
  <c r="CA13" i="39"/>
  <c r="BZ13" i="39"/>
  <c r="O13" i="16"/>
  <c r="L13" i="16"/>
  <c r="M13" i="16" s="1"/>
  <c r="K13" i="16"/>
  <c r="J13" i="16"/>
  <c r="S13" i="16"/>
  <c r="T13" i="16"/>
  <c r="R13" i="16"/>
  <c r="U13" i="16" l="1"/>
  <c r="Z13" i="39" s="1"/>
  <c r="W13" i="39" s="1"/>
  <c r="AT12" i="16"/>
  <c r="AQ12" i="16"/>
  <c r="AR12" i="16" s="1"/>
  <c r="AP12" i="16"/>
  <c r="AO12" i="16"/>
  <c r="AI12" i="16"/>
  <c r="AD12" i="16"/>
  <c r="Y12" i="16"/>
  <c r="AY12" i="16"/>
  <c r="AX12" i="16"/>
  <c r="AW12" i="16"/>
  <c r="AZ12" i="16" l="1"/>
  <c r="BR12" i="39" s="1"/>
  <c r="BO12" i="39" s="1"/>
  <c r="CA12" i="39"/>
  <c r="BZ12" i="39"/>
  <c r="O12" i="16"/>
  <c r="L12" i="16"/>
  <c r="M12" i="16" s="1"/>
  <c r="K12" i="16"/>
  <c r="J12" i="16"/>
  <c r="C12" i="16"/>
  <c r="S12" i="16"/>
  <c r="T12" i="16"/>
  <c r="R12" i="16"/>
  <c r="U12" i="16" l="1"/>
  <c r="Z12" i="39" s="1"/>
  <c r="W12" i="39" s="1"/>
  <c r="AT11" i="16"/>
  <c r="AQ11" i="16"/>
  <c r="AR11" i="16" s="1"/>
  <c r="AP11" i="16"/>
  <c r="AO11" i="16"/>
  <c r="AI11" i="16"/>
  <c r="AD11" i="16"/>
  <c r="Y11" i="16"/>
  <c r="T11" i="16"/>
  <c r="AY11" i="16"/>
  <c r="S11" i="16"/>
  <c r="R11" i="16"/>
  <c r="AX11" i="16"/>
  <c r="AW11" i="16"/>
  <c r="U11" i="16" l="1"/>
  <c r="Z11" i="39" s="1"/>
  <c r="W11" i="39" s="1"/>
  <c r="AZ11" i="16"/>
  <c r="BR11" i="39" s="1"/>
  <c r="BO11" i="39" s="1"/>
  <c r="CA11" i="39"/>
  <c r="BZ11" i="39"/>
  <c r="L11" i="16"/>
  <c r="M11" i="16" s="1"/>
  <c r="K11" i="16"/>
  <c r="J11" i="16"/>
  <c r="C11" i="16"/>
  <c r="AT10" i="16" l="1"/>
  <c r="AQ10" i="16"/>
  <c r="AR10" i="16" s="1"/>
  <c r="AP10" i="16"/>
  <c r="AO10" i="16"/>
  <c r="AI10" i="16"/>
  <c r="AD10" i="16"/>
  <c r="Y10" i="16"/>
  <c r="AX10" i="16"/>
  <c r="T10" i="16"/>
  <c r="AY10" i="16"/>
  <c r="AW10" i="16"/>
  <c r="U10" i="16" l="1"/>
  <c r="Z10" i="39" s="1"/>
  <c r="W10" i="39" s="1"/>
  <c r="AZ10" i="16"/>
  <c r="BR10" i="39" s="1"/>
  <c r="BO10" i="39" s="1"/>
  <c r="CA10" i="39"/>
  <c r="BZ10" i="39"/>
  <c r="L10" i="16"/>
  <c r="M10" i="16" s="1"/>
  <c r="K10" i="16"/>
  <c r="J10" i="16"/>
  <c r="C10" i="16"/>
  <c r="AT9" i="16" l="1"/>
  <c r="AQ9" i="16"/>
  <c r="AR9" i="16" s="1"/>
  <c r="AP9" i="16"/>
  <c r="AO9" i="16"/>
  <c r="AI9" i="16"/>
  <c r="AD9" i="16"/>
  <c r="Y9" i="16"/>
  <c r="AX9" i="16"/>
  <c r="T9" i="16"/>
  <c r="AY9" i="16"/>
  <c r="AW9" i="16"/>
  <c r="U9" i="16" l="1"/>
  <c r="Z9" i="39" s="1"/>
  <c r="W9" i="39" s="1"/>
  <c r="AZ9" i="16"/>
  <c r="BR9" i="39" s="1"/>
  <c r="BO9" i="39" s="1"/>
  <c r="CA9" i="39"/>
  <c r="BZ9" i="39"/>
  <c r="L9" i="16"/>
  <c r="M9" i="16" s="1"/>
  <c r="K9" i="16"/>
  <c r="J9" i="16"/>
  <c r="D9" i="16"/>
  <c r="C9" i="16"/>
  <c r="AT8" i="16"/>
  <c r="AQ8" i="16"/>
  <c r="AR8" i="16" s="1"/>
  <c r="AP8" i="16"/>
  <c r="AO8" i="16"/>
  <c r="AI8" i="16"/>
  <c r="AD8" i="16"/>
  <c r="Y8" i="16"/>
  <c r="AY8" i="16"/>
  <c r="T8" i="16"/>
  <c r="AW8" i="16"/>
  <c r="AX8" i="16"/>
  <c r="E9" i="16" l="1"/>
  <c r="U8" i="16"/>
  <c r="Z8" i="39" s="1"/>
  <c r="W8" i="39" s="1"/>
  <c r="AZ8" i="16"/>
  <c r="BR8" i="39" s="1"/>
  <c r="BO8" i="39" s="1"/>
  <c r="CA8" i="39"/>
  <c r="BZ8" i="39"/>
  <c r="L8" i="16"/>
  <c r="M8" i="16" s="1"/>
  <c r="K8" i="16"/>
  <c r="J8" i="16"/>
  <c r="C8" i="16"/>
  <c r="BO45" i="39"/>
  <c r="AX7" i="16"/>
  <c r="AW7" i="16"/>
  <c r="BZ7" i="39" l="1"/>
  <c r="CA7" i="39"/>
  <c r="AQ7" i="16"/>
  <c r="AR7" i="16" s="1"/>
  <c r="AP7" i="16"/>
  <c r="AO7" i="16"/>
  <c r="AI7" i="16"/>
  <c r="D12" i="16" s="1"/>
  <c r="E12" i="16" s="1"/>
  <c r="AD7" i="16"/>
  <c r="D11" i="16" s="1"/>
  <c r="E11" i="16" s="1"/>
  <c r="Y7" i="16"/>
  <c r="D10" i="16" s="1"/>
  <c r="E10" i="16" s="1"/>
  <c r="T7" i="16"/>
  <c r="D8" i="16" l="1"/>
  <c r="E8" i="16" s="1"/>
  <c r="U7" i="16"/>
  <c r="Z7" i="39" s="1"/>
  <c r="W7" i="39" s="1"/>
  <c r="L7" i="16"/>
  <c r="M7" i="16" s="1"/>
  <c r="C7" i="16"/>
  <c r="B7" i="16"/>
  <c r="AT3" i="16"/>
  <c r="AL3" i="16"/>
  <c r="AG3" i="16"/>
  <c r="AB3" i="16"/>
  <c r="W3" i="16"/>
  <c r="O3" i="16"/>
  <c r="B8" i="16" s="1"/>
  <c r="AY56" i="12"/>
  <c r="AY55" i="12"/>
  <c r="AY54" i="12"/>
  <c r="AY53" i="12"/>
  <c r="AY52" i="12"/>
  <c r="AY51" i="12"/>
  <c r="AY50" i="12"/>
  <c r="AY49" i="12"/>
  <c r="T49" i="12"/>
  <c r="AY48" i="12"/>
  <c r="AQ48" i="12"/>
  <c r="AI48" i="12"/>
  <c r="AD48" i="12"/>
  <c r="T48" i="12"/>
  <c r="W45" i="39"/>
  <c r="D7" i="16" l="1"/>
  <c r="E7" i="16" s="1"/>
  <c r="E4" i="16" s="1"/>
  <c r="AY47" i="12"/>
  <c r="AQ47" i="12"/>
  <c r="AI47" i="12"/>
  <c r="AD47" i="12"/>
  <c r="T47" i="12"/>
  <c r="AY46" i="12"/>
  <c r="AQ46" i="12"/>
  <c r="AI46" i="12"/>
  <c r="AD46" i="12"/>
  <c r="T46" i="12"/>
  <c r="AQ45" i="12"/>
  <c r="AI45" i="12"/>
  <c r="AD45" i="12"/>
  <c r="T45" i="12"/>
  <c r="AQ44" i="12"/>
  <c r="AI44" i="12"/>
  <c r="AD44" i="12"/>
  <c r="T44" i="12"/>
  <c r="AQ43" i="12"/>
  <c r="AI43" i="12"/>
  <c r="AD43" i="12"/>
  <c r="T43" i="12"/>
  <c r="AQ42" i="12"/>
  <c r="AI42" i="12"/>
  <c r="AD42" i="12"/>
  <c r="T42" i="12"/>
  <c r="AQ41" i="12"/>
  <c r="AI41" i="12"/>
  <c r="AD41" i="12"/>
  <c r="T41" i="12"/>
  <c r="AQ40" i="12"/>
  <c r="AI40" i="12"/>
  <c r="AD40" i="12"/>
  <c r="T40" i="12"/>
  <c r="AQ39" i="12"/>
  <c r="AI39" i="12"/>
  <c r="AD39" i="12"/>
  <c r="T39" i="12"/>
  <c r="AY38" i="12"/>
  <c r="AQ38" i="12"/>
  <c r="AI38" i="12"/>
  <c r="AD38" i="12"/>
  <c r="AY37" i="12"/>
  <c r="AI37" i="12"/>
  <c r="AD37" i="12"/>
  <c r="AI36" i="12"/>
  <c r="AD36" i="12"/>
  <c r="AI35" i="12"/>
  <c r="AD35" i="12"/>
  <c r="AT34" i="12"/>
  <c r="AI34" i="12"/>
  <c r="AD34" i="12"/>
  <c r="W54" i="39" a="1"/>
  <c r="AW34" i="12"/>
  <c r="AX34" i="12"/>
  <c r="AY34" i="12"/>
  <c r="W56" i="39" l="1"/>
  <c r="W55" i="39"/>
  <c r="W57" i="39"/>
  <c r="W54" i="39"/>
  <c r="B4" i="16"/>
  <c r="AZ34" i="12"/>
  <c r="AT33" i="12"/>
  <c r="AI33" i="12"/>
  <c r="AD33" i="12"/>
  <c r="AW33" i="12"/>
  <c r="AE9" i="37"/>
  <c r="AX33" i="12"/>
  <c r="AY33" i="12"/>
  <c r="AZ33" i="12" l="1"/>
  <c r="AT32" i="12"/>
  <c r="AI32" i="12"/>
  <c r="AD32" i="12"/>
  <c r="AH54" i="39" a="1"/>
  <c r="AW32" i="12"/>
  <c r="AX32" i="12"/>
  <c r="AY32" i="12"/>
  <c r="AH56" i="39" l="1"/>
  <c r="AH54" i="39"/>
  <c r="AH55" i="39"/>
  <c r="AH57" i="39"/>
  <c r="AZ32" i="12"/>
  <c r="AI31" i="12"/>
  <c r="AD31" i="12"/>
  <c r="AI30" i="12"/>
  <c r="AD30" i="12"/>
  <c r="AT29" i="12"/>
  <c r="AI29" i="12"/>
  <c r="AD29" i="12"/>
  <c r="AE10" i="37"/>
  <c r="AW29" i="12"/>
  <c r="AX29" i="12"/>
  <c r="AY29" i="12"/>
  <c r="CA22" i="34" l="1"/>
  <c r="BZ22" i="34"/>
  <c r="O29" i="12"/>
  <c r="R29" i="12"/>
  <c r="S29" i="12"/>
  <c r="T29" i="12"/>
  <c r="U29" i="12" l="1"/>
  <c r="Z42" i="34" s="1"/>
  <c r="W42" i="34" s="1"/>
  <c r="AT28" i="12"/>
  <c r="AI28" i="12"/>
  <c r="AD28" i="12"/>
  <c r="AW28" i="12"/>
  <c r="AX28" i="12"/>
  <c r="AY28" i="12"/>
  <c r="CA21" i="34" l="1"/>
  <c r="BZ21" i="34"/>
  <c r="O28" i="12"/>
  <c r="S28" i="12"/>
  <c r="T28" i="12"/>
  <c r="R28" i="12"/>
  <c r="U28" i="12" l="1"/>
  <c r="Z41" i="34" s="1"/>
  <c r="W41" i="34" s="1"/>
  <c r="AT27" i="12"/>
  <c r="AI27" i="12"/>
  <c r="AD27" i="12"/>
  <c r="AW27" i="12"/>
  <c r="AX27" i="12"/>
  <c r="AY27" i="12"/>
  <c r="AZ27" i="12" l="1"/>
  <c r="CA20" i="34"/>
  <c r="BZ20" i="34"/>
  <c r="O27" i="12"/>
  <c r="S27" i="12"/>
  <c r="R27" i="12"/>
  <c r="T27" i="12"/>
  <c r="U27" i="12" l="1"/>
  <c r="Z40" i="34" s="1"/>
  <c r="W40" i="34" s="1"/>
  <c r="AT26" i="12"/>
  <c r="AI26" i="12"/>
  <c r="AD26" i="12"/>
  <c r="AW26" i="12"/>
  <c r="AX26" i="12"/>
  <c r="AY26" i="12"/>
  <c r="AZ26" i="12" l="1"/>
  <c r="CA19" i="34"/>
  <c r="BZ19" i="34"/>
  <c r="W26" i="12"/>
  <c r="Y26" i="12"/>
  <c r="Z26" i="12" l="1"/>
  <c r="AK29" i="34" s="1"/>
  <c r="AH29" i="34" s="1"/>
  <c r="O26" i="12"/>
  <c r="R26" i="12"/>
  <c r="S26" i="12"/>
  <c r="T26" i="12"/>
  <c r="U26" i="12" l="1"/>
  <c r="Z39" i="34" s="1"/>
  <c r="W39" i="34" s="1"/>
  <c r="AT25" i="12"/>
  <c r="AI25" i="12"/>
  <c r="AD25" i="12"/>
  <c r="AX25" i="12"/>
  <c r="AW25" i="12"/>
  <c r="AY25" i="12"/>
  <c r="AZ25" i="12" l="1"/>
  <c r="CA18" i="34"/>
  <c r="BZ18" i="34"/>
  <c r="W25" i="12"/>
  <c r="Y25" i="12"/>
  <c r="Z25" i="12" l="1"/>
  <c r="AK28" i="34" s="1"/>
  <c r="AH28" i="34" s="1"/>
  <c r="O25" i="12"/>
  <c r="T25" i="12"/>
  <c r="R25" i="12"/>
  <c r="S25" i="12"/>
  <c r="U25" i="12" l="1"/>
  <c r="Z38" i="34" s="1"/>
  <c r="W38" i="34" s="1"/>
  <c r="AT24" i="12"/>
  <c r="AI24" i="12"/>
  <c r="AD24" i="12"/>
  <c r="AW24" i="12"/>
  <c r="AX24" i="12"/>
  <c r="AY24" i="12"/>
  <c r="AZ24" i="12" l="1"/>
  <c r="CA17" i="34"/>
  <c r="BZ17" i="34"/>
  <c r="W24" i="12"/>
  <c r="Y24" i="12"/>
  <c r="Z24" i="12" l="1"/>
  <c r="AK27" i="34" s="1"/>
  <c r="AH27" i="34" s="1"/>
  <c r="O24" i="12"/>
  <c r="R24" i="12"/>
  <c r="S24" i="12"/>
  <c r="T24" i="12"/>
  <c r="U24" i="12" l="1"/>
  <c r="Z37" i="34" s="1"/>
  <c r="W37" i="34" s="1"/>
  <c r="AT23" i="12"/>
  <c r="AI23" i="12"/>
  <c r="AD23" i="12"/>
  <c r="AX23" i="12"/>
  <c r="AY23" i="12"/>
  <c r="AW23" i="12"/>
  <c r="AZ23" i="12" l="1"/>
  <c r="W23" i="12"/>
  <c r="Y23" i="12"/>
  <c r="Z23" i="12" l="1"/>
  <c r="AK26" i="34" s="1"/>
  <c r="AH26" i="34" s="1"/>
  <c r="O23" i="12"/>
  <c r="R23" i="12"/>
  <c r="T23" i="12"/>
  <c r="S23" i="12"/>
  <c r="U23" i="12" l="1"/>
  <c r="Z36" i="34" s="1"/>
  <c r="W36" i="34" s="1"/>
  <c r="AT22" i="12"/>
  <c r="AI22" i="12"/>
  <c r="AD22" i="12"/>
  <c r="AX22" i="12"/>
  <c r="AW22" i="12"/>
  <c r="AY22" i="12"/>
  <c r="AZ22" i="12" l="1"/>
  <c r="W22" i="12"/>
  <c r="Y22" i="12"/>
  <c r="Z22" i="12" l="1"/>
  <c r="AK25" i="34" s="1"/>
  <c r="AH25" i="34" s="1"/>
  <c r="O22" i="12"/>
  <c r="R22" i="12"/>
  <c r="S22" i="12"/>
  <c r="T22" i="12"/>
  <c r="U22" i="12" l="1"/>
  <c r="Z35" i="34" s="1"/>
  <c r="W35" i="34" s="1"/>
  <c r="AT21" i="12"/>
  <c r="AI21" i="12"/>
  <c r="AD21" i="12"/>
  <c r="AX21" i="12"/>
  <c r="AW21" i="12"/>
  <c r="AY21" i="12"/>
  <c r="AZ21" i="12" l="1"/>
  <c r="BR20" i="34" s="1"/>
  <c r="BO20" i="34" s="1"/>
  <c r="CA16" i="34"/>
  <c r="BZ16" i="34"/>
  <c r="W21" i="12"/>
  <c r="Y21" i="12"/>
  <c r="Z21" i="12" l="1"/>
  <c r="AK24" i="34" s="1"/>
  <c r="AH24" i="34" s="1"/>
  <c r="O21" i="12"/>
  <c r="R21" i="12"/>
  <c r="S21" i="12"/>
  <c r="T21" i="12"/>
  <c r="U21" i="12" l="1"/>
  <c r="Z34" i="34" s="1"/>
  <c r="W34" i="34" s="1"/>
  <c r="AT20" i="12"/>
  <c r="AI20" i="12"/>
  <c r="AD20" i="12"/>
  <c r="AX20" i="12"/>
  <c r="AW20" i="12"/>
  <c r="AY20" i="12"/>
  <c r="AZ20" i="12" l="1"/>
  <c r="BR19" i="34" s="1"/>
  <c r="BO19" i="34" s="1"/>
  <c r="W20" i="12"/>
  <c r="Y20" i="12"/>
  <c r="Z20" i="12" l="1"/>
  <c r="AK23" i="34" s="1"/>
  <c r="AH23" i="34" s="1"/>
  <c r="O20" i="12"/>
  <c r="R20" i="12"/>
  <c r="S20" i="12"/>
  <c r="T20" i="12"/>
  <c r="U20" i="12" l="1"/>
  <c r="Z33" i="34" s="1"/>
  <c r="W33" i="34" s="1"/>
  <c r="AT19" i="12"/>
  <c r="AW19" i="12"/>
  <c r="AX19" i="12"/>
  <c r="AY19" i="12"/>
  <c r="AZ19" i="12" l="1"/>
  <c r="BR18" i="34" s="1"/>
  <c r="BO18" i="34" s="1"/>
  <c r="AL19" i="12"/>
  <c r="AI19" i="12"/>
  <c r="AD19" i="12"/>
  <c r="AO19" i="12"/>
  <c r="AP19" i="12"/>
  <c r="AQ19" i="12"/>
  <c r="BL47" i="12" l="1"/>
  <c r="AR19" i="12"/>
  <c r="W19" i="12"/>
  <c r="Y19" i="12"/>
  <c r="Z19" i="12" l="1"/>
  <c r="AK22" i="34" s="1"/>
  <c r="AH22" i="34" s="1"/>
  <c r="O19" i="12"/>
  <c r="T19" i="12"/>
  <c r="R19" i="12"/>
  <c r="S19" i="12"/>
  <c r="U19" i="12" l="1"/>
  <c r="Z32" i="34" s="1"/>
  <c r="W32" i="34" s="1"/>
  <c r="AT18" i="12"/>
  <c r="AW18" i="12"/>
  <c r="AX18" i="12"/>
  <c r="AY18" i="12"/>
  <c r="AZ18" i="12" l="1"/>
  <c r="BR17" i="34" s="1"/>
  <c r="BO17" i="34" s="1"/>
  <c r="CA15" i="34"/>
  <c r="BZ15" i="34"/>
  <c r="AL18" i="12"/>
  <c r="AI18" i="12"/>
  <c r="AD18" i="12"/>
  <c r="AO18" i="12"/>
  <c r="AQ18" i="12"/>
  <c r="AP18" i="12"/>
  <c r="BL37" i="12" l="1"/>
  <c r="AR18" i="12"/>
  <c r="W18" i="12"/>
  <c r="Y18" i="12"/>
  <c r="Z18" i="12" l="1"/>
  <c r="AK21" i="34" s="1"/>
  <c r="AH21" i="34" s="1"/>
  <c r="O18" i="12"/>
  <c r="R18" i="12"/>
  <c r="T18" i="12"/>
  <c r="S18" i="12"/>
  <c r="U18" i="12" l="1"/>
  <c r="Z31" i="34" s="1"/>
  <c r="W31" i="34" s="1"/>
  <c r="AT17" i="12"/>
  <c r="AW17" i="12"/>
  <c r="AY17" i="12"/>
  <c r="AX17" i="12"/>
  <c r="AZ17" i="12" l="1"/>
  <c r="BR16" i="34" s="1"/>
  <c r="BO16" i="34" s="1"/>
  <c r="AL17" i="12"/>
  <c r="AI17" i="12"/>
  <c r="AD17" i="12"/>
  <c r="AO17" i="12"/>
  <c r="AP17" i="12"/>
  <c r="AQ17" i="12"/>
  <c r="BL31" i="12" l="1"/>
  <c r="AR17" i="12"/>
  <c r="W17" i="12"/>
  <c r="Y17" i="12"/>
  <c r="Z17" i="12" l="1"/>
  <c r="AK20" i="34" s="1"/>
  <c r="AH20" i="34" s="1"/>
  <c r="O17" i="12"/>
  <c r="S17" i="12"/>
  <c r="T17" i="12"/>
  <c r="R17" i="12"/>
  <c r="U17" i="12" l="1"/>
  <c r="Z30" i="34" s="1"/>
  <c r="W30" i="34" s="1"/>
  <c r="AT16" i="12"/>
  <c r="AW16" i="12"/>
  <c r="AX16" i="12"/>
  <c r="AY16" i="12"/>
  <c r="AZ16" i="12" l="1"/>
  <c r="BR15" i="34" s="1"/>
  <c r="BO15" i="34" s="1"/>
  <c r="AL16" i="12"/>
  <c r="AI16" i="12"/>
  <c r="AO16" i="12"/>
  <c r="AP16" i="12"/>
  <c r="AQ16" i="12"/>
  <c r="BL27" i="12" l="1"/>
  <c r="AR16" i="12"/>
  <c r="AB16" i="12"/>
  <c r="AD16" i="12"/>
  <c r="AE16" i="12" l="1"/>
  <c r="BG18" i="34" s="1"/>
  <c r="BD18" i="34" s="1"/>
  <c r="W16" i="12"/>
  <c r="Y16" i="12"/>
  <c r="Z16" i="12" l="1"/>
  <c r="AK19" i="34" s="1"/>
  <c r="AH19" i="34" s="1"/>
  <c r="O16" i="12"/>
  <c r="R16" i="12"/>
  <c r="S16" i="12"/>
  <c r="T16" i="12"/>
  <c r="U16" i="12" l="1"/>
  <c r="Z16" i="34" s="1"/>
  <c r="W16" i="34" s="1"/>
  <c r="AT15" i="12"/>
  <c r="AW15" i="12"/>
  <c r="AX15" i="12"/>
  <c r="AY15" i="12"/>
  <c r="AZ15" i="12" l="1"/>
  <c r="BR14" i="34" s="1"/>
  <c r="BO14" i="34" s="1"/>
  <c r="CA14" i="34"/>
  <c r="BZ14" i="34"/>
  <c r="AL15" i="12"/>
  <c r="AI15" i="12"/>
  <c r="AO15" i="12"/>
  <c r="AP15" i="12"/>
  <c r="AQ15" i="12"/>
  <c r="BL25" i="12" l="1"/>
  <c r="AR15" i="12"/>
  <c r="AB15" i="12"/>
  <c r="AD15" i="12"/>
  <c r="AE15" i="12" l="1"/>
  <c r="BG17" i="34" s="1"/>
  <c r="BD17" i="34" s="1"/>
  <c r="W15" i="12"/>
  <c r="Y15" i="12"/>
  <c r="Z15" i="12" l="1"/>
  <c r="AK18" i="34" s="1"/>
  <c r="AH18" i="34" s="1"/>
  <c r="O15" i="12"/>
  <c r="R15" i="12"/>
  <c r="S15" i="12"/>
  <c r="T15" i="12"/>
  <c r="U15" i="12" l="1"/>
  <c r="Z15" i="34" s="1"/>
  <c r="W15" i="34" s="1"/>
  <c r="G15" i="12"/>
  <c r="J15" i="12"/>
  <c r="L15" i="12"/>
  <c r="K15" i="12"/>
  <c r="M15" i="12" l="1"/>
  <c r="O15" i="34" l="1"/>
  <c r="L15" i="34" s="1"/>
  <c r="AT14" i="12"/>
  <c r="AX14" i="12"/>
  <c r="AW14" i="12"/>
  <c r="AY14" i="12"/>
  <c r="AZ14" i="12" l="1"/>
  <c r="BR13" i="34" s="1"/>
  <c r="BO13" i="34" s="1"/>
  <c r="CA13" i="34"/>
  <c r="BZ13" i="34"/>
  <c r="AL14" i="12"/>
  <c r="AI14" i="12"/>
  <c r="AP14" i="12"/>
  <c r="AO14" i="12"/>
  <c r="AQ14" i="12"/>
  <c r="BL23" i="12" l="1"/>
  <c r="AR14" i="12"/>
  <c r="AB14" i="12"/>
  <c r="AD14" i="12"/>
  <c r="AE14" i="12" l="1"/>
  <c r="BG16" i="34" s="1"/>
  <c r="BD16" i="34" s="1"/>
  <c r="W14" i="12"/>
  <c r="Y14" i="12"/>
  <c r="Z14" i="12" l="1"/>
  <c r="O14" i="12"/>
  <c r="T14" i="12"/>
  <c r="S14" i="12"/>
  <c r="R14" i="12"/>
  <c r="U14" i="12" l="1"/>
  <c r="Z14" i="34" s="1"/>
  <c r="W14" i="34" s="1"/>
  <c r="AK17" i="34"/>
  <c r="AH17" i="34" s="1"/>
  <c r="Z17" i="34"/>
  <c r="W17" i="34" s="1"/>
  <c r="G14" i="12"/>
  <c r="J14" i="12"/>
  <c r="L14" i="12"/>
  <c r="K14" i="12"/>
  <c r="M14" i="12" l="1"/>
  <c r="O14" i="34" s="1"/>
  <c r="L14" i="34" s="1"/>
  <c r="AT13" i="12"/>
  <c r="AW13" i="12"/>
  <c r="AX13" i="12"/>
  <c r="AY13" i="12"/>
  <c r="AZ13" i="12" l="1"/>
  <c r="BR12" i="34" s="1"/>
  <c r="BO12" i="34" s="1"/>
  <c r="CA12" i="34"/>
  <c r="BZ12" i="34"/>
  <c r="AL13" i="12"/>
  <c r="AI13" i="12"/>
  <c r="AQ13" i="12"/>
  <c r="AO13" i="12"/>
  <c r="AP13" i="12"/>
  <c r="BL21" i="12" l="1"/>
  <c r="AR13" i="12"/>
  <c r="AB13" i="12"/>
  <c r="AD13" i="12"/>
  <c r="AE13" i="12" l="1"/>
  <c r="BG15" i="34" s="1"/>
  <c r="BD15" i="34" s="1"/>
  <c r="W13" i="12"/>
  <c r="Z13" i="12"/>
  <c r="AK16" i="34" l="1"/>
  <c r="AH16" i="34" s="1"/>
  <c r="O13" i="12"/>
  <c r="R13" i="12"/>
  <c r="T13" i="12"/>
  <c r="S13" i="12"/>
  <c r="U13" i="12" l="1"/>
  <c r="Z13" i="34" s="1"/>
  <c r="W13" i="34" s="1"/>
  <c r="G13" i="12"/>
  <c r="J13" i="12"/>
  <c r="L13" i="12"/>
  <c r="K13" i="12"/>
  <c r="M13" i="12" l="1"/>
  <c r="O13" i="34" s="1"/>
  <c r="L13" i="34" s="1"/>
  <c r="AT12" i="12"/>
  <c r="AW12" i="12"/>
  <c r="AY12" i="12"/>
  <c r="AX12" i="12"/>
  <c r="AZ12" i="12" l="1"/>
  <c r="CA11" i="34"/>
  <c r="BZ11" i="34"/>
  <c r="AL12" i="12"/>
  <c r="AI12" i="12"/>
  <c r="AO12" i="12"/>
  <c r="AP12" i="12"/>
  <c r="AQ12" i="12"/>
  <c r="BL19" i="12" l="1"/>
  <c r="AR12" i="12"/>
  <c r="AB12" i="12"/>
  <c r="AD12" i="12"/>
  <c r="AE12" i="12" l="1"/>
  <c r="BG14" i="34" s="1"/>
  <c r="BD14" i="34" s="1"/>
  <c r="W12" i="12"/>
  <c r="Z12" i="12"/>
  <c r="AK15" i="34" l="1"/>
  <c r="AH15" i="34" s="1"/>
  <c r="O12" i="12"/>
  <c r="R12" i="12"/>
  <c r="S12" i="12"/>
  <c r="T12" i="12"/>
  <c r="U12" i="12" l="1"/>
  <c r="Z12" i="34" s="1"/>
  <c r="W12" i="34" s="1"/>
  <c r="G12" i="12"/>
  <c r="C12" i="12"/>
  <c r="J12" i="12"/>
  <c r="K12" i="12"/>
  <c r="L12" i="12"/>
  <c r="M12" i="12" l="1"/>
  <c r="O12" i="34" s="1"/>
  <c r="L12" i="34" s="1"/>
  <c r="AT11" i="12"/>
  <c r="AW11" i="12"/>
  <c r="AY11" i="12"/>
  <c r="AX11" i="12"/>
  <c r="AZ11" i="12" l="1"/>
  <c r="BR11" i="34" s="1"/>
  <c r="BO11" i="34" s="1"/>
  <c r="CA10" i="34"/>
  <c r="BZ10" i="34"/>
  <c r="AL11" i="12"/>
  <c r="AI11" i="12"/>
  <c r="AO11" i="12"/>
  <c r="AQ11" i="12"/>
  <c r="AP11" i="12"/>
  <c r="BL17" i="12" l="1"/>
  <c r="AR11" i="12"/>
  <c r="AB11" i="12"/>
  <c r="AD11" i="12"/>
  <c r="AE11" i="12" l="1"/>
  <c r="BG13" i="34" s="1"/>
  <c r="BD13" i="34" s="1"/>
  <c r="W11" i="12"/>
  <c r="Z11" i="12"/>
  <c r="AK14" i="34" l="1"/>
  <c r="AH14" i="34" s="1"/>
  <c r="O11" i="12"/>
  <c r="R11" i="12"/>
  <c r="S11" i="12"/>
  <c r="T11" i="12"/>
  <c r="U11" i="12" l="1"/>
  <c r="Z11" i="34" s="1"/>
  <c r="W11" i="34" s="1"/>
  <c r="G11" i="12"/>
  <c r="J11" i="12"/>
  <c r="K11" i="12"/>
  <c r="L11" i="12"/>
  <c r="M11" i="12" l="1"/>
  <c r="O11" i="34" s="1"/>
  <c r="L11" i="34" s="1"/>
  <c r="AT10" i="12"/>
  <c r="AX10" i="12"/>
  <c r="AW10" i="12"/>
  <c r="AY10" i="12"/>
  <c r="AZ10" i="12" l="1"/>
  <c r="BR10" i="34" s="1"/>
  <c r="BO10" i="34" s="1"/>
  <c r="AL10" i="12"/>
  <c r="AI10" i="12"/>
  <c r="AO10" i="12"/>
  <c r="AP10" i="12"/>
  <c r="AQ10" i="12"/>
  <c r="BL15" i="12" l="1"/>
  <c r="AR10" i="12"/>
  <c r="AB10" i="12"/>
  <c r="AD10" i="12"/>
  <c r="AE10" i="12" l="1"/>
  <c r="BG12" i="34" s="1"/>
  <c r="BD12" i="34" s="1"/>
  <c r="W10" i="12"/>
  <c r="Z10" i="12"/>
  <c r="T10" i="12"/>
  <c r="U10" i="12" l="1"/>
  <c r="Z10" i="34" s="1"/>
  <c r="W10" i="34" s="1"/>
  <c r="AK13" i="34"/>
  <c r="AH13" i="34" s="1"/>
  <c r="G10" i="12"/>
  <c r="D10" i="12"/>
  <c r="C10" i="12"/>
  <c r="K10" i="12"/>
  <c r="J10" i="12"/>
  <c r="L10" i="12"/>
  <c r="E10" i="12" l="1"/>
  <c r="M10" i="12"/>
  <c r="O10" i="34" s="1"/>
  <c r="L10" i="34" s="1"/>
  <c r="AT9" i="12"/>
  <c r="AW9" i="12"/>
  <c r="AY9" i="12"/>
  <c r="AX9" i="12"/>
  <c r="AZ9" i="12" l="1"/>
  <c r="BR9" i="34" s="1"/>
  <c r="BO9" i="34" s="1"/>
  <c r="CA9" i="34"/>
  <c r="BZ9" i="34"/>
  <c r="AL9" i="12"/>
  <c r="AI9" i="12"/>
  <c r="AO9" i="12"/>
  <c r="AP9" i="12"/>
  <c r="AQ9" i="12"/>
  <c r="BL13" i="12" l="1"/>
  <c r="AR9" i="12"/>
  <c r="AB9" i="12"/>
  <c r="AD9" i="12"/>
  <c r="AE9" i="12" l="1"/>
  <c r="BG11" i="34" s="1"/>
  <c r="BD11" i="34" s="1"/>
  <c r="W9" i="12"/>
  <c r="Z9" i="12"/>
  <c r="T9" i="12"/>
  <c r="U9" i="12" l="1"/>
  <c r="AK12" i="34"/>
  <c r="AH12" i="34" s="1"/>
  <c r="Z9" i="34" l="1"/>
  <c r="W9" i="34" s="1"/>
  <c r="AK9" i="34"/>
  <c r="AH9" i="34" s="1"/>
  <c r="G9" i="12"/>
  <c r="D9" i="12"/>
  <c r="C9" i="12"/>
  <c r="J9" i="12"/>
  <c r="K9" i="12"/>
  <c r="L9" i="12"/>
  <c r="E9" i="12" l="1"/>
  <c r="M9" i="12"/>
  <c r="O9" i="34" s="1"/>
  <c r="L9" i="34" s="1"/>
  <c r="AT8" i="12"/>
  <c r="AW8" i="12"/>
  <c r="AX8" i="12"/>
  <c r="AY8" i="12"/>
  <c r="AZ8" i="12" l="1"/>
  <c r="BR8" i="34" s="1"/>
  <c r="BO8" i="34" s="1"/>
  <c r="CA8" i="34"/>
  <c r="BZ8" i="34"/>
  <c r="AL8" i="12"/>
  <c r="AI8" i="12"/>
  <c r="AP8" i="12"/>
  <c r="AO8" i="12"/>
  <c r="AQ8" i="12"/>
  <c r="BL11" i="12" l="1"/>
  <c r="AR8" i="12"/>
  <c r="AB8" i="12"/>
  <c r="AD8" i="12"/>
  <c r="AE8" i="12" l="1"/>
  <c r="BG10" i="34" s="1"/>
  <c r="BD10" i="34" s="1"/>
  <c r="W8" i="12"/>
  <c r="Z8" i="12"/>
  <c r="T8" i="12"/>
  <c r="U8" i="12" l="1"/>
  <c r="AK11" i="34"/>
  <c r="AH11" i="34" s="1"/>
  <c r="AK8" i="34" l="1"/>
  <c r="AH8" i="34" s="1"/>
  <c r="Z8" i="34"/>
  <c r="W8" i="34" s="1"/>
  <c r="BG8" i="34"/>
  <c r="BD8" i="34" s="1"/>
  <c r="G8" i="12"/>
  <c r="C8" i="12"/>
  <c r="AX7" i="12"/>
  <c r="AW7" i="12"/>
  <c r="J8" i="12"/>
  <c r="AY7" i="12"/>
  <c r="K8" i="12"/>
  <c r="BZ7" i="34" l="1"/>
  <c r="CA7" i="34"/>
  <c r="AL7" i="12"/>
  <c r="AI7" i="12"/>
  <c r="D12" i="12" s="1"/>
  <c r="E12" i="12" s="1"/>
  <c r="AO7" i="12"/>
  <c r="AQ7" i="12"/>
  <c r="AP7" i="12"/>
  <c r="BL9" i="12" l="1"/>
  <c r="AR7" i="12"/>
  <c r="AB7" i="12"/>
  <c r="AD7" i="12"/>
  <c r="D11" i="12" l="1"/>
  <c r="AE7" i="12"/>
  <c r="BG9" i="34" s="1"/>
  <c r="BD9" i="34" s="1"/>
  <c r="C11" i="12"/>
  <c r="BL7" i="12"/>
  <c r="W7" i="12"/>
  <c r="Z7" i="12"/>
  <c r="T7" i="12"/>
  <c r="E11" i="12" l="1"/>
  <c r="D8" i="12"/>
  <c r="E8" i="12" s="1"/>
  <c r="U7" i="12"/>
  <c r="AK10" i="34"/>
  <c r="AH10" i="34" s="1"/>
  <c r="L7" i="12"/>
  <c r="L8" i="12" l="1"/>
  <c r="M8" i="12" s="1"/>
  <c r="O8" i="34" s="1"/>
  <c r="L8" i="34" s="1"/>
  <c r="M7" i="12"/>
  <c r="O7" i="34" s="1"/>
  <c r="L7" i="34" s="1"/>
  <c r="AK7" i="34"/>
  <c r="AH7" i="34" s="1"/>
  <c r="Z7" i="34"/>
  <c r="W7" i="34" s="1"/>
  <c r="BG7" i="34"/>
  <c r="BD7" i="34" s="1"/>
  <c r="C7" i="12"/>
  <c r="BH4" i="12"/>
  <c r="AT3" i="12"/>
  <c r="AL3" i="12"/>
  <c r="AG3" i="12"/>
  <c r="AB3" i="12"/>
  <c r="W3" i="12"/>
  <c r="O3" i="12"/>
  <c r="BD1" i="12"/>
  <c r="BD7" i="12" s="1"/>
  <c r="AD51" i="54"/>
  <c r="AD50" i="54"/>
  <c r="AY49" i="54"/>
  <c r="AD49" i="54"/>
  <c r="AY48" i="54"/>
  <c r="AQ48" i="54"/>
  <c r="AI48" i="54"/>
  <c r="AD48" i="54"/>
  <c r="AY47" i="54"/>
  <c r="AQ47" i="54"/>
  <c r="AI47" i="54"/>
  <c r="AD47" i="54"/>
  <c r="AY46" i="54"/>
  <c r="AQ46" i="54"/>
  <c r="AI46" i="54"/>
  <c r="AD46" i="54"/>
  <c r="AY45" i="54"/>
  <c r="AQ45" i="54"/>
  <c r="AI45" i="54"/>
  <c r="AD45" i="54"/>
  <c r="AY44" i="54"/>
  <c r="AQ44" i="54"/>
  <c r="AI44" i="54"/>
  <c r="AD44" i="54"/>
  <c r="AY43" i="54"/>
  <c r="AQ43" i="54"/>
  <c r="AI43" i="54"/>
  <c r="AD43" i="54"/>
  <c r="AY42" i="54"/>
  <c r="AQ42" i="54"/>
  <c r="AI42" i="54"/>
  <c r="AD42" i="54"/>
  <c r="AY41" i="54"/>
  <c r="AQ41" i="54"/>
  <c r="AI41" i="54"/>
  <c r="AD41" i="54"/>
  <c r="AY40" i="54"/>
  <c r="AQ40" i="54"/>
  <c r="AI40" i="54"/>
  <c r="AD40" i="54"/>
  <c r="AY39" i="54"/>
  <c r="AQ39" i="54"/>
  <c r="AI39" i="54"/>
  <c r="AD39" i="54"/>
  <c r="AQ38" i="54"/>
  <c r="AI38" i="54"/>
  <c r="AD38" i="54"/>
  <c r="AI37" i="54"/>
  <c r="AD37" i="54"/>
  <c r="AI36" i="54"/>
  <c r="AD36" i="54"/>
  <c r="AI35" i="54"/>
  <c r="AD35" i="54"/>
  <c r="AI34" i="54"/>
  <c r="AD34" i="54"/>
  <c r="AI33" i="54"/>
  <c r="AD33" i="54"/>
  <c r="AI32" i="54"/>
  <c r="AD32" i="54"/>
  <c r="AI31" i="54"/>
  <c r="AD31" i="54"/>
  <c r="AI30" i="54"/>
  <c r="AD30" i="54"/>
  <c r="AI29" i="54"/>
  <c r="AD29" i="54"/>
  <c r="AI28" i="54"/>
  <c r="AD28" i="54"/>
  <c r="AI27" i="54"/>
  <c r="AD27" i="54"/>
  <c r="AI26" i="54"/>
  <c r="AD26" i="54"/>
  <c r="BD9" i="12"/>
  <c r="BI9" i="12" s="1"/>
  <c r="BD11" i="12"/>
  <c r="BI11" i="12" s="1"/>
  <c r="BD13" i="12"/>
  <c r="BD15" i="12"/>
  <c r="BD17" i="12"/>
  <c r="BD19" i="12"/>
  <c r="BI19" i="12" s="1"/>
  <c r="BD21" i="12"/>
  <c r="BD23" i="12"/>
  <c r="BD25" i="12"/>
  <c r="BI25" i="12" s="1"/>
  <c r="BD27" i="12"/>
  <c r="BD29" i="12"/>
  <c r="BD31" i="12"/>
  <c r="BD33" i="12"/>
  <c r="BI33" i="12" s="1"/>
  <c r="BD35" i="12"/>
  <c r="BH35" i="12" s="1"/>
  <c r="BD37" i="12"/>
  <c r="BD39" i="12"/>
  <c r="BD41" i="12"/>
  <c r="BD43" i="12"/>
  <c r="BD45" i="12"/>
  <c r="BD47" i="12"/>
  <c r="BH39" i="12"/>
  <c r="BH45" i="12"/>
  <c r="BI13" i="12"/>
  <c r="BI23" i="12"/>
  <c r="BI31" i="12"/>
  <c r="BI37" i="12"/>
  <c r="BI45" i="12"/>
  <c r="BD45" i="34"/>
  <c r="BF9" i="12"/>
  <c r="BF11" i="12"/>
  <c r="BF13" i="12"/>
  <c r="BF15" i="12"/>
  <c r="BF17" i="12"/>
  <c r="BF19" i="12"/>
  <c r="BF21" i="12"/>
  <c r="BF23" i="12"/>
  <c r="BF25" i="12"/>
  <c r="BF27" i="12"/>
  <c r="BF29" i="12"/>
  <c r="BF31" i="12"/>
  <c r="BF33" i="12"/>
  <c r="BF35" i="12"/>
  <c r="BF37" i="12"/>
  <c r="BF39" i="12"/>
  <c r="BF41" i="12"/>
  <c r="BF43" i="12"/>
  <c r="BF45" i="12"/>
  <c r="BF47" i="12"/>
  <c r="BH37" i="12"/>
  <c r="BH47" i="12"/>
  <c r="BI17" i="12"/>
  <c r="BI29" i="12"/>
  <c r="BI39" i="12"/>
  <c r="BI47" i="12"/>
  <c r="W57" i="34"/>
  <c r="BH9" i="12"/>
  <c r="BH11" i="12"/>
  <c r="BH13" i="12"/>
  <c r="BH15" i="12"/>
  <c r="BH17" i="12"/>
  <c r="BH19" i="12"/>
  <c r="BH21" i="12"/>
  <c r="BH23" i="12"/>
  <c r="BH25" i="12"/>
  <c r="BH27" i="12"/>
  <c r="BH29" i="12"/>
  <c r="BH31" i="12"/>
  <c r="BH33" i="12"/>
  <c r="BH41" i="12"/>
  <c r="BF7" i="12"/>
  <c r="BI15" i="12"/>
  <c r="BI21" i="12"/>
  <c r="BI27" i="12"/>
  <c r="BI35" i="12"/>
  <c r="BI41" i="12"/>
  <c r="BD8" i="12"/>
  <c r="BD10" i="12"/>
  <c r="BD12" i="12"/>
  <c r="BD14" i="12"/>
  <c r="BD16" i="12"/>
  <c r="BD18" i="12"/>
  <c r="BD20" i="12"/>
  <c r="BD22" i="12"/>
  <c r="BD24" i="12"/>
  <c r="BD26" i="12"/>
  <c r="BD28" i="12"/>
  <c r="BD30" i="12"/>
  <c r="BD32" i="12"/>
  <c r="BD34" i="12"/>
  <c r="BD36" i="12"/>
  <c r="BD38" i="12"/>
  <c r="BD40" i="12"/>
  <c r="BD42" i="12"/>
  <c r="BD44" i="12"/>
  <c r="BD46" i="12"/>
  <c r="AH45" i="34"/>
  <c r="BF16" i="12"/>
  <c r="BF28" i="12"/>
  <c r="BF36" i="12"/>
  <c r="BF46" i="12"/>
  <c r="BH18" i="12"/>
  <c r="BH22" i="12"/>
  <c r="BH32" i="12"/>
  <c r="BH44" i="12"/>
  <c r="BI43" i="12"/>
  <c r="BH43" i="12"/>
  <c r="BF8" i="12"/>
  <c r="BI8" i="12"/>
  <c r="BH8" i="12"/>
  <c r="BF10" i="12"/>
  <c r="BI10" i="12"/>
  <c r="BH10" i="12"/>
  <c r="BF12" i="12"/>
  <c r="BI12" i="12"/>
  <c r="BH12" i="12"/>
  <c r="BF14" i="12"/>
  <c r="BH14" i="12"/>
  <c r="BI14" i="12"/>
  <c r="BH16" i="12"/>
  <c r="BI16" i="12"/>
  <c r="BF18" i="12"/>
  <c r="BI18" i="12"/>
  <c r="BF20" i="12"/>
  <c r="BH20" i="12"/>
  <c r="BI20" i="12"/>
  <c r="BF22" i="12"/>
  <c r="BI22" i="12"/>
  <c r="BH24" i="12"/>
  <c r="BF24" i="12"/>
  <c r="BI24" i="12"/>
  <c r="BH26" i="12"/>
  <c r="BF26" i="12"/>
  <c r="BI26" i="12"/>
  <c r="BH28" i="12"/>
  <c r="BI28" i="12"/>
  <c r="BH30" i="12"/>
  <c r="BF30" i="12"/>
  <c r="BI30" i="12"/>
  <c r="BF32" i="12"/>
  <c r="BI32" i="12"/>
  <c r="BH34" i="12"/>
  <c r="BF34" i="12"/>
  <c r="BI34" i="12"/>
  <c r="BH36" i="12"/>
  <c r="BI36" i="12"/>
  <c r="BH38" i="12"/>
  <c r="BF38" i="12"/>
  <c r="BI38" i="12"/>
  <c r="BH40" i="12"/>
  <c r="BF40" i="12"/>
  <c r="BI40" i="12"/>
  <c r="BF42" i="12"/>
  <c r="BH42" i="12"/>
  <c r="BI42" i="12"/>
  <c r="BF44" i="12"/>
  <c r="BI44" i="12"/>
  <c r="BH46" i="12"/>
  <c r="BI46" i="12"/>
  <c r="D7" i="12" l="1"/>
  <c r="E7" i="12" s="1"/>
  <c r="E4" i="12" s="1"/>
  <c r="BE47" i="12"/>
  <c r="BE46" i="12"/>
  <c r="BE45" i="12"/>
  <c r="BE44" i="12"/>
  <c r="BE43" i="12"/>
  <c r="BE42" i="12"/>
  <c r="BE41" i="12"/>
  <c r="BE40" i="12"/>
  <c r="BE39" i="12"/>
  <c r="BE38" i="12"/>
  <c r="BE37" i="12"/>
  <c r="BE36" i="12"/>
  <c r="BE35" i="12"/>
  <c r="BE34" i="12"/>
  <c r="BE33" i="12"/>
  <c r="BE32" i="12"/>
  <c r="BE31" i="12"/>
  <c r="BE30" i="12"/>
  <c r="BE29" i="12"/>
  <c r="BE28" i="12"/>
  <c r="BE27" i="12"/>
  <c r="BE26" i="12"/>
  <c r="BE25" i="12"/>
  <c r="BE24" i="12"/>
  <c r="BE23" i="12"/>
  <c r="BE22" i="12"/>
  <c r="BE21" i="12"/>
  <c r="BE20" i="12"/>
  <c r="BE19" i="12"/>
  <c r="BE18" i="12"/>
  <c r="BE17" i="12"/>
  <c r="BE16" i="12"/>
  <c r="BE15" i="12"/>
  <c r="BE14" i="12"/>
  <c r="BE13" i="12"/>
  <c r="BE12" i="12"/>
  <c r="BE11" i="12"/>
  <c r="BE10" i="12"/>
  <c r="BE9" i="12"/>
  <c r="BH7" i="12"/>
  <c r="BE8" i="12"/>
  <c r="BG7" i="12"/>
  <c r="AT25" i="54"/>
  <c r="AI25" i="54"/>
  <c r="AD25" i="54"/>
  <c r="AY25" i="54"/>
  <c r="AX25" i="54"/>
  <c r="AW25" i="54"/>
  <c r="B4" i="12" l="1"/>
  <c r="BG8" i="12"/>
  <c r="BG9" i="12" s="1"/>
  <c r="BG10" i="12" s="1"/>
  <c r="BG11" i="12" s="1"/>
  <c r="BG12" i="12" s="1"/>
  <c r="BG13" i="12" s="1"/>
  <c r="BG14" i="12" s="1"/>
  <c r="BG15" i="12" s="1"/>
  <c r="BG16" i="12" s="1"/>
  <c r="BG17" i="12" s="1"/>
  <c r="BG18" i="12" s="1"/>
  <c r="BG19" i="12" s="1"/>
  <c r="BG20" i="12" s="1"/>
  <c r="BG21" i="12" s="1"/>
  <c r="BG22" i="12" s="1"/>
  <c r="BG23" i="12" s="1"/>
  <c r="BG24" i="12" s="1"/>
  <c r="BG25" i="12" s="1"/>
  <c r="BG26" i="12" s="1"/>
  <c r="BG27" i="12" s="1"/>
  <c r="BG28" i="12" s="1"/>
  <c r="BG29" i="12" s="1"/>
  <c r="BG30" i="12" s="1"/>
  <c r="BG31" i="12" s="1"/>
  <c r="BG32" i="12" s="1"/>
  <c r="BG33" i="12" s="1"/>
  <c r="BG34" i="12" s="1"/>
  <c r="BG35" i="12" s="1"/>
  <c r="BG36" i="12" s="1"/>
  <c r="BG37" i="12" s="1"/>
  <c r="BG38" i="12" s="1"/>
  <c r="BG39" i="12" s="1"/>
  <c r="BG40" i="12" s="1"/>
  <c r="BG41" i="12" s="1"/>
  <c r="BG42" i="12" s="1"/>
  <c r="BG43" i="12" s="1"/>
  <c r="BG44" i="12" s="1"/>
  <c r="BG45" i="12" s="1"/>
  <c r="BG46" i="12" s="1"/>
  <c r="BG47" i="12" s="1"/>
  <c r="AZ25" i="54"/>
  <c r="BR19" i="56" s="1"/>
  <c r="BO19" i="56" s="1"/>
  <c r="AT24" i="54"/>
  <c r="AI24" i="54"/>
  <c r="AD24" i="54"/>
  <c r="AY24" i="54"/>
  <c r="AX24" i="54"/>
  <c r="AW24" i="54"/>
  <c r="AZ24" i="54" l="1"/>
  <c r="BR18" i="56" s="1"/>
  <c r="BO18" i="56" s="1"/>
  <c r="O24" i="54"/>
  <c r="S24" i="54"/>
  <c r="T24" i="54"/>
  <c r="R24" i="54"/>
  <c r="U24" i="54" l="1"/>
  <c r="AT23" i="54"/>
  <c r="AI23" i="54"/>
  <c r="AD23" i="54"/>
  <c r="AW23" i="54"/>
  <c r="AX23" i="54"/>
  <c r="AY23" i="54"/>
  <c r="AZ23" i="54" l="1"/>
  <c r="BR17" i="56" s="1"/>
  <c r="BO17" i="56" s="1"/>
  <c r="O23" i="54"/>
  <c r="S23" i="54"/>
  <c r="T23" i="54"/>
  <c r="R23" i="54"/>
  <c r="U23" i="54" l="1"/>
  <c r="AT22" i="54"/>
  <c r="AI22" i="54"/>
  <c r="AD22" i="54"/>
  <c r="AW22" i="54"/>
  <c r="AY22" i="54"/>
  <c r="AX22" i="54"/>
  <c r="AZ22" i="54" l="1"/>
  <c r="BR16" i="56" s="1"/>
  <c r="BO16" i="56" s="1"/>
  <c r="O22" i="54"/>
  <c r="R22" i="54"/>
  <c r="S22" i="54"/>
  <c r="T22" i="54"/>
  <c r="U22" i="54" l="1"/>
  <c r="AT21" i="54"/>
  <c r="AI21" i="54"/>
  <c r="AD21" i="54"/>
  <c r="AW21" i="54"/>
  <c r="AX21" i="54"/>
  <c r="AY21" i="54"/>
  <c r="AZ21" i="54" l="1"/>
  <c r="BR15" i="56" s="1"/>
  <c r="BO15" i="56" s="1"/>
  <c r="O21" i="54"/>
  <c r="S21" i="54"/>
  <c r="T21" i="54"/>
  <c r="R21" i="54"/>
  <c r="U21" i="54" l="1"/>
  <c r="AT20" i="54"/>
  <c r="AI20" i="54"/>
  <c r="AD20" i="54"/>
  <c r="AY20" i="54"/>
  <c r="AW20" i="54"/>
  <c r="AX20" i="54"/>
  <c r="AZ20" i="54" l="1"/>
  <c r="O20" i="54"/>
  <c r="AI19" i="54"/>
  <c r="AD19" i="54"/>
  <c r="S20" i="54"/>
  <c r="R20" i="54"/>
  <c r="T20" i="54"/>
  <c r="U20" i="54" l="1"/>
  <c r="O19" i="54"/>
  <c r="R19" i="54"/>
  <c r="S19" i="54"/>
  <c r="T19" i="54"/>
  <c r="U19" i="54" l="1"/>
  <c r="G19" i="54"/>
  <c r="J19" i="54"/>
  <c r="K19" i="54"/>
  <c r="L19" i="54"/>
  <c r="M19" i="54" l="1"/>
  <c r="AT18" i="54"/>
  <c r="AI18" i="54"/>
  <c r="AD18" i="54"/>
  <c r="AW18" i="54"/>
  <c r="AX18" i="54"/>
  <c r="AY18" i="54"/>
  <c r="O19" i="56" l="1"/>
  <c r="O19" i="60"/>
  <c r="O18" i="54"/>
  <c r="T18" i="54"/>
  <c r="R18" i="54"/>
  <c r="S18" i="54"/>
  <c r="U18" i="54" l="1"/>
  <c r="O20" i="56"/>
  <c r="L19" i="56"/>
  <c r="O20" i="60"/>
  <c r="L19" i="60"/>
  <c r="G18" i="54"/>
  <c r="J18" i="54"/>
  <c r="L18" i="54"/>
  <c r="K18" i="54"/>
  <c r="M18" i="54" l="1"/>
  <c r="O21" i="56"/>
  <c r="L20" i="56"/>
  <c r="L20" i="60"/>
  <c r="O21" i="60"/>
  <c r="AT17" i="54"/>
  <c r="AI17" i="54"/>
  <c r="AD17" i="54"/>
  <c r="AX17" i="54"/>
  <c r="AY17" i="54"/>
  <c r="AW17" i="54"/>
  <c r="O22" i="56" l="1"/>
  <c r="L22" i="56" s="1"/>
  <c r="L21" i="56"/>
  <c r="O18" i="56"/>
  <c r="L18" i="56" s="1"/>
  <c r="O18" i="60"/>
  <c r="L18" i="60" s="1"/>
  <c r="O22" i="60"/>
  <c r="L22" i="60" s="1"/>
  <c r="L21" i="60"/>
  <c r="W17" i="54"/>
  <c r="Y17" i="54"/>
  <c r="Z17" i="54" l="1"/>
  <c r="O17" i="54"/>
  <c r="R17" i="54"/>
  <c r="S17" i="54"/>
  <c r="T17" i="54"/>
  <c r="U17" i="54" l="1"/>
  <c r="G17" i="54"/>
  <c r="J17" i="54"/>
  <c r="K17" i="54"/>
  <c r="L17" i="54"/>
  <c r="M17" i="54" l="1"/>
  <c r="AT16" i="54"/>
  <c r="AI16" i="54"/>
  <c r="AY16" i="54"/>
  <c r="AW16" i="54"/>
  <c r="AX16" i="54"/>
  <c r="O17" i="56" l="1"/>
  <c r="L17" i="56" s="1"/>
  <c r="O17" i="60"/>
  <c r="L17" i="60" s="1"/>
  <c r="AB16" i="54"/>
  <c r="AD16" i="54"/>
  <c r="AE16" i="54" l="1"/>
  <c r="W16" i="54"/>
  <c r="Y16" i="54"/>
  <c r="Z16" i="54" l="1"/>
  <c r="O16" i="54"/>
  <c r="R16" i="54"/>
  <c r="T16" i="54"/>
  <c r="S16" i="54"/>
  <c r="U16" i="54" l="1"/>
  <c r="G16" i="54"/>
  <c r="J16" i="54"/>
  <c r="L16" i="54"/>
  <c r="K16" i="54"/>
  <c r="M16" i="54" l="1"/>
  <c r="AT15" i="54"/>
  <c r="AW15" i="54"/>
  <c r="AY15" i="54"/>
  <c r="AX15" i="54"/>
  <c r="O16" i="56" l="1"/>
  <c r="L16" i="56" s="1"/>
  <c r="O16" i="60"/>
  <c r="L16" i="60" s="1"/>
  <c r="AG15" i="54"/>
  <c r="AB15" i="54"/>
  <c r="AI15" i="54"/>
  <c r="AD15" i="54"/>
  <c r="AE15" i="54" l="1"/>
  <c r="W15" i="54"/>
  <c r="Y15" i="54"/>
  <c r="Z15" i="54" l="1"/>
  <c r="O15" i="54"/>
  <c r="R15" i="54"/>
  <c r="S15" i="54"/>
  <c r="T15" i="54"/>
  <c r="U15" i="54" l="1"/>
  <c r="G15" i="54"/>
  <c r="J15" i="54"/>
  <c r="K15" i="54"/>
  <c r="L15" i="54"/>
  <c r="M15" i="54" l="1"/>
  <c r="AT14" i="54"/>
  <c r="AW14" i="54"/>
  <c r="AX14" i="54"/>
  <c r="AY14" i="54"/>
  <c r="O15" i="56" l="1"/>
  <c r="L15" i="56" s="1"/>
  <c r="O15" i="60"/>
  <c r="L15" i="60" s="1"/>
  <c r="AG14" i="54"/>
  <c r="AB14" i="54"/>
  <c r="AD14" i="54"/>
  <c r="AI14" i="54"/>
  <c r="AE14" i="54" l="1"/>
  <c r="W14" i="54"/>
  <c r="Y14" i="54"/>
  <c r="Z14" i="54" l="1"/>
  <c r="O14" i="54"/>
  <c r="R14" i="54"/>
  <c r="S14" i="54"/>
  <c r="T14" i="54"/>
  <c r="U14" i="54" l="1"/>
  <c r="G14" i="54"/>
  <c r="J14" i="54"/>
  <c r="K14" i="54"/>
  <c r="L14" i="54"/>
  <c r="M14" i="54" l="1"/>
  <c r="AT13" i="54"/>
  <c r="AW13" i="54"/>
  <c r="AX13" i="54"/>
  <c r="AY13" i="54"/>
  <c r="O14" i="56" l="1"/>
  <c r="L14" i="56" s="1"/>
  <c r="O14" i="60"/>
  <c r="L14" i="60" s="1"/>
  <c r="AL13" i="54"/>
  <c r="AP13" i="54"/>
  <c r="AO13" i="54"/>
  <c r="AQ13" i="54"/>
  <c r="AR13" i="54" l="1"/>
  <c r="AG13" i="54"/>
  <c r="AI13" i="54"/>
  <c r="AB13" i="54" l="1"/>
  <c r="AD13" i="54"/>
  <c r="AE13" i="54" l="1"/>
  <c r="W13" i="54"/>
  <c r="Y13" i="54"/>
  <c r="Z13" i="54" l="1"/>
  <c r="O13" i="54"/>
  <c r="S13" i="54"/>
  <c r="R13" i="54"/>
  <c r="T13" i="54"/>
  <c r="U13" i="54" l="1"/>
  <c r="G13" i="54"/>
  <c r="K13" i="54"/>
  <c r="J13" i="54"/>
  <c r="L13" i="54"/>
  <c r="M13" i="54" l="1"/>
  <c r="AT12" i="54"/>
  <c r="AX12" i="54"/>
  <c r="AW12" i="54"/>
  <c r="AY12" i="54"/>
  <c r="O13" i="56" l="1"/>
  <c r="L13" i="56" s="1"/>
  <c r="O13" i="60"/>
  <c r="L13" i="60" s="1"/>
  <c r="AL12" i="54"/>
  <c r="AP12" i="54"/>
  <c r="AO12" i="54"/>
  <c r="AQ12" i="54"/>
  <c r="AQ14" i="54" l="1"/>
  <c r="AR14" i="54" s="1"/>
  <c r="AR12" i="54"/>
  <c r="AG12" i="54"/>
  <c r="AB12" i="54"/>
  <c r="AD12" i="54"/>
  <c r="AI12" i="54"/>
  <c r="AE12" i="54" l="1"/>
  <c r="W12" i="54"/>
  <c r="Y12" i="54"/>
  <c r="Z12" i="54" l="1"/>
  <c r="O12" i="54"/>
  <c r="R12" i="54"/>
  <c r="T12" i="54"/>
  <c r="S12" i="54"/>
  <c r="U12" i="54" l="1"/>
  <c r="G12" i="54"/>
  <c r="J12" i="54"/>
  <c r="L12" i="54"/>
  <c r="K12" i="54"/>
  <c r="M12" i="54" l="1"/>
  <c r="AT11" i="54"/>
  <c r="AW11" i="54"/>
  <c r="AY11" i="54"/>
  <c r="AX11" i="54"/>
  <c r="O12" i="56" l="1"/>
  <c r="L12" i="56" s="1"/>
  <c r="O12" i="60"/>
  <c r="L12" i="60" s="1"/>
  <c r="AL11" i="54"/>
  <c r="AO11" i="54"/>
  <c r="AQ11" i="54"/>
  <c r="AP11" i="54"/>
  <c r="AR11" i="54" l="1"/>
  <c r="AG11" i="54"/>
  <c r="AB11" i="54"/>
  <c r="AI11" i="54"/>
  <c r="AD11" i="54"/>
  <c r="AE11" i="54" l="1"/>
  <c r="W11" i="54"/>
  <c r="Y11" i="54"/>
  <c r="T11" i="54"/>
  <c r="U11" i="54" l="1"/>
  <c r="Z11" i="54"/>
  <c r="G11" i="54"/>
  <c r="J11" i="54"/>
  <c r="L11" i="54"/>
  <c r="K11" i="54"/>
  <c r="M11" i="54" l="1"/>
  <c r="AT10" i="54"/>
  <c r="AW10" i="54"/>
  <c r="AY10" i="54"/>
  <c r="AX10" i="54"/>
  <c r="O11" i="56" l="1"/>
  <c r="L11" i="56" s="1"/>
  <c r="O11" i="60"/>
  <c r="L11" i="60" s="1"/>
  <c r="AL10" i="54"/>
  <c r="AO10" i="54"/>
  <c r="AQ10" i="54"/>
  <c r="AP10" i="54"/>
  <c r="AR10" i="54" l="1"/>
  <c r="AG10" i="54"/>
  <c r="AB10" i="54"/>
  <c r="X10" i="54"/>
  <c r="W10" i="54"/>
  <c r="AI10" i="54"/>
  <c r="AD10" i="54"/>
  <c r="T10" i="54"/>
  <c r="Y10" i="54" l="1"/>
  <c r="U10" i="54"/>
  <c r="Z10" i="54" s="1"/>
  <c r="D11" i="54"/>
  <c r="AE10" i="54"/>
  <c r="C11" i="54"/>
  <c r="E11" i="54" l="1"/>
  <c r="G10" i="54"/>
  <c r="J10" i="54"/>
  <c r="L10" i="54"/>
  <c r="K10" i="54"/>
  <c r="M10" i="54" l="1"/>
  <c r="AT9" i="54"/>
  <c r="AX9" i="54"/>
  <c r="AY9" i="54"/>
  <c r="AW9" i="54"/>
  <c r="O10" i="56" l="1"/>
  <c r="L10" i="56" s="1"/>
  <c r="O10" i="60"/>
  <c r="L10" i="60" s="1"/>
  <c r="AL9" i="54"/>
  <c r="AO9" i="54"/>
  <c r="AP9" i="54"/>
  <c r="AQ9" i="54"/>
  <c r="AR9" i="54" l="1"/>
  <c r="AG9" i="54"/>
  <c r="AB9" i="54"/>
  <c r="X9" i="54"/>
  <c r="W9" i="54"/>
  <c r="T9" i="54"/>
  <c r="AI9" i="54"/>
  <c r="AD9" i="54"/>
  <c r="U9" i="54" l="1"/>
  <c r="Z9" i="54" s="1"/>
  <c r="Y9" i="54"/>
  <c r="AE9" i="54"/>
  <c r="G9" i="54"/>
  <c r="D9" i="54"/>
  <c r="C9" i="54"/>
  <c r="L9" i="54"/>
  <c r="J9" i="54"/>
  <c r="K9" i="54"/>
  <c r="E9" i="54" l="1"/>
  <c r="M9" i="54"/>
  <c r="AL8" i="54"/>
  <c r="AO8" i="54"/>
  <c r="AQ8" i="54"/>
  <c r="AP8" i="54"/>
  <c r="AR8" i="54" l="1"/>
  <c r="O9" i="56"/>
  <c r="L9" i="56" s="1"/>
  <c r="O9" i="60"/>
  <c r="L9" i="60" s="1"/>
  <c r="AG8" i="54"/>
  <c r="AB8" i="54"/>
  <c r="X8" i="54"/>
  <c r="W8" i="54"/>
  <c r="AD8" i="54"/>
  <c r="T8" i="54"/>
  <c r="AI8" i="54"/>
  <c r="Y8" i="54" l="1"/>
  <c r="U8" i="54"/>
  <c r="Z8" i="54" s="1"/>
  <c r="AE8" i="54"/>
  <c r="G8" i="54"/>
  <c r="C8" i="54"/>
  <c r="AY7" i="54"/>
  <c r="J8" i="54"/>
  <c r="AW7" i="54"/>
  <c r="K8" i="54"/>
  <c r="L8" i="54"/>
  <c r="AX7" i="54"/>
  <c r="AZ7" i="54" l="1"/>
  <c r="M8" i="54"/>
  <c r="O8" i="56" l="1"/>
  <c r="L8" i="56" s="1"/>
  <c r="O8" i="60"/>
  <c r="L8" i="60" s="1"/>
  <c r="BR7" i="56"/>
  <c r="BP7" i="56" s="1"/>
  <c r="AZ18" i="54"/>
  <c r="AZ17" i="54"/>
  <c r="AZ16" i="54"/>
  <c r="AZ15" i="54"/>
  <c r="BR14" i="56" s="1"/>
  <c r="BO14" i="56" s="1"/>
  <c r="AZ14" i="54"/>
  <c r="BR13" i="56" s="1"/>
  <c r="BO13" i="56" s="1"/>
  <c r="AZ13" i="54"/>
  <c r="BR12" i="56" s="1"/>
  <c r="BO12" i="56" s="1"/>
  <c r="AZ12" i="54"/>
  <c r="BR11" i="56" s="1"/>
  <c r="BO11" i="56" s="1"/>
  <c r="AZ11" i="54"/>
  <c r="BR10" i="56" s="1"/>
  <c r="BO10" i="56" s="1"/>
  <c r="AZ10" i="54"/>
  <c r="BR9" i="56" s="1"/>
  <c r="BO9" i="56" s="1"/>
  <c r="AZ9" i="54"/>
  <c r="AL7" i="54"/>
  <c r="L45" i="60"/>
  <c r="AO7" i="54"/>
  <c r="AP7" i="54"/>
  <c r="AQ7" i="54"/>
  <c r="L45" i="56"/>
  <c r="L54" i="56" s="1" a="1"/>
  <c r="AR7" i="54" l="1"/>
  <c r="L55" i="56"/>
  <c r="L54" i="56"/>
  <c r="L57" i="56"/>
  <c r="L56" i="56"/>
  <c r="BR8" i="56"/>
  <c r="BO8" i="56" s="1"/>
  <c r="BB9" i="54"/>
  <c r="AG7" i="54"/>
  <c r="AI7" i="54"/>
  <c r="BO45" i="56"/>
  <c r="AA7" i="37"/>
  <c r="AA9" i="37"/>
  <c r="AA10" i="37"/>
  <c r="D12" i="54" l="1"/>
  <c r="C12" i="54"/>
  <c r="AB7" i="54"/>
  <c r="X7" i="54"/>
  <c r="W7" i="54"/>
  <c r="C10" i="54" s="1"/>
  <c r="AH54" i="56" a="1"/>
  <c r="W54" i="56" a="1"/>
  <c r="T7" i="54"/>
  <c r="AD7" i="54"/>
  <c r="E12" i="54" l="1"/>
  <c r="D8" i="54"/>
  <c r="E8" i="54" s="1"/>
  <c r="Y7" i="54"/>
  <c r="D10" i="54" s="1"/>
  <c r="E10" i="54" s="1"/>
  <c r="U7" i="54"/>
  <c r="Z7" i="54" s="1"/>
  <c r="AE7" i="54"/>
  <c r="AH54" i="56"/>
  <c r="AH57" i="56"/>
  <c r="AH56" i="56"/>
  <c r="AH55" i="56"/>
  <c r="W54" i="56"/>
  <c r="W57" i="56"/>
  <c r="W56" i="56"/>
  <c r="W55" i="56"/>
  <c r="D7" i="54"/>
  <c r="C7" i="54"/>
  <c r="B7" i="54"/>
  <c r="AT3" i="54"/>
  <c r="AL3" i="54"/>
  <c r="AG3" i="54"/>
  <c r="AB3" i="54"/>
  <c r="W3" i="54"/>
  <c r="O3" i="54"/>
  <c r="B8" i="54" s="1"/>
  <c r="Q2" i="54"/>
  <c r="Q1" i="54"/>
  <c r="AY49" i="17"/>
  <c r="AY48" i="17"/>
  <c r="AQ48" i="17"/>
  <c r="AI48" i="17"/>
  <c r="AD48" i="17"/>
  <c r="AY47" i="17"/>
  <c r="AQ47" i="17"/>
  <c r="AI47" i="17"/>
  <c r="AD47" i="17"/>
  <c r="AY46" i="17"/>
  <c r="AQ46" i="17"/>
  <c r="AI46" i="17"/>
  <c r="AD46" i="17"/>
  <c r="AY45" i="17"/>
  <c r="AQ45" i="17"/>
  <c r="AI45" i="17"/>
  <c r="AD45" i="17"/>
  <c r="AY44" i="17"/>
  <c r="AQ44" i="17"/>
  <c r="AI44" i="17"/>
  <c r="AD44" i="17"/>
  <c r="AY43" i="17"/>
  <c r="AQ43" i="17"/>
  <c r="AI43" i="17"/>
  <c r="AD43" i="17"/>
  <c r="AY42" i="17"/>
  <c r="AQ42" i="17"/>
  <c r="AI42" i="17"/>
  <c r="AD42" i="17"/>
  <c r="AY41" i="17"/>
  <c r="AQ41" i="17"/>
  <c r="AI41" i="17"/>
  <c r="AD41" i="17"/>
  <c r="AY40" i="17"/>
  <c r="AQ40" i="17"/>
  <c r="AI40" i="17"/>
  <c r="AD40" i="17"/>
  <c r="AY39" i="17"/>
  <c r="AQ39" i="17"/>
  <c r="AI39" i="17"/>
  <c r="AD39" i="17"/>
  <c r="AQ38" i="17"/>
  <c r="AI38" i="17"/>
  <c r="AD38" i="17"/>
  <c r="AI37" i="17"/>
  <c r="AD37" i="17"/>
  <c r="AI36" i="17"/>
  <c r="AD36" i="17"/>
  <c r="AI35" i="17"/>
  <c r="AD35" i="17"/>
  <c r="AI34" i="17"/>
  <c r="AD34" i="17"/>
  <c r="AI33" i="17"/>
  <c r="AD33" i="17"/>
  <c r="AI32" i="17"/>
  <c r="AD32" i="17"/>
  <c r="AY31" i="17"/>
  <c r="AI31" i="17"/>
  <c r="AD31" i="17"/>
  <c r="AY30" i="17"/>
  <c r="AZ30" i="17" s="1"/>
  <c r="AX30" i="17"/>
  <c r="AW30" i="17"/>
  <c r="AI30" i="17"/>
  <c r="AD30" i="17"/>
  <c r="AY29" i="17"/>
  <c r="AZ29" i="17" s="1"/>
  <c r="AX29" i="17"/>
  <c r="AW29" i="17"/>
  <c r="AI29" i="17"/>
  <c r="AD29" i="17"/>
  <c r="AY28" i="17"/>
  <c r="AZ28" i="17" s="1"/>
  <c r="AX28" i="17"/>
  <c r="AW28" i="17"/>
  <c r="AI28" i="17"/>
  <c r="AD28" i="17"/>
  <c r="AY27" i="17"/>
  <c r="AZ27" i="17" s="1"/>
  <c r="AX27" i="17"/>
  <c r="AW27" i="17"/>
  <c r="AI27" i="17"/>
  <c r="AD27" i="17"/>
  <c r="T4" i="54"/>
  <c r="B4" i="54" l="1"/>
  <c r="E7" i="54"/>
  <c r="E4" i="54" s="1"/>
  <c r="O27" i="17"/>
  <c r="AY26" i="17"/>
  <c r="AZ26" i="17" s="1"/>
  <c r="AX26" i="17"/>
  <c r="AW26" i="17"/>
  <c r="AI26" i="17"/>
  <c r="AD26" i="17"/>
  <c r="R27" i="17"/>
  <c r="S27" i="17"/>
  <c r="T27" i="17"/>
  <c r="U27" i="17" l="1"/>
  <c r="Z26" i="40" s="1"/>
  <c r="W26" i="40" s="1"/>
  <c r="O20" i="40" s="1"/>
  <c r="L20" i="40" s="1"/>
  <c r="O26" i="17"/>
  <c r="AY25" i="17"/>
  <c r="AZ25" i="17" s="1"/>
  <c r="AX25" i="17"/>
  <c r="AW25" i="17"/>
  <c r="AI25" i="17"/>
  <c r="AD25" i="17"/>
  <c r="T26" i="17"/>
  <c r="S26" i="17"/>
  <c r="R26" i="17"/>
  <c r="U26" i="17" l="1"/>
  <c r="Z25" i="40" s="1"/>
  <c r="W25" i="40" s="1"/>
  <c r="O19" i="40" s="1"/>
  <c r="L19" i="40" s="1"/>
  <c r="O25" i="17"/>
  <c r="AY24" i="17"/>
  <c r="AZ24" i="17" s="1"/>
  <c r="AX24" i="17"/>
  <c r="AW24" i="17"/>
  <c r="AI24" i="17"/>
  <c r="AD24" i="17"/>
  <c r="T25" i="17"/>
  <c r="S25" i="17"/>
  <c r="R25" i="17"/>
  <c r="U25" i="17" l="1"/>
  <c r="Z24" i="40" s="1"/>
  <c r="W24" i="40" s="1"/>
  <c r="O18" i="40" s="1"/>
  <c r="L18" i="40" s="1"/>
  <c r="O24" i="17"/>
  <c r="AY23" i="17"/>
  <c r="AZ23" i="17" s="1"/>
  <c r="AX23" i="17"/>
  <c r="AW23" i="17"/>
  <c r="AI23" i="17"/>
  <c r="AD23" i="17"/>
  <c r="S24" i="17"/>
  <c r="T24" i="17"/>
  <c r="R24" i="17"/>
  <c r="U24" i="17" l="1"/>
  <c r="Z23" i="40" s="1"/>
  <c r="W23" i="40" s="1"/>
  <c r="O17" i="40" s="1"/>
  <c r="L17" i="40" s="1"/>
  <c r="O23" i="17"/>
  <c r="AY22" i="17"/>
  <c r="AZ22" i="17" s="1"/>
  <c r="AX22" i="17"/>
  <c r="AW22" i="17"/>
  <c r="AI22" i="17"/>
  <c r="AD22" i="17"/>
  <c r="S23" i="17"/>
  <c r="T23" i="17"/>
  <c r="R23" i="17"/>
  <c r="U23" i="17" l="1"/>
  <c r="Z22" i="40" s="1"/>
  <c r="W22" i="40" s="1"/>
  <c r="O16" i="40" s="1"/>
  <c r="L16" i="40" s="1"/>
  <c r="O22" i="17"/>
  <c r="AY21" i="17"/>
  <c r="AZ21" i="17" s="1"/>
  <c r="AX21" i="17"/>
  <c r="AW21" i="17"/>
  <c r="AI21" i="17"/>
  <c r="AD21" i="17"/>
  <c r="T22" i="17"/>
  <c r="R22" i="17"/>
  <c r="S22" i="17"/>
  <c r="U22" i="17" l="1"/>
  <c r="Z21" i="40" s="1"/>
  <c r="W21" i="40" s="1"/>
  <c r="O15" i="40" s="1"/>
  <c r="L15" i="40" s="1"/>
  <c r="O21" i="17"/>
  <c r="AY20" i="17"/>
  <c r="AZ20" i="17" s="1"/>
  <c r="AX20" i="17"/>
  <c r="AW20" i="17"/>
  <c r="AI20" i="17"/>
  <c r="AD20" i="17"/>
  <c r="S21" i="17"/>
  <c r="T21" i="17"/>
  <c r="R21" i="17"/>
  <c r="U21" i="17" l="1"/>
  <c r="Z20" i="40" s="1"/>
  <c r="W20" i="40" s="1"/>
  <c r="O14" i="40" s="1"/>
  <c r="L14" i="40" s="1"/>
  <c r="O20" i="17"/>
  <c r="AY19" i="17"/>
  <c r="AZ19" i="17" s="1"/>
  <c r="AX19" i="17"/>
  <c r="AW19" i="17"/>
  <c r="AQ19" i="17"/>
  <c r="AR19" i="17" s="1"/>
  <c r="AP19" i="17"/>
  <c r="AO19" i="17"/>
  <c r="AI19" i="17"/>
  <c r="AD19" i="17"/>
  <c r="Y19" i="17"/>
  <c r="R20" i="17"/>
  <c r="T20" i="17"/>
  <c r="S20" i="17"/>
  <c r="U20" i="17" l="1"/>
  <c r="Z19" i="40" s="1"/>
  <c r="W19" i="40" s="1"/>
  <c r="O13" i="40" s="1"/>
  <c r="L13" i="40" s="1"/>
  <c r="O19" i="17"/>
  <c r="AY18" i="17"/>
  <c r="AZ18" i="17" s="1"/>
  <c r="AX18" i="17"/>
  <c r="AW18" i="17"/>
  <c r="AQ18" i="17"/>
  <c r="AR18" i="17" s="1"/>
  <c r="AP18" i="17"/>
  <c r="AO18" i="17"/>
  <c r="AI18" i="17"/>
  <c r="AD18" i="17"/>
  <c r="Y18" i="17"/>
  <c r="R19" i="17"/>
  <c r="T19" i="17"/>
  <c r="S19" i="17"/>
  <c r="U19" i="17" l="1"/>
  <c r="Z18" i="40" s="1"/>
  <c r="W18" i="40" s="1"/>
  <c r="O12" i="40" s="1"/>
  <c r="L12" i="40" s="1"/>
  <c r="O18" i="17"/>
  <c r="AQ17" i="17"/>
  <c r="AR17" i="17" s="1"/>
  <c r="AP17" i="17"/>
  <c r="AO17" i="17"/>
  <c r="AI17" i="17"/>
  <c r="AD17" i="17"/>
  <c r="Y17" i="17"/>
  <c r="S18" i="17"/>
  <c r="T18" i="17"/>
  <c r="R18" i="17"/>
  <c r="U18" i="17" l="1"/>
  <c r="Z17" i="40" s="1"/>
  <c r="W17" i="40" s="1"/>
  <c r="O11" i="40" s="1"/>
  <c r="L11" i="40" s="1"/>
  <c r="O17" i="17"/>
  <c r="R17" i="17"/>
  <c r="S17" i="17"/>
  <c r="T17" i="17"/>
  <c r="U17" i="17" l="1"/>
  <c r="Z16" i="40" s="1"/>
  <c r="W16" i="40" s="1"/>
  <c r="AT16" i="17"/>
  <c r="AQ16" i="17"/>
  <c r="AR16" i="17" s="1"/>
  <c r="AP16" i="17"/>
  <c r="AO16" i="17"/>
  <c r="AI16" i="17"/>
  <c r="AD16" i="17"/>
  <c r="Y16" i="17"/>
  <c r="AX16" i="17"/>
  <c r="AY16" i="17"/>
  <c r="AW16" i="17"/>
  <c r="AZ16" i="17" l="1"/>
  <c r="CA16" i="40"/>
  <c r="BZ16" i="40"/>
  <c r="O16" i="17"/>
  <c r="R16" i="17"/>
  <c r="S16" i="17"/>
  <c r="T16" i="17"/>
  <c r="U16" i="17" l="1"/>
  <c r="Z15" i="40" s="1"/>
  <c r="W15" i="40" s="1"/>
  <c r="AT15" i="17"/>
  <c r="AQ15" i="17"/>
  <c r="AR15" i="17" s="1"/>
  <c r="AP15" i="17"/>
  <c r="AO15" i="17"/>
  <c r="AI15" i="17"/>
  <c r="AD15" i="17"/>
  <c r="Y15" i="17"/>
  <c r="AX15" i="17"/>
  <c r="AY15" i="17"/>
  <c r="AW15" i="17"/>
  <c r="AZ15" i="17" l="1"/>
  <c r="BR15" i="40" s="1"/>
  <c r="BO15" i="40" s="1"/>
  <c r="CA15" i="40"/>
  <c r="BZ15" i="40"/>
  <c r="O15" i="17"/>
  <c r="L15" i="17"/>
  <c r="M15" i="17" s="1"/>
  <c r="K15" i="17"/>
  <c r="J15" i="17"/>
  <c r="R15" i="17"/>
  <c r="T15" i="17"/>
  <c r="S15" i="17"/>
  <c r="U15" i="17" l="1"/>
  <c r="Z14" i="40" s="1"/>
  <c r="W14" i="40" s="1"/>
  <c r="AT14" i="17"/>
  <c r="AQ14" i="17"/>
  <c r="AR14" i="17" s="1"/>
  <c r="AP14" i="17"/>
  <c r="AO14" i="17"/>
  <c r="AI14" i="17"/>
  <c r="AD14" i="17"/>
  <c r="Y14" i="17"/>
  <c r="AY14" i="17"/>
  <c r="AX14" i="17"/>
  <c r="AW14" i="17"/>
  <c r="AZ14" i="17" l="1"/>
  <c r="BR14" i="40" s="1"/>
  <c r="BO14" i="40" s="1"/>
  <c r="CA14" i="40"/>
  <c r="BZ14" i="40"/>
  <c r="O14" i="17"/>
  <c r="L14" i="17"/>
  <c r="M14" i="17" s="1"/>
  <c r="K14" i="17"/>
  <c r="J14" i="17"/>
  <c r="R14" i="17"/>
  <c r="S14" i="17"/>
  <c r="T14" i="17"/>
  <c r="U14" i="17" l="1"/>
  <c r="Z13" i="40" s="1"/>
  <c r="W13" i="40" s="1"/>
  <c r="AT13" i="17"/>
  <c r="AQ13" i="17"/>
  <c r="AR13" i="17" s="1"/>
  <c r="AP13" i="17"/>
  <c r="AO13" i="17"/>
  <c r="AI13" i="17"/>
  <c r="AD13" i="17"/>
  <c r="Y13" i="17"/>
  <c r="AY13" i="17"/>
  <c r="AX13" i="17"/>
  <c r="AW13" i="17"/>
  <c r="AZ13" i="17" l="1"/>
  <c r="BR13" i="40" s="1"/>
  <c r="BO13" i="40" s="1"/>
  <c r="CA13" i="40"/>
  <c r="BZ13" i="40"/>
  <c r="O13" i="17"/>
  <c r="L13" i="17"/>
  <c r="M13" i="17" s="1"/>
  <c r="K13" i="17"/>
  <c r="J13" i="17"/>
  <c r="R13" i="17"/>
  <c r="T13" i="17"/>
  <c r="S13" i="17"/>
  <c r="U13" i="17" l="1"/>
  <c r="Z12" i="40" s="1"/>
  <c r="W12" i="40" s="1"/>
  <c r="AT12" i="17"/>
  <c r="AY12" i="17"/>
  <c r="AW12" i="17"/>
  <c r="AX12" i="17"/>
  <c r="AZ12" i="17" l="1"/>
  <c r="BR12" i="40" s="1"/>
  <c r="BO12" i="40" s="1"/>
  <c r="CA12" i="40"/>
  <c r="BZ12" i="40"/>
  <c r="AL12" i="17"/>
  <c r="AI12" i="17"/>
  <c r="AD12" i="17"/>
  <c r="Y12" i="17"/>
  <c r="AQ12" i="17"/>
  <c r="T12" i="17"/>
  <c r="AO12" i="17"/>
  <c r="AP12" i="17"/>
  <c r="U12" i="17" l="1"/>
  <c r="AR12" i="17"/>
  <c r="BR21" i="40" s="1"/>
  <c r="BO21" i="40" s="1"/>
  <c r="L12" i="17"/>
  <c r="M12" i="17" s="1"/>
  <c r="K12" i="17"/>
  <c r="J12" i="17"/>
  <c r="C12" i="17"/>
  <c r="AT11" i="17"/>
  <c r="AY11" i="17"/>
  <c r="AX11" i="17"/>
  <c r="AW11" i="17"/>
  <c r="AZ11" i="17" l="1"/>
  <c r="BR11" i="40" s="1"/>
  <c r="BO11" i="40" s="1"/>
  <c r="CA11" i="40"/>
  <c r="BZ11" i="40"/>
  <c r="AL11" i="17"/>
  <c r="AI11" i="17"/>
  <c r="AD11" i="17"/>
  <c r="Y11" i="17"/>
  <c r="AQ11" i="17"/>
  <c r="T11" i="17"/>
  <c r="AO11" i="17"/>
  <c r="AP11" i="17"/>
  <c r="U11" i="17" l="1"/>
  <c r="Z11" i="40" s="1"/>
  <c r="W11" i="40" s="1"/>
  <c r="AR11" i="17"/>
  <c r="BR20" i="40" s="1"/>
  <c r="BO20" i="40" s="1"/>
  <c r="L11" i="17"/>
  <c r="M11" i="17" s="1"/>
  <c r="K11" i="17"/>
  <c r="J11" i="17"/>
  <c r="C11" i="17"/>
  <c r="AT10" i="17"/>
  <c r="AX10" i="17"/>
  <c r="AY10" i="17"/>
  <c r="AW10" i="17"/>
  <c r="AZ10" i="17" l="1"/>
  <c r="BR10" i="40" s="1"/>
  <c r="BO10" i="40" s="1"/>
  <c r="CA10" i="40"/>
  <c r="BZ10" i="40"/>
  <c r="AL10" i="17"/>
  <c r="AI10" i="17"/>
  <c r="AD10" i="17"/>
  <c r="Y10" i="17"/>
  <c r="AP10" i="17"/>
  <c r="T10" i="17"/>
  <c r="AO10" i="17"/>
  <c r="AQ10" i="17"/>
  <c r="U10" i="17" l="1"/>
  <c r="Z10" i="40" s="1"/>
  <c r="W10" i="40" s="1"/>
  <c r="O10" i="40" s="1"/>
  <c r="L10" i="40" s="1"/>
  <c r="AR10" i="17"/>
  <c r="BR19" i="40" s="1"/>
  <c r="BO19" i="40" s="1"/>
  <c r="L10" i="17"/>
  <c r="M10" i="17" s="1"/>
  <c r="K10" i="17"/>
  <c r="J10" i="17"/>
  <c r="C10" i="17"/>
  <c r="AT9" i="17"/>
  <c r="AY9" i="17"/>
  <c r="AW9" i="17"/>
  <c r="AX9" i="17"/>
  <c r="AZ9" i="17" l="1"/>
  <c r="BR9" i="40" s="1"/>
  <c r="BO9" i="40" s="1"/>
  <c r="CA9" i="40"/>
  <c r="BZ9" i="40"/>
  <c r="AL9" i="17"/>
  <c r="AI9" i="17"/>
  <c r="AD9" i="17"/>
  <c r="Y9" i="17"/>
  <c r="AQ9" i="17"/>
  <c r="T9" i="17"/>
  <c r="AO9" i="17"/>
  <c r="AP9" i="17"/>
  <c r="U9" i="17" l="1"/>
  <c r="Z9" i="40" s="1"/>
  <c r="W9" i="40" s="1"/>
  <c r="O9" i="40" s="1"/>
  <c r="L9" i="40" s="1"/>
  <c r="AR9" i="17"/>
  <c r="BR18" i="40" s="1"/>
  <c r="BO18" i="40" s="1"/>
  <c r="L9" i="17"/>
  <c r="M9" i="17" s="1"/>
  <c r="K9" i="17"/>
  <c r="J9" i="17"/>
  <c r="D9" i="17"/>
  <c r="C9" i="17"/>
  <c r="AT8" i="17"/>
  <c r="AX8" i="17"/>
  <c r="AY8" i="17"/>
  <c r="AW8" i="17"/>
  <c r="E9" i="17" l="1"/>
  <c r="AZ8" i="17"/>
  <c r="BR8" i="40" s="1"/>
  <c r="BO8" i="40" s="1"/>
  <c r="CA8" i="40"/>
  <c r="BZ8" i="40"/>
  <c r="AL8" i="17"/>
  <c r="AI8" i="17"/>
  <c r="AD8" i="17"/>
  <c r="Y8" i="17"/>
  <c r="AP8" i="17"/>
  <c r="AQ8" i="17"/>
  <c r="T8" i="17"/>
  <c r="AO8" i="17"/>
  <c r="U8" i="17" l="1"/>
  <c r="Z8" i="40" s="1"/>
  <c r="W8" i="40" s="1"/>
  <c r="O8" i="40" s="1"/>
  <c r="L8" i="40" s="1"/>
  <c r="AR8" i="17"/>
  <c r="BR17" i="40" s="1"/>
  <c r="BO17" i="40" s="1"/>
  <c r="L8" i="17"/>
  <c r="M8" i="17" s="1"/>
  <c r="K8" i="17"/>
  <c r="J8" i="17"/>
  <c r="C8" i="17"/>
  <c r="AX7" i="17"/>
  <c r="AW7" i="17"/>
  <c r="BZ7" i="40" l="1"/>
  <c r="CA7" i="40"/>
  <c r="AL7" i="17"/>
  <c r="AI7" i="17"/>
  <c r="D12" i="17" s="1"/>
  <c r="E12" i="17" s="1"/>
  <c r="AD7" i="17"/>
  <c r="D11" i="17" s="1"/>
  <c r="E11" i="17" s="1"/>
  <c r="Y7" i="17"/>
  <c r="D10" i="17" s="1"/>
  <c r="E10" i="17" s="1"/>
  <c r="T7" i="17"/>
  <c r="AQ7" i="17"/>
  <c r="AO7" i="17"/>
  <c r="AP7" i="17"/>
  <c r="D8" i="17" l="1"/>
  <c r="E8" i="17" s="1"/>
  <c r="U7" i="17"/>
  <c r="Z7" i="40" s="1"/>
  <c r="W7" i="40" s="1"/>
  <c r="AR7" i="17"/>
  <c r="BR16" i="40" s="1"/>
  <c r="BO16" i="40" s="1"/>
  <c r="L7" i="17"/>
  <c r="M7" i="17" s="1"/>
  <c r="C7" i="17"/>
  <c r="B7" i="17"/>
  <c r="AT3" i="17"/>
  <c r="AL3" i="17"/>
  <c r="AG3" i="17"/>
  <c r="AB3" i="17"/>
  <c r="W3" i="17"/>
  <c r="O3" i="17"/>
  <c r="B8" i="17" s="1"/>
  <c r="AD50" i="15"/>
  <c r="AD49" i="15"/>
  <c r="T49" i="15"/>
  <c r="AY48" i="15"/>
  <c r="AQ48" i="15"/>
  <c r="AI48" i="15"/>
  <c r="AD48" i="15"/>
  <c r="T48" i="15"/>
  <c r="W45" i="40"/>
  <c r="BO45" i="40"/>
  <c r="D7" i="17" l="1"/>
  <c r="E7" i="17" s="1"/>
  <c r="E4" i="17" s="1"/>
  <c r="O7" i="40"/>
  <c r="L7" i="40" s="1"/>
  <c r="L45" i="40"/>
  <c r="L54" i="40" a="1"/>
  <c r="B4" i="17" l="1"/>
  <c r="L56" i="40"/>
  <c r="L57" i="40"/>
  <c r="L54" i="40"/>
  <c r="L55" i="40"/>
  <c r="Y7" i="37"/>
  <c r="AY47" i="15" l="1"/>
  <c r="AQ47" i="15"/>
  <c r="AI47" i="15"/>
  <c r="AD47" i="15"/>
  <c r="T47" i="15"/>
  <c r="W54" i="40" a="1"/>
  <c r="W57" i="40" l="1"/>
  <c r="W56" i="40"/>
  <c r="W55" i="40"/>
  <c r="W54" i="40"/>
  <c r="Y9" i="37"/>
  <c r="AY46" i="15" l="1"/>
  <c r="AQ46" i="15"/>
  <c r="AI46" i="15"/>
  <c r="AD46" i="15"/>
  <c r="T46" i="15"/>
  <c r="AH54" i="40" a="1"/>
  <c r="AH56" i="40" l="1"/>
  <c r="AH57" i="40"/>
  <c r="AH55" i="40"/>
  <c r="AH54" i="40"/>
  <c r="AY45" i="15"/>
  <c r="AQ45" i="15"/>
  <c r="AI45" i="15"/>
  <c r="AD45" i="15"/>
  <c r="T45" i="15"/>
  <c r="AY44" i="15"/>
  <c r="AQ44" i="15"/>
  <c r="AI44" i="15"/>
  <c r="AD44" i="15"/>
  <c r="T44" i="15"/>
  <c r="AY43" i="15"/>
  <c r="AQ43" i="15"/>
  <c r="AI43" i="15"/>
  <c r="AD43" i="15"/>
  <c r="T43" i="15"/>
  <c r="AY42" i="15"/>
  <c r="AQ42" i="15"/>
  <c r="AI42" i="15"/>
  <c r="AD42" i="15"/>
  <c r="T42" i="15"/>
  <c r="AY41" i="15"/>
  <c r="AQ41" i="15"/>
  <c r="AI41" i="15"/>
  <c r="AD41" i="15"/>
  <c r="T41" i="15"/>
  <c r="AY40" i="15"/>
  <c r="AQ40" i="15"/>
  <c r="AI40" i="15"/>
  <c r="AD40" i="15"/>
  <c r="T40" i="15"/>
  <c r="AY39" i="15"/>
  <c r="AQ39" i="15"/>
  <c r="AI39" i="15"/>
  <c r="AD39" i="15"/>
  <c r="T39" i="15"/>
  <c r="AT38" i="15"/>
  <c r="AQ38" i="15"/>
  <c r="AI38" i="15"/>
  <c r="AD38" i="15"/>
  <c r="AW38" i="15"/>
  <c r="Y10" i="37"/>
  <c r="AX38" i="15"/>
  <c r="AY38" i="15"/>
  <c r="AZ38" i="15" l="1"/>
  <c r="AT37" i="15"/>
  <c r="AI37" i="15"/>
  <c r="AD37" i="15"/>
  <c r="AX37" i="15"/>
  <c r="AW37" i="15"/>
  <c r="AY37" i="15"/>
  <c r="AZ37" i="15" l="1"/>
  <c r="AT36" i="15"/>
  <c r="AI36" i="15"/>
  <c r="AD36" i="15"/>
  <c r="AW36" i="15"/>
  <c r="AX36" i="15"/>
  <c r="AY36" i="15"/>
  <c r="AZ36" i="15" l="1"/>
  <c r="AT35" i="15"/>
  <c r="AI35" i="15"/>
  <c r="AD35" i="15"/>
  <c r="AX35" i="15"/>
  <c r="AY35" i="15"/>
  <c r="AW35" i="15"/>
  <c r="AZ35" i="15" l="1"/>
  <c r="AT34" i="15"/>
  <c r="AI34" i="15"/>
  <c r="AD34" i="15"/>
  <c r="AX34" i="15"/>
  <c r="AW34" i="15"/>
  <c r="AY34" i="15"/>
  <c r="AZ34" i="15" l="1"/>
  <c r="AT33" i="15"/>
  <c r="AI33" i="15"/>
  <c r="AD33" i="15"/>
  <c r="AX33" i="15"/>
  <c r="AW33" i="15"/>
  <c r="AY33" i="15"/>
  <c r="AZ33" i="15" l="1"/>
  <c r="AT32" i="15"/>
  <c r="AI32" i="15"/>
  <c r="AD32" i="15"/>
  <c r="AX32" i="15"/>
  <c r="AW32" i="15"/>
  <c r="AY32" i="15"/>
  <c r="AZ32" i="15" l="1"/>
  <c r="AT31" i="15"/>
  <c r="AI31" i="15"/>
  <c r="AD31" i="15"/>
  <c r="AW31" i="15"/>
  <c r="AX31" i="15"/>
  <c r="AY31" i="15"/>
  <c r="AZ31" i="15" l="1"/>
  <c r="AT30" i="15"/>
  <c r="AI30" i="15"/>
  <c r="AD30" i="15"/>
  <c r="AW30" i="15"/>
  <c r="AX30" i="15"/>
  <c r="AY30" i="15"/>
  <c r="AZ30" i="15" l="1"/>
  <c r="AT29" i="15"/>
  <c r="AI29" i="15"/>
  <c r="AD29" i="15"/>
  <c r="AW29" i="15"/>
  <c r="AY29" i="15"/>
  <c r="AX29" i="15"/>
  <c r="AZ29" i="15" l="1"/>
  <c r="O29" i="15"/>
  <c r="R29" i="15"/>
  <c r="T29" i="15"/>
  <c r="S29" i="15"/>
  <c r="U29" i="15" l="1"/>
  <c r="Z42" i="35" s="1"/>
  <c r="W42" i="35" s="1"/>
  <c r="AT28" i="15"/>
  <c r="AI28" i="15"/>
  <c r="AD28" i="15"/>
  <c r="AW28" i="15"/>
  <c r="AX28" i="15"/>
  <c r="AY28" i="15"/>
  <c r="AZ28" i="15" l="1"/>
  <c r="O28" i="15"/>
  <c r="R28" i="15"/>
  <c r="S28" i="15"/>
  <c r="T28" i="15"/>
  <c r="U28" i="15" l="1"/>
  <c r="Z41" i="35" s="1"/>
  <c r="W41" i="35" s="1"/>
  <c r="AT27" i="15"/>
  <c r="AI27" i="15"/>
  <c r="AD27" i="15"/>
  <c r="AY27" i="15"/>
  <c r="AW27" i="15"/>
  <c r="AX27" i="15"/>
  <c r="AZ27" i="15" l="1"/>
  <c r="W27" i="15"/>
  <c r="Y27" i="15"/>
  <c r="Z27" i="15" l="1"/>
  <c r="AK27" i="35" s="1"/>
  <c r="AH27" i="35" s="1"/>
  <c r="O27" i="15"/>
  <c r="R27" i="15"/>
  <c r="T27" i="15"/>
  <c r="S27" i="15"/>
  <c r="U27" i="15" l="1"/>
  <c r="Z40" i="35" s="1"/>
  <c r="W40" i="35" s="1"/>
  <c r="AT26" i="15"/>
  <c r="AI26" i="15"/>
  <c r="AD26" i="15"/>
  <c r="AW26" i="15"/>
  <c r="AY26" i="15"/>
  <c r="AX26" i="15"/>
  <c r="AZ26" i="15" l="1"/>
  <c r="W26" i="15"/>
  <c r="Y26" i="15"/>
  <c r="Z26" i="15" l="1"/>
  <c r="AK26" i="35" s="1"/>
  <c r="AH26" i="35" s="1"/>
  <c r="O26" i="15"/>
  <c r="R26" i="15"/>
  <c r="T26" i="15"/>
  <c r="S26" i="15"/>
  <c r="U26" i="15" l="1"/>
  <c r="Z39" i="35" s="1"/>
  <c r="W39" i="35" s="1"/>
  <c r="AT25" i="15"/>
  <c r="AI25" i="15"/>
  <c r="AD25" i="15"/>
  <c r="AW25" i="15"/>
  <c r="AY25" i="15"/>
  <c r="AX25" i="15"/>
  <c r="AZ25" i="15" l="1"/>
  <c r="W25" i="15"/>
  <c r="Y25" i="15"/>
  <c r="Z25" i="15" l="1"/>
  <c r="AK25" i="35" s="1"/>
  <c r="AH25" i="35" s="1"/>
  <c r="O25" i="15"/>
  <c r="R25" i="15"/>
  <c r="T25" i="15"/>
  <c r="S25" i="15"/>
  <c r="U25" i="15" l="1"/>
  <c r="Z38" i="35" s="1"/>
  <c r="W38" i="35" s="1"/>
  <c r="AT24" i="15"/>
  <c r="AI24" i="15"/>
  <c r="AD24" i="15"/>
  <c r="AW24" i="15"/>
  <c r="AY24" i="15"/>
  <c r="AX24" i="15"/>
  <c r="AZ24" i="15" l="1"/>
  <c r="W24" i="15"/>
  <c r="Y24" i="15"/>
  <c r="Z24" i="15" l="1"/>
  <c r="AK24" i="35" s="1"/>
  <c r="AH24" i="35" s="1"/>
  <c r="O24" i="15"/>
  <c r="R24" i="15"/>
  <c r="T24" i="15"/>
  <c r="S24" i="15"/>
  <c r="U24" i="15" l="1"/>
  <c r="Z37" i="35" s="1"/>
  <c r="W37" i="35" s="1"/>
  <c r="AI23" i="15"/>
  <c r="AD23" i="15"/>
  <c r="W23" i="15"/>
  <c r="Y23" i="15"/>
  <c r="Z23" i="15" l="1"/>
  <c r="AK23" i="35" s="1"/>
  <c r="AH23" i="35" s="1"/>
  <c r="O23" i="15"/>
  <c r="R23" i="15"/>
  <c r="S23" i="15"/>
  <c r="T23" i="15"/>
  <c r="U23" i="15" l="1"/>
  <c r="Z36" i="35" s="1"/>
  <c r="W36" i="35" s="1"/>
  <c r="AI22" i="15"/>
  <c r="AD22" i="15"/>
  <c r="W22" i="15"/>
  <c r="Y22" i="15"/>
  <c r="Z22" i="15" l="1"/>
  <c r="AK22" i="35" s="1"/>
  <c r="AH22" i="35" s="1"/>
  <c r="O22" i="15"/>
  <c r="R22" i="15"/>
  <c r="T22" i="15"/>
  <c r="S22" i="15"/>
  <c r="U22" i="15" l="1"/>
  <c r="Z35" i="35" s="1"/>
  <c r="W35" i="35" s="1"/>
  <c r="AT21" i="15"/>
  <c r="AI21" i="15"/>
  <c r="AD21" i="15"/>
  <c r="AX21" i="15"/>
  <c r="AW21" i="15"/>
  <c r="AY21" i="15"/>
  <c r="AZ21" i="15" l="1"/>
  <c r="CA21" i="35"/>
  <c r="BZ21" i="35"/>
  <c r="W21" i="15"/>
  <c r="Y21" i="15"/>
  <c r="Z21" i="15" l="1"/>
  <c r="AK21" i="35" s="1"/>
  <c r="AH21" i="35" s="1"/>
  <c r="O21" i="15"/>
  <c r="R21" i="15"/>
  <c r="S21" i="15"/>
  <c r="T21" i="15"/>
  <c r="U21" i="15" l="1"/>
  <c r="Z34" i="35" l="1"/>
  <c r="W34" i="35" s="1"/>
  <c r="AT20" i="15"/>
  <c r="AI20" i="15"/>
  <c r="AD20" i="15"/>
  <c r="AX20" i="15"/>
  <c r="AW20" i="15"/>
  <c r="AY20" i="15"/>
  <c r="AZ20" i="15" l="1"/>
  <c r="CA20" i="35"/>
  <c r="BZ20" i="35"/>
  <c r="W20" i="15"/>
  <c r="Y20" i="15"/>
  <c r="Z20" i="15" l="1"/>
  <c r="AK20" i="35" s="1"/>
  <c r="AH20" i="35" s="1"/>
  <c r="O20" i="15"/>
  <c r="S20" i="15"/>
  <c r="R20" i="15"/>
  <c r="T20" i="15"/>
  <c r="U20" i="15" l="1"/>
  <c r="Z33" i="35" s="1"/>
  <c r="W33" i="35" s="1"/>
  <c r="AT19" i="15"/>
  <c r="AW19" i="15"/>
  <c r="AX19" i="15"/>
  <c r="AY19" i="15"/>
  <c r="AZ19" i="15" l="1"/>
  <c r="CA19" i="35"/>
  <c r="BZ19" i="35"/>
  <c r="AL19" i="15"/>
  <c r="AI19" i="15"/>
  <c r="AD19" i="15"/>
  <c r="AQ19" i="15"/>
  <c r="AP19" i="15"/>
  <c r="AO19" i="15"/>
  <c r="BL47" i="15" l="1"/>
  <c r="AR19" i="15"/>
  <c r="W19" i="15"/>
  <c r="Y19" i="15"/>
  <c r="Z19" i="15" l="1"/>
  <c r="O19" i="15"/>
  <c r="R19" i="15"/>
  <c r="T19" i="15"/>
  <c r="S19" i="15"/>
  <c r="U19" i="15" l="1"/>
  <c r="Z32" i="35" s="1"/>
  <c r="W32" i="35" s="1"/>
  <c r="AK19" i="35"/>
  <c r="AH19" i="35" s="1"/>
  <c r="V31" i="15"/>
  <c r="AT18" i="15"/>
  <c r="AW18" i="15"/>
  <c r="AX18" i="15"/>
  <c r="AY18" i="15"/>
  <c r="AZ18" i="15" l="1"/>
  <c r="CA18" i="35"/>
  <c r="BZ18" i="35"/>
  <c r="AL18" i="15"/>
  <c r="AI18" i="15"/>
  <c r="AD18" i="15"/>
  <c r="AQ18" i="15"/>
  <c r="AO18" i="15"/>
  <c r="AP18" i="15"/>
  <c r="BL37" i="15" l="1"/>
  <c r="AR18" i="15"/>
  <c r="W18" i="15"/>
  <c r="Y18" i="15"/>
  <c r="Z18" i="15" l="1"/>
  <c r="AK18" i="35" s="1"/>
  <c r="AH18" i="35" s="1"/>
  <c r="O18" i="15"/>
  <c r="R18" i="15"/>
  <c r="S18" i="15"/>
  <c r="T18" i="15"/>
  <c r="U18" i="15" l="1"/>
  <c r="Z31" i="35" s="1"/>
  <c r="W31" i="35" s="1"/>
  <c r="AT17" i="15"/>
  <c r="AY17" i="15"/>
  <c r="AW17" i="15"/>
  <c r="AX17" i="15"/>
  <c r="AZ17" i="15" l="1"/>
  <c r="CA17" i="35"/>
  <c r="BZ17" i="35"/>
  <c r="AL17" i="15"/>
  <c r="AI17" i="15"/>
  <c r="AD17" i="15"/>
  <c r="AQ17" i="15"/>
  <c r="AO17" i="15"/>
  <c r="AP17" i="15"/>
  <c r="BL31" i="15" l="1"/>
  <c r="AR17" i="15"/>
  <c r="W17" i="15"/>
  <c r="Y17" i="15"/>
  <c r="Z17" i="15" l="1"/>
  <c r="AK17" i="35" s="1"/>
  <c r="AH17" i="35" s="1"/>
  <c r="O17" i="15"/>
  <c r="R17" i="15"/>
  <c r="T17" i="15"/>
  <c r="S17" i="15"/>
  <c r="U17" i="15" l="1"/>
  <c r="Z30" i="35" s="1"/>
  <c r="W30" i="35" s="1"/>
  <c r="AT16" i="15"/>
  <c r="AW16" i="15"/>
  <c r="AY16" i="15"/>
  <c r="AX16" i="15"/>
  <c r="AZ16" i="15" l="1"/>
  <c r="BR16" i="35" s="1"/>
  <c r="BO16" i="35" s="1"/>
  <c r="CA16" i="35"/>
  <c r="BZ16" i="35"/>
  <c r="AL16" i="15"/>
  <c r="AI16" i="15"/>
  <c r="AD16" i="15"/>
  <c r="AQ16" i="15"/>
  <c r="AO16" i="15"/>
  <c r="AP16" i="15"/>
  <c r="BL27" i="15" l="1"/>
  <c r="AR16" i="15"/>
  <c r="W16" i="15"/>
  <c r="Y16" i="15"/>
  <c r="Z16" i="15" l="1"/>
  <c r="AK16" i="35" s="1"/>
  <c r="AH16" i="35" s="1"/>
  <c r="O16" i="15"/>
  <c r="R16" i="15"/>
  <c r="S16" i="15"/>
  <c r="T16" i="15"/>
  <c r="U16" i="15" l="1"/>
  <c r="Z16" i="35" s="1"/>
  <c r="W16" i="35" s="1"/>
  <c r="AT15" i="15"/>
  <c r="AW15" i="15"/>
  <c r="AX15" i="15"/>
  <c r="AY15" i="15"/>
  <c r="AZ15" i="15" l="1"/>
  <c r="BR15" i="35" s="1"/>
  <c r="BO15" i="35" s="1"/>
  <c r="CA15" i="35"/>
  <c r="BZ15" i="35"/>
  <c r="AL15" i="15"/>
  <c r="AI15" i="15"/>
  <c r="AD15" i="15"/>
  <c r="AQ15" i="15"/>
  <c r="AO15" i="15"/>
  <c r="AP15" i="15"/>
  <c r="BL25" i="15" l="1"/>
  <c r="AR15" i="15"/>
  <c r="W15" i="15"/>
  <c r="Y15" i="15"/>
  <c r="Z15" i="15" l="1"/>
  <c r="O15" i="15"/>
  <c r="R15" i="15"/>
  <c r="T15" i="15"/>
  <c r="S15" i="15"/>
  <c r="U15" i="15" l="1"/>
  <c r="Z15" i="35" s="1"/>
  <c r="W15" i="35" s="1"/>
  <c r="AK15" i="35"/>
  <c r="AH15" i="35" s="1"/>
  <c r="Z17" i="35"/>
  <c r="W17" i="35" s="1"/>
  <c r="G15" i="15"/>
  <c r="K15" i="15"/>
  <c r="J15" i="15"/>
  <c r="L15" i="15"/>
  <c r="M15" i="15" l="1"/>
  <c r="O15" i="35" l="1"/>
  <c r="L15" i="35" s="1"/>
  <c r="AT14" i="15"/>
  <c r="AX14" i="15"/>
  <c r="AW14" i="15"/>
  <c r="AY14" i="15"/>
  <c r="AZ14" i="15" l="1"/>
  <c r="BR14" i="35" s="1"/>
  <c r="BO14" i="35" s="1"/>
  <c r="CA14" i="35"/>
  <c r="BZ14" i="35"/>
  <c r="AL14" i="15"/>
  <c r="AI14" i="15"/>
  <c r="AD14" i="15"/>
  <c r="AQ14" i="15"/>
  <c r="AO14" i="15"/>
  <c r="AP14" i="15"/>
  <c r="BL23" i="15" l="1"/>
  <c r="AR14" i="15"/>
  <c r="W14" i="15"/>
  <c r="O14" i="15" l="1"/>
  <c r="R14" i="15"/>
  <c r="T14" i="15"/>
  <c r="S14" i="15"/>
  <c r="U14" i="15" l="1"/>
  <c r="Z14" i="35" s="1"/>
  <c r="W14" i="35" s="1"/>
  <c r="G14" i="15"/>
  <c r="L14" i="15"/>
  <c r="J14" i="15"/>
  <c r="K14" i="15"/>
  <c r="Y14" i="15"/>
  <c r="Z14" i="15" l="1"/>
  <c r="AK14" i="35" s="1"/>
  <c r="AH14" i="35" s="1"/>
  <c r="M14" i="15"/>
  <c r="O14" i="35" s="1"/>
  <c r="L14" i="35" s="1"/>
  <c r="AT13" i="15"/>
  <c r="AW13" i="15"/>
  <c r="AX13" i="15"/>
  <c r="AY13" i="15"/>
  <c r="AZ13" i="15" l="1"/>
  <c r="BR13" i="35" s="1"/>
  <c r="BO13" i="35" s="1"/>
  <c r="CA13" i="35"/>
  <c r="BZ13" i="35"/>
  <c r="AL13" i="15"/>
  <c r="AI13" i="15"/>
  <c r="AD13" i="15"/>
  <c r="AO13" i="15"/>
  <c r="AQ13" i="15"/>
  <c r="AP13" i="15"/>
  <c r="BL21" i="15" l="1"/>
  <c r="AR13" i="15"/>
  <c r="W13" i="15"/>
  <c r="O13" i="15" l="1"/>
  <c r="R13" i="15"/>
  <c r="T13" i="15"/>
  <c r="S13" i="15"/>
  <c r="U13" i="15" l="1"/>
  <c r="Z13" i="35" s="1"/>
  <c r="W13" i="35" s="1"/>
  <c r="G13" i="15"/>
  <c r="L13" i="15"/>
  <c r="K13" i="15"/>
  <c r="J13" i="15"/>
  <c r="Y13" i="15"/>
  <c r="Z13" i="15" l="1"/>
  <c r="AK13" i="35" s="1"/>
  <c r="AH13" i="35" s="1"/>
  <c r="M13" i="15"/>
  <c r="O13" i="35" s="1"/>
  <c r="L13" i="35" s="1"/>
  <c r="AT12" i="15"/>
  <c r="AW12" i="15"/>
  <c r="AY12" i="15"/>
  <c r="AX12" i="15"/>
  <c r="AZ12" i="15" l="1"/>
  <c r="BR12" i="35" s="1"/>
  <c r="BO12" i="35" s="1"/>
  <c r="CA12" i="35"/>
  <c r="BZ12" i="35"/>
  <c r="AL12" i="15"/>
  <c r="AI12" i="15"/>
  <c r="AD12" i="15"/>
  <c r="AP12" i="15"/>
  <c r="AO12" i="15"/>
  <c r="AQ12" i="15"/>
  <c r="BL19" i="15" l="1"/>
  <c r="AR12" i="15"/>
  <c r="W12" i="15"/>
  <c r="O12" i="15" l="1"/>
  <c r="R12" i="15"/>
  <c r="S12" i="15"/>
  <c r="T12" i="15"/>
  <c r="U12" i="15" l="1"/>
  <c r="Z12" i="35" s="1"/>
  <c r="W12" i="35" s="1"/>
  <c r="G12" i="15"/>
  <c r="C12" i="15"/>
  <c r="Y12" i="15"/>
  <c r="L12" i="15"/>
  <c r="J12" i="15"/>
  <c r="K12" i="15"/>
  <c r="Z12" i="15" l="1"/>
  <c r="AK12" i="35" s="1"/>
  <c r="AH12" i="35" s="1"/>
  <c r="M12" i="15"/>
  <c r="O12" i="35" s="1"/>
  <c r="L12" i="35" s="1"/>
  <c r="AT11" i="15"/>
  <c r="AW11" i="15"/>
  <c r="AX11" i="15"/>
  <c r="AY11" i="15"/>
  <c r="AZ11" i="15" l="1"/>
  <c r="BR11" i="35" s="1"/>
  <c r="BO11" i="35" s="1"/>
  <c r="CA11" i="35"/>
  <c r="BZ11" i="35"/>
  <c r="AL11" i="15"/>
  <c r="AI11" i="15"/>
  <c r="AD11" i="15"/>
  <c r="AQ11" i="15"/>
  <c r="AP11" i="15"/>
  <c r="AO11" i="15"/>
  <c r="BL17" i="15" l="1"/>
  <c r="AR11" i="15"/>
  <c r="W11" i="15"/>
  <c r="O11" i="15" l="1"/>
  <c r="R11" i="15"/>
  <c r="T11" i="15"/>
  <c r="S11" i="15"/>
  <c r="U11" i="15" l="1"/>
  <c r="Z11" i="35" s="1"/>
  <c r="W11" i="35" s="1"/>
  <c r="G11" i="15"/>
  <c r="C11" i="15"/>
  <c r="Y11" i="15"/>
  <c r="J11" i="15"/>
  <c r="K11" i="15"/>
  <c r="L11" i="15"/>
  <c r="Z11" i="15" l="1"/>
  <c r="AK11" i="35" s="1"/>
  <c r="AH11" i="35" s="1"/>
  <c r="M11" i="15"/>
  <c r="O11" i="35" s="1"/>
  <c r="L11" i="35" s="1"/>
  <c r="AT10" i="15"/>
  <c r="AY10" i="15"/>
  <c r="AW10" i="15"/>
  <c r="AX10" i="15"/>
  <c r="AZ10" i="15" l="1"/>
  <c r="BR10" i="35" s="1"/>
  <c r="BO10" i="35" s="1"/>
  <c r="CA10" i="35"/>
  <c r="BZ10" i="35"/>
  <c r="AL10" i="15"/>
  <c r="AI10" i="15"/>
  <c r="AD10" i="15"/>
  <c r="AO10" i="15"/>
  <c r="AQ10" i="15"/>
  <c r="AP10" i="15"/>
  <c r="BL15" i="15" l="1"/>
  <c r="AR10" i="15"/>
  <c r="W10" i="15"/>
  <c r="T10" i="15"/>
  <c r="U10" i="15" l="1"/>
  <c r="Z10" i="35" s="1"/>
  <c r="W10" i="35" s="1"/>
  <c r="G10" i="15"/>
  <c r="D10" i="15"/>
  <c r="C10" i="15"/>
  <c r="Y10" i="15"/>
  <c r="J10" i="15"/>
  <c r="K10" i="15"/>
  <c r="L10" i="15"/>
  <c r="Z10" i="15" l="1"/>
  <c r="AK10" i="35" s="1"/>
  <c r="AH10" i="35" s="1"/>
  <c r="E10" i="15"/>
  <c r="M10" i="15"/>
  <c r="O10" i="35" s="1"/>
  <c r="L10" i="35" s="1"/>
  <c r="AT9" i="15"/>
  <c r="AY9" i="15"/>
  <c r="AX9" i="15"/>
  <c r="AW9" i="15"/>
  <c r="AZ9" i="15" l="1"/>
  <c r="BR9" i="35" s="1"/>
  <c r="BO9" i="35" s="1"/>
  <c r="CA9" i="35"/>
  <c r="BZ9" i="35"/>
  <c r="AL9" i="15"/>
  <c r="AI9" i="15"/>
  <c r="W9" i="15"/>
  <c r="AQ9" i="15"/>
  <c r="T9" i="15"/>
  <c r="AP9" i="15"/>
  <c r="AO9" i="15"/>
  <c r="U9" i="15" l="1"/>
  <c r="Y9" i="15"/>
  <c r="BL13" i="15"/>
  <c r="AR9" i="15"/>
  <c r="Z9" i="35" l="1"/>
  <c r="W9" i="35" s="1"/>
  <c r="Z9" i="15"/>
  <c r="AK9" i="35" s="1"/>
  <c r="AH9" i="35" s="1"/>
  <c r="G9" i="15"/>
  <c r="D9" i="15"/>
  <c r="C9" i="15"/>
  <c r="K9" i="15"/>
  <c r="J9" i="15"/>
  <c r="L9" i="15"/>
  <c r="E9" i="15" l="1"/>
  <c r="M9" i="15"/>
  <c r="O9" i="35" s="1"/>
  <c r="L9" i="35" s="1"/>
  <c r="AT8" i="15"/>
  <c r="AW8" i="15"/>
  <c r="AX8" i="15"/>
  <c r="AY8" i="15"/>
  <c r="AZ8" i="15" l="1"/>
  <c r="BR8" i="35" s="1"/>
  <c r="BO8" i="35" s="1"/>
  <c r="CA8" i="35"/>
  <c r="BZ8" i="35"/>
  <c r="AL8" i="15"/>
  <c r="AI8" i="15"/>
  <c r="W8" i="15"/>
  <c r="T8" i="15"/>
  <c r="AQ8" i="15"/>
  <c r="AO8" i="15"/>
  <c r="AP8" i="15"/>
  <c r="U8" i="15" l="1"/>
  <c r="Y8" i="15"/>
  <c r="BL11" i="15"/>
  <c r="AR8" i="15"/>
  <c r="Z8" i="35" l="1"/>
  <c r="W8" i="35" s="1"/>
  <c r="AE8" i="15"/>
  <c r="BG8" i="35" s="1"/>
  <c r="BD8" i="35" s="1"/>
  <c r="Z8" i="15"/>
  <c r="AK8" i="35" s="1"/>
  <c r="AH8" i="35" s="1"/>
  <c r="G8" i="15"/>
  <c r="C8" i="15"/>
  <c r="L8" i="15"/>
  <c r="K8" i="15"/>
  <c r="J8" i="15"/>
  <c r="M8" i="15" l="1"/>
  <c r="O8" i="35" s="1"/>
  <c r="L8" i="35" s="1"/>
  <c r="AY7" i="15"/>
  <c r="AX7" i="15"/>
  <c r="AW7" i="15"/>
  <c r="BZ7" i="35" l="1"/>
  <c r="CA7" i="35"/>
  <c r="AZ7" i="15"/>
  <c r="AL7" i="15"/>
  <c r="AI7" i="15"/>
  <c r="D12" i="15" s="1"/>
  <c r="E12" i="15" s="1"/>
  <c r="AD7" i="15"/>
  <c r="D11" i="15" s="1"/>
  <c r="E11" i="15" s="1"/>
  <c r="W7" i="15"/>
  <c r="AP7" i="15"/>
  <c r="AQ7" i="15"/>
  <c r="AO7" i="15"/>
  <c r="T7" i="15"/>
  <c r="D8" i="15" l="1"/>
  <c r="E8" i="15" s="1"/>
  <c r="Y7" i="15"/>
  <c r="U7" i="15"/>
  <c r="BL9" i="15"/>
  <c r="AR7" i="15"/>
  <c r="L7" i="15"/>
  <c r="M7" i="15" l="1"/>
  <c r="O7" i="35" s="1"/>
  <c r="L7" i="35" s="1"/>
  <c r="BL7" i="15"/>
  <c r="Z7" i="35"/>
  <c r="W7" i="35" s="1"/>
  <c r="AE7" i="15"/>
  <c r="BG7" i="35" s="1"/>
  <c r="BD7" i="35" s="1"/>
  <c r="Z7" i="15"/>
  <c r="AK7" i="35" s="1"/>
  <c r="AH7" i="35" s="1"/>
  <c r="D7" i="15"/>
  <c r="C7" i="15"/>
  <c r="B7" i="15"/>
  <c r="BH4" i="15"/>
  <c r="AT3" i="15"/>
  <c r="AL3" i="15"/>
  <c r="AG3" i="15"/>
  <c r="AB3" i="15"/>
  <c r="W3" i="15"/>
  <c r="O3" i="15"/>
  <c r="B8" i="15" s="1"/>
  <c r="BD1" i="15"/>
  <c r="BD7" i="15" s="1"/>
  <c r="AD50" i="52"/>
  <c r="AD49" i="52"/>
  <c r="AY48" i="52"/>
  <c r="AQ48" i="52"/>
  <c r="AI48" i="52"/>
  <c r="AD48" i="52"/>
  <c r="AY47" i="52"/>
  <c r="AQ47" i="52"/>
  <c r="AI47" i="52"/>
  <c r="AD47" i="52"/>
  <c r="AY46" i="52"/>
  <c r="AQ46" i="52"/>
  <c r="AI46" i="52"/>
  <c r="AD46" i="52"/>
  <c r="AY45" i="52"/>
  <c r="AQ45" i="52"/>
  <c r="AI45" i="52"/>
  <c r="AD45" i="52"/>
  <c r="T45" i="52"/>
  <c r="AY44" i="52"/>
  <c r="AQ44" i="52"/>
  <c r="AI44" i="52"/>
  <c r="AD44" i="52"/>
  <c r="T44" i="52"/>
  <c r="AY43" i="52"/>
  <c r="AQ43" i="52"/>
  <c r="AI43" i="52"/>
  <c r="AD43" i="52"/>
  <c r="T43" i="52"/>
  <c r="AY42" i="52"/>
  <c r="AQ42" i="52"/>
  <c r="AI42" i="52"/>
  <c r="AD42" i="52"/>
  <c r="T42" i="52"/>
  <c r="AY41" i="52"/>
  <c r="AQ41" i="52"/>
  <c r="AI41" i="52"/>
  <c r="AD41" i="52"/>
  <c r="T41" i="52"/>
  <c r="AY40" i="52"/>
  <c r="AQ40" i="52"/>
  <c r="AI40" i="52"/>
  <c r="AD40" i="52"/>
  <c r="T40" i="52"/>
  <c r="AY39" i="52"/>
  <c r="AQ39" i="52"/>
  <c r="AI39" i="52"/>
  <c r="AD39" i="52"/>
  <c r="T39" i="52"/>
  <c r="AY38" i="52"/>
  <c r="AQ38" i="52"/>
  <c r="AI38" i="52"/>
  <c r="AD38" i="52"/>
  <c r="T38" i="52"/>
  <c r="AI37" i="52"/>
  <c r="AD37" i="52"/>
  <c r="T37" i="52"/>
  <c r="AI36" i="52"/>
  <c r="AD36" i="52"/>
  <c r="T36" i="52"/>
  <c r="AI35" i="52"/>
  <c r="AD35" i="52"/>
  <c r="T35" i="52"/>
  <c r="AI34" i="52"/>
  <c r="AD34" i="52"/>
  <c r="AI33" i="52"/>
  <c r="AD33" i="52"/>
  <c r="AI32" i="52"/>
  <c r="AD32" i="52"/>
  <c r="AI31" i="52"/>
  <c r="AD31" i="52"/>
  <c r="AY30" i="52"/>
  <c r="AI30" i="52"/>
  <c r="AD30" i="52"/>
  <c r="AY29" i="52"/>
  <c r="AI29" i="52"/>
  <c r="AD29" i="52"/>
  <c r="AI28" i="52"/>
  <c r="AD28" i="52"/>
  <c r="BF7" i="15"/>
  <c r="W57" i="35"/>
  <c r="BD8" i="15"/>
  <c r="BD10" i="15"/>
  <c r="BD12" i="15"/>
  <c r="BD14" i="15"/>
  <c r="BD16" i="15"/>
  <c r="BD18" i="15"/>
  <c r="BD20" i="15"/>
  <c r="BD22" i="15"/>
  <c r="BD24" i="15"/>
  <c r="BD26" i="15"/>
  <c r="BD28" i="15"/>
  <c r="BD30" i="15"/>
  <c r="BD32" i="15"/>
  <c r="BD34" i="15"/>
  <c r="BD36" i="15"/>
  <c r="BD38" i="15"/>
  <c r="BD40" i="15"/>
  <c r="BD42" i="15"/>
  <c r="BD44" i="15"/>
  <c r="BH44" i="15" s="1"/>
  <c r="BD46" i="15"/>
  <c r="BD45" i="35"/>
  <c r="BH40" i="15"/>
  <c r="BF8" i="15"/>
  <c r="BF10" i="15"/>
  <c r="BF12" i="15"/>
  <c r="BF14" i="15"/>
  <c r="BF16" i="15"/>
  <c r="BF18" i="15"/>
  <c r="BF20" i="15"/>
  <c r="BF22" i="15"/>
  <c r="BF24" i="15"/>
  <c r="BF26" i="15"/>
  <c r="BF28" i="15"/>
  <c r="BF30" i="15"/>
  <c r="BF32" i="15"/>
  <c r="BF34" i="15"/>
  <c r="BF36" i="15"/>
  <c r="BF38" i="15"/>
  <c r="BF40" i="15"/>
  <c r="BF42" i="15"/>
  <c r="BF44" i="15"/>
  <c r="BF46" i="15"/>
  <c r="AH45" i="35"/>
  <c r="BH38" i="15"/>
  <c r="BH8" i="15"/>
  <c r="BH10" i="15"/>
  <c r="BH12" i="15"/>
  <c r="BH14" i="15"/>
  <c r="BH16" i="15"/>
  <c r="BH18" i="15"/>
  <c r="BH20" i="15"/>
  <c r="BH22" i="15"/>
  <c r="BH24" i="15"/>
  <c r="BH26" i="15"/>
  <c r="BH28" i="15"/>
  <c r="BH30" i="15"/>
  <c r="BH32" i="15"/>
  <c r="BH34" i="15"/>
  <c r="BH36" i="15"/>
  <c r="BH42" i="15"/>
  <c r="BH46" i="15"/>
  <c r="BI8" i="15"/>
  <c r="BI10" i="15"/>
  <c r="BI12" i="15"/>
  <c r="BI14" i="15"/>
  <c r="BI16" i="15"/>
  <c r="BI18" i="15"/>
  <c r="BI20" i="15"/>
  <c r="BI22" i="15"/>
  <c r="BI24" i="15"/>
  <c r="BI26" i="15"/>
  <c r="BI28" i="15"/>
  <c r="BI30" i="15"/>
  <c r="BI32" i="15"/>
  <c r="BI34" i="15"/>
  <c r="BI36" i="15"/>
  <c r="BI38" i="15"/>
  <c r="BI40" i="15"/>
  <c r="BI42" i="15"/>
  <c r="BI44" i="15"/>
  <c r="BI46" i="15"/>
  <c r="BD9" i="15"/>
  <c r="BI9" i="15" s="1"/>
  <c r="BD11" i="15"/>
  <c r="BD13" i="15"/>
  <c r="BI13" i="15" s="1"/>
  <c r="BD15" i="15"/>
  <c r="BD17" i="15"/>
  <c r="BD19" i="15"/>
  <c r="BD21" i="15"/>
  <c r="BD23" i="15"/>
  <c r="BI23" i="15" s="1"/>
  <c r="BD25" i="15"/>
  <c r="BD27" i="15"/>
  <c r="BI27" i="15" s="1"/>
  <c r="BD29" i="15"/>
  <c r="BD31" i="15"/>
  <c r="BD33" i="15"/>
  <c r="BD35" i="15"/>
  <c r="BD37" i="15"/>
  <c r="BD39" i="15"/>
  <c r="BD41" i="15"/>
  <c r="BD43" i="15"/>
  <c r="BI43" i="15" s="1"/>
  <c r="BD45" i="15"/>
  <c r="BI45" i="15" s="1"/>
  <c r="BD47" i="15"/>
  <c r="BH23" i="15"/>
  <c r="BH45" i="15"/>
  <c r="BF9" i="15"/>
  <c r="BF11" i="15"/>
  <c r="BF13" i="15"/>
  <c r="BF15" i="15"/>
  <c r="BF17" i="15"/>
  <c r="BF19" i="15"/>
  <c r="BF21" i="15"/>
  <c r="BF23" i="15"/>
  <c r="BF25" i="15"/>
  <c r="BF27" i="15"/>
  <c r="BF29" i="15"/>
  <c r="BF31" i="15"/>
  <c r="BF33" i="15"/>
  <c r="BF35" i="15"/>
  <c r="BF37" i="15"/>
  <c r="BF39" i="15"/>
  <c r="BF41" i="15"/>
  <c r="BF43" i="15"/>
  <c r="BF45" i="15"/>
  <c r="BF47" i="15"/>
  <c r="BH9" i="15"/>
  <c r="BH13" i="15"/>
  <c r="BH27" i="15"/>
  <c r="BH43" i="15"/>
  <c r="BH11" i="15"/>
  <c r="BI11" i="15"/>
  <c r="BH15" i="15"/>
  <c r="BI15" i="15"/>
  <c r="BH17" i="15"/>
  <c r="BI17" i="15"/>
  <c r="BH19" i="15"/>
  <c r="BI19" i="15"/>
  <c r="BH21" i="15"/>
  <c r="BI21" i="15"/>
  <c r="BH25" i="15"/>
  <c r="BI25" i="15"/>
  <c r="BH29" i="15"/>
  <c r="BI29" i="15"/>
  <c r="BH31" i="15"/>
  <c r="BI31" i="15"/>
  <c r="BH33" i="15"/>
  <c r="BI33" i="15"/>
  <c r="BH35" i="15"/>
  <c r="BI35" i="15"/>
  <c r="BH37" i="15"/>
  <c r="BI37" i="15"/>
  <c r="BH39" i="15"/>
  <c r="BI39" i="15"/>
  <c r="BH41" i="15"/>
  <c r="BI41" i="15"/>
  <c r="BH47" i="15"/>
  <c r="BI47" i="15"/>
  <c r="B4" i="15" l="1"/>
  <c r="BE47" i="15"/>
  <c r="BE46" i="15"/>
  <c r="BE45" i="15"/>
  <c r="BE44" i="15"/>
  <c r="BE43" i="15"/>
  <c r="BE42" i="15"/>
  <c r="BE41" i="15"/>
  <c r="BE40" i="15"/>
  <c r="BE39" i="15"/>
  <c r="BE38" i="15"/>
  <c r="BE37" i="15"/>
  <c r="BE36" i="15"/>
  <c r="BE35" i="15"/>
  <c r="BE34" i="15"/>
  <c r="BE33" i="15"/>
  <c r="BE32" i="15"/>
  <c r="BE31" i="15"/>
  <c r="BE30" i="15"/>
  <c r="BE29" i="15"/>
  <c r="BE28" i="15"/>
  <c r="BE27" i="15"/>
  <c r="BE26" i="15"/>
  <c r="BE25" i="15"/>
  <c r="BE24" i="15"/>
  <c r="BE23" i="15"/>
  <c r="BE22" i="15"/>
  <c r="BE21" i="15"/>
  <c r="BE20" i="15"/>
  <c r="BE19" i="15"/>
  <c r="BE18" i="15"/>
  <c r="BE17" i="15"/>
  <c r="BE16" i="15"/>
  <c r="BE15" i="15"/>
  <c r="BE14" i="15"/>
  <c r="BE13" i="15"/>
  <c r="BE12" i="15"/>
  <c r="BE11" i="15"/>
  <c r="BE10" i="15"/>
  <c r="BE9" i="15"/>
  <c r="BH7" i="15"/>
  <c r="BE8" i="15"/>
  <c r="BG7" i="15"/>
  <c r="E7" i="15"/>
  <c r="E4" i="15" s="1"/>
  <c r="O28" i="52"/>
  <c r="AI27" i="52"/>
  <c r="AD27" i="52"/>
  <c r="T28" i="52"/>
  <c r="R28" i="52"/>
  <c r="S28" i="52"/>
  <c r="BG8" i="15" l="1"/>
  <c r="BG9" i="15" s="1"/>
  <c r="BG10" i="15" s="1"/>
  <c r="BG11" i="15" s="1"/>
  <c r="BG12" i="15" s="1"/>
  <c r="BG13" i="15" s="1"/>
  <c r="BG14" i="15" s="1"/>
  <c r="BG15" i="15" s="1"/>
  <c r="BG16" i="15" s="1"/>
  <c r="BG17" i="15" s="1"/>
  <c r="BG18" i="15" s="1"/>
  <c r="BG19" i="15" s="1"/>
  <c r="BG20" i="15" s="1"/>
  <c r="BG21" i="15" s="1"/>
  <c r="BG22" i="15" s="1"/>
  <c r="BG23" i="15" s="1"/>
  <c r="BG24" i="15" s="1"/>
  <c r="BG25" i="15" s="1"/>
  <c r="BG26" i="15" s="1"/>
  <c r="BG27" i="15" s="1"/>
  <c r="BG28" i="15" s="1"/>
  <c r="BG29" i="15" s="1"/>
  <c r="BG30" i="15" s="1"/>
  <c r="BG31" i="15" s="1"/>
  <c r="BG32" i="15" s="1"/>
  <c r="BG33" i="15" s="1"/>
  <c r="BG34" i="15" s="1"/>
  <c r="BG35" i="15" s="1"/>
  <c r="BG36" i="15" s="1"/>
  <c r="BG37" i="15" s="1"/>
  <c r="BG38" i="15" s="1"/>
  <c r="BG39" i="15" s="1"/>
  <c r="BG40" i="15" s="1"/>
  <c r="BG41" i="15" s="1"/>
  <c r="BG42" i="15" s="1"/>
  <c r="BG43" i="15" s="1"/>
  <c r="BG44" i="15" s="1"/>
  <c r="BG45" i="15" s="1"/>
  <c r="BG46" i="15" s="1"/>
  <c r="BG47" i="15" s="1"/>
  <c r="U28" i="52"/>
  <c r="O27" i="52"/>
  <c r="AI26" i="52"/>
  <c r="AD26" i="52"/>
  <c r="R27" i="52"/>
  <c r="T27" i="52"/>
  <c r="S27" i="52"/>
  <c r="U27" i="52" l="1"/>
  <c r="O26" i="52"/>
  <c r="AI25" i="52"/>
  <c r="AD25" i="52"/>
  <c r="S26" i="52"/>
  <c r="R26" i="52"/>
  <c r="T26" i="52"/>
  <c r="U26" i="52" l="1"/>
  <c r="O25" i="52"/>
  <c r="AI24" i="52"/>
  <c r="AD24" i="52"/>
  <c r="R25" i="52"/>
  <c r="T25" i="52"/>
  <c r="S25" i="52"/>
  <c r="U25" i="52" l="1"/>
  <c r="O24" i="52"/>
  <c r="AI23" i="52"/>
  <c r="AD23" i="52"/>
  <c r="R24" i="52"/>
  <c r="S24" i="52"/>
  <c r="T24" i="52"/>
  <c r="U24" i="52" l="1"/>
  <c r="Z23" i="53" s="1"/>
  <c r="W23" i="53" s="1"/>
  <c r="O23" i="52"/>
  <c r="AI22" i="52"/>
  <c r="AD22" i="52"/>
  <c r="R23" i="52"/>
  <c r="S23" i="52"/>
  <c r="T23" i="52"/>
  <c r="U23" i="52" l="1"/>
  <c r="Z22" i="53" s="1"/>
  <c r="W22" i="53" s="1"/>
  <c r="O22" i="52"/>
  <c r="AI21" i="52"/>
  <c r="AD21" i="52"/>
  <c r="S22" i="52"/>
  <c r="R22" i="52"/>
  <c r="T22" i="52"/>
  <c r="U22" i="52" l="1"/>
  <c r="Z21" i="53" s="1"/>
  <c r="W21" i="53" s="1"/>
  <c r="W21" i="52"/>
  <c r="Y21" i="52"/>
  <c r="Z21" i="52" l="1"/>
  <c r="O21" i="52"/>
  <c r="AI20" i="52"/>
  <c r="AD20" i="52"/>
  <c r="R21" i="52"/>
  <c r="S21" i="52"/>
  <c r="T21" i="52"/>
  <c r="U21" i="52" l="1"/>
  <c r="Z20" i="53" s="1"/>
  <c r="W20" i="53" s="1"/>
  <c r="W20" i="52"/>
  <c r="Y20" i="52"/>
  <c r="Z20" i="52" l="1"/>
  <c r="O20" i="52"/>
  <c r="R20" i="52"/>
  <c r="T20" i="52"/>
  <c r="S20" i="52"/>
  <c r="U20" i="52" l="1"/>
  <c r="Z19" i="53" s="1"/>
  <c r="W19" i="53" s="1"/>
  <c r="G20" i="52"/>
  <c r="AQ19" i="52"/>
  <c r="AR19" i="52" s="1"/>
  <c r="AP19" i="52"/>
  <c r="AO19" i="52"/>
  <c r="AI19" i="52"/>
  <c r="AD19" i="52"/>
  <c r="K20" i="52"/>
  <c r="J20" i="52"/>
  <c r="L20" i="52"/>
  <c r="M20" i="52" l="1"/>
  <c r="O19" i="53" s="1"/>
  <c r="W19" i="52"/>
  <c r="Y19" i="52"/>
  <c r="Z19" i="52" l="1"/>
  <c r="AK17" i="53" s="1"/>
  <c r="AH17" i="53" s="1"/>
  <c r="L19" i="53"/>
  <c r="O20" i="53"/>
  <c r="O19" i="52"/>
  <c r="S19" i="52"/>
  <c r="R19" i="52"/>
  <c r="T19" i="52"/>
  <c r="U19" i="52" l="1"/>
  <c r="Z18" i="53" s="1"/>
  <c r="W18" i="53" s="1"/>
  <c r="L20" i="53"/>
  <c r="O21" i="53"/>
  <c r="L21" i="53" s="1"/>
  <c r="G19" i="52"/>
  <c r="L19" i="52"/>
  <c r="K19" i="52"/>
  <c r="J19" i="52"/>
  <c r="M19" i="52" l="1"/>
  <c r="O18" i="53" s="1"/>
  <c r="L18" i="53" s="1"/>
  <c r="AT18" i="52"/>
  <c r="AW18" i="52"/>
  <c r="AY18" i="52"/>
  <c r="AX18" i="52"/>
  <c r="AZ18" i="52" l="1"/>
  <c r="CA18" i="53"/>
  <c r="BZ18" i="53"/>
  <c r="AL18" i="52"/>
  <c r="AI18" i="52"/>
  <c r="AP18" i="52"/>
  <c r="AO18" i="52"/>
  <c r="AQ18" i="52"/>
  <c r="AR18" i="52" l="1"/>
  <c r="BR25" i="53" s="1"/>
  <c r="BO25" i="53" s="1"/>
  <c r="W18" i="52"/>
  <c r="Y18" i="52"/>
  <c r="Z18" i="52" l="1"/>
  <c r="AK16" i="53" s="1"/>
  <c r="AH16" i="53" s="1"/>
  <c r="O18" i="52"/>
  <c r="T18" i="52"/>
  <c r="R18" i="52"/>
  <c r="S18" i="52"/>
  <c r="U18" i="52" l="1"/>
  <c r="Z17" i="53" s="1"/>
  <c r="W17" i="53" s="1"/>
  <c r="G18" i="52"/>
  <c r="L18" i="52"/>
  <c r="K18" i="52"/>
  <c r="J18" i="52"/>
  <c r="M18" i="52" l="1"/>
  <c r="O17" i="53" s="1"/>
  <c r="L17" i="53" s="1"/>
  <c r="AT17" i="52"/>
  <c r="AY17" i="52"/>
  <c r="AW17" i="52"/>
  <c r="AX17" i="52"/>
  <c r="AZ17" i="52" l="1"/>
  <c r="CA17" i="53"/>
  <c r="BZ17" i="53"/>
  <c r="AL17" i="52"/>
  <c r="AI17" i="52"/>
  <c r="AO17" i="52"/>
  <c r="AQ17" i="52"/>
  <c r="AP17" i="52"/>
  <c r="AR17" i="52" l="1"/>
  <c r="BR24" i="53" s="1"/>
  <c r="BO24" i="53" s="1"/>
  <c r="AB17" i="52"/>
  <c r="AD17" i="52"/>
  <c r="AE17" i="52" l="1"/>
  <c r="BG17" i="53" s="1"/>
  <c r="BD17" i="53" s="1"/>
  <c r="W17" i="52"/>
  <c r="Y17" i="52"/>
  <c r="Z17" i="52" l="1"/>
  <c r="AK15" i="53" s="1"/>
  <c r="AH15" i="53" s="1"/>
  <c r="O17" i="52"/>
  <c r="R17" i="52"/>
  <c r="S17" i="52"/>
  <c r="T17" i="52"/>
  <c r="U17" i="52" l="1"/>
  <c r="Z16" i="53" s="1"/>
  <c r="W16" i="53" s="1"/>
  <c r="G17" i="52"/>
  <c r="J17" i="52"/>
  <c r="K17" i="52"/>
  <c r="L17" i="52"/>
  <c r="M17" i="52" l="1"/>
  <c r="O16" i="53" s="1"/>
  <c r="L16" i="53" s="1"/>
  <c r="AT16" i="52"/>
  <c r="AW16" i="52"/>
  <c r="AX16" i="52"/>
  <c r="AY16" i="52"/>
  <c r="AZ16" i="52" l="1"/>
  <c r="BR16" i="53" s="1"/>
  <c r="BO16" i="53" s="1"/>
  <c r="CA16" i="53"/>
  <c r="BZ16" i="53"/>
  <c r="AL16" i="52"/>
  <c r="AI16" i="52"/>
  <c r="AP16" i="52"/>
  <c r="AO16" i="52"/>
  <c r="AQ16" i="52"/>
  <c r="AR16" i="52" l="1"/>
  <c r="BR23" i="53" s="1"/>
  <c r="BO23" i="53" s="1"/>
  <c r="AB16" i="52"/>
  <c r="AD16" i="52"/>
  <c r="AE16" i="52" l="1"/>
  <c r="BG16" i="53" s="1"/>
  <c r="BD16" i="53" s="1"/>
  <c r="W16" i="52"/>
  <c r="Y16" i="52"/>
  <c r="Z16" i="52" l="1"/>
  <c r="AK14" i="53" s="1"/>
  <c r="AH14" i="53" s="1"/>
  <c r="O16" i="52"/>
  <c r="R16" i="52"/>
  <c r="T16" i="52"/>
  <c r="S16" i="52"/>
  <c r="U16" i="52" l="1"/>
  <c r="Z15" i="53" s="1"/>
  <c r="W15" i="53" s="1"/>
  <c r="G16" i="52"/>
  <c r="K16" i="52"/>
  <c r="J16" i="52"/>
  <c r="L16" i="52"/>
  <c r="M16" i="52" l="1"/>
  <c r="O15" i="53" s="1"/>
  <c r="L15" i="53" s="1"/>
  <c r="AT15" i="52"/>
  <c r="AX15" i="52"/>
  <c r="AW15" i="52"/>
  <c r="AY15" i="52"/>
  <c r="AZ15" i="52" l="1"/>
  <c r="BR15" i="53" s="1"/>
  <c r="BO15" i="53" s="1"/>
  <c r="CA15" i="53"/>
  <c r="BZ15" i="53"/>
  <c r="AL15" i="52"/>
  <c r="AI15" i="52"/>
  <c r="AP15" i="52"/>
  <c r="AO15" i="52"/>
  <c r="AQ15" i="52"/>
  <c r="AR15" i="52" l="1"/>
  <c r="BR22" i="53" s="1"/>
  <c r="BO22" i="53" s="1"/>
  <c r="AB15" i="52"/>
  <c r="AD15" i="52"/>
  <c r="AE15" i="52" l="1"/>
  <c r="BG15" i="53" s="1"/>
  <c r="BD15" i="53" s="1"/>
  <c r="W15" i="52"/>
  <c r="Y15" i="52"/>
  <c r="Z15" i="52" l="1"/>
  <c r="AK13" i="53" s="1"/>
  <c r="AH13" i="53" s="1"/>
  <c r="O15" i="52"/>
  <c r="R15" i="52"/>
  <c r="S15" i="52"/>
  <c r="T15" i="52"/>
  <c r="U15" i="52" l="1"/>
  <c r="G15" i="52"/>
  <c r="J15" i="52"/>
  <c r="K15" i="52"/>
  <c r="L15" i="52"/>
  <c r="M15" i="52" l="1"/>
  <c r="O14" i="53" s="1"/>
  <c r="L14" i="53" s="1"/>
  <c r="AT14" i="52"/>
  <c r="AY14" i="52"/>
  <c r="AW14" i="52"/>
  <c r="AX14" i="52"/>
  <c r="AZ14" i="52" l="1"/>
  <c r="BR14" i="53" s="1"/>
  <c r="BO14" i="53" s="1"/>
  <c r="CA14" i="53"/>
  <c r="BZ14" i="53"/>
  <c r="AL14" i="52"/>
  <c r="AI14" i="52"/>
  <c r="AO14" i="52"/>
  <c r="AQ14" i="52"/>
  <c r="AP14" i="52"/>
  <c r="AR14" i="52" l="1"/>
  <c r="BR21" i="53" s="1"/>
  <c r="BO21" i="53" s="1"/>
  <c r="AB14" i="52"/>
  <c r="AD14" i="52"/>
  <c r="AE14" i="52" l="1"/>
  <c r="BG14" i="53" s="1"/>
  <c r="BD14" i="53" s="1"/>
  <c r="W14" i="52"/>
  <c r="Y14" i="52"/>
  <c r="Z14" i="52" l="1"/>
  <c r="AK12" i="53" s="1"/>
  <c r="AH12" i="53" s="1"/>
  <c r="O14" i="52"/>
  <c r="R14" i="52"/>
  <c r="T14" i="52"/>
  <c r="S14" i="52"/>
  <c r="U14" i="52" l="1"/>
  <c r="G14" i="52"/>
  <c r="J14" i="52"/>
  <c r="L14" i="52"/>
  <c r="K14" i="52"/>
  <c r="M14" i="52" l="1"/>
  <c r="AT13" i="52"/>
  <c r="AW13" i="52"/>
  <c r="AY13" i="52"/>
  <c r="AX13" i="52"/>
  <c r="AZ13" i="52" l="1"/>
  <c r="BR13" i="53" s="1"/>
  <c r="BO13" i="53" s="1"/>
  <c r="CA13" i="53"/>
  <c r="BZ13" i="53"/>
  <c r="AL13" i="52"/>
  <c r="AI13" i="52"/>
  <c r="AO13" i="52"/>
  <c r="AQ13" i="52"/>
  <c r="AP13" i="52"/>
  <c r="AR13" i="52" l="1"/>
  <c r="BR20" i="53" s="1"/>
  <c r="BO20" i="53" s="1"/>
  <c r="AB13" i="52"/>
  <c r="AD13" i="52"/>
  <c r="AE13" i="52" l="1"/>
  <c r="BG13" i="53" s="1"/>
  <c r="BD13" i="53" s="1"/>
  <c r="W13" i="52"/>
  <c r="Y13" i="52"/>
  <c r="Z13" i="52" l="1"/>
  <c r="AK11" i="53" s="1"/>
  <c r="AH11" i="53" s="1"/>
  <c r="O13" i="52"/>
  <c r="R13" i="52"/>
  <c r="T13" i="52"/>
  <c r="S13" i="52"/>
  <c r="U13" i="52" l="1"/>
  <c r="Z14" i="53" s="1"/>
  <c r="W14" i="53" s="1"/>
  <c r="G13" i="52"/>
  <c r="J13" i="52"/>
  <c r="L13" i="52"/>
  <c r="K13" i="52"/>
  <c r="M13" i="52" l="1"/>
  <c r="O13" i="53" s="1"/>
  <c r="L13" i="53" s="1"/>
  <c r="AT12" i="52"/>
  <c r="AW12" i="52"/>
  <c r="AY12" i="52"/>
  <c r="AX12" i="52"/>
  <c r="AZ12" i="52" l="1"/>
  <c r="BR12" i="53" s="1"/>
  <c r="BO12" i="53" s="1"/>
  <c r="CA12" i="53"/>
  <c r="BZ12" i="53"/>
  <c r="AL12" i="52"/>
  <c r="AI12" i="52"/>
  <c r="AO12" i="52"/>
  <c r="AQ12" i="52"/>
  <c r="AP12" i="52"/>
  <c r="AR12" i="52" l="1"/>
  <c r="BR19" i="53" s="1"/>
  <c r="BO19" i="53" s="1"/>
  <c r="AB12" i="52"/>
  <c r="AD12" i="52"/>
  <c r="AE12" i="52" l="1"/>
  <c r="BG12" i="53" s="1"/>
  <c r="BD12" i="53" s="1"/>
  <c r="W12" i="52"/>
  <c r="Y12" i="52"/>
  <c r="Z12" i="52" l="1"/>
  <c r="O12" i="52"/>
  <c r="R12" i="52"/>
  <c r="S12" i="52"/>
  <c r="T12" i="52"/>
  <c r="U12" i="52" l="1"/>
  <c r="Z13" i="53" s="1"/>
  <c r="W13" i="53" s="1"/>
  <c r="G12" i="52"/>
  <c r="C12" i="52"/>
  <c r="J12" i="52"/>
  <c r="K12" i="52"/>
  <c r="L12" i="52"/>
  <c r="M12" i="52" l="1"/>
  <c r="O12" i="53" s="1"/>
  <c r="L12" i="53" s="1"/>
  <c r="AT11" i="52"/>
  <c r="AY11" i="52"/>
  <c r="AW11" i="52"/>
  <c r="AX11" i="52"/>
  <c r="AZ11" i="52" l="1"/>
  <c r="BR11" i="53" s="1"/>
  <c r="BO11" i="53" s="1"/>
  <c r="CA11" i="53"/>
  <c r="BZ11" i="53"/>
  <c r="AL11" i="52"/>
  <c r="AI11" i="52"/>
  <c r="AO11" i="52"/>
  <c r="AP11" i="52"/>
  <c r="AQ11" i="52"/>
  <c r="AR11" i="52" l="1"/>
  <c r="BR18" i="53" s="1"/>
  <c r="BO18" i="53" s="1"/>
  <c r="AB11" i="52"/>
  <c r="AD11" i="52"/>
  <c r="AE11" i="52" l="1"/>
  <c r="BG11" i="53" s="1"/>
  <c r="BD11" i="53" s="1"/>
  <c r="W11" i="52"/>
  <c r="Y11" i="52"/>
  <c r="Z11" i="52" l="1"/>
  <c r="O11" i="52"/>
  <c r="R11" i="52"/>
  <c r="T11" i="52"/>
  <c r="S11" i="52"/>
  <c r="U11" i="52" l="1"/>
  <c r="Z12" i="53" s="1"/>
  <c r="W12" i="53" s="1"/>
  <c r="G11" i="52"/>
  <c r="J11" i="52"/>
  <c r="L11" i="52"/>
  <c r="K11" i="52"/>
  <c r="M11" i="52" l="1"/>
  <c r="O11" i="53" s="1"/>
  <c r="L11" i="53" s="1"/>
  <c r="AT10" i="52"/>
  <c r="AW10" i="52"/>
  <c r="AY10" i="52"/>
  <c r="AX10" i="52"/>
  <c r="AZ10" i="52" l="1"/>
  <c r="BR10" i="53" s="1"/>
  <c r="BO10" i="53" s="1"/>
  <c r="CA10" i="53"/>
  <c r="BZ10" i="53"/>
  <c r="AL10" i="52"/>
  <c r="AI10" i="52"/>
  <c r="AO10" i="52"/>
  <c r="AQ10" i="52"/>
  <c r="AP10" i="52"/>
  <c r="AR10" i="52" l="1"/>
  <c r="AB10" i="52"/>
  <c r="W10" i="52"/>
  <c r="AD10" i="52"/>
  <c r="T10" i="52"/>
  <c r="U10" i="52" l="1"/>
  <c r="AE10" i="52"/>
  <c r="BG10" i="53" s="1"/>
  <c r="BD10" i="53" s="1"/>
  <c r="Z10" i="53" l="1"/>
  <c r="W10" i="53" s="1"/>
  <c r="Z10" i="52"/>
  <c r="AK10" i="53" s="1"/>
  <c r="AH10" i="53" s="1"/>
  <c r="G10" i="52"/>
  <c r="D10" i="52"/>
  <c r="C10" i="52"/>
  <c r="L10" i="52"/>
  <c r="J10" i="52"/>
  <c r="K10" i="52"/>
  <c r="E10" i="52" l="1"/>
  <c r="M10" i="52"/>
  <c r="O10" i="53" s="1"/>
  <c r="L10" i="53" s="1"/>
  <c r="AT9" i="52"/>
  <c r="AW9" i="52"/>
  <c r="AX9" i="52"/>
  <c r="AY9" i="52"/>
  <c r="AZ9" i="52" l="1"/>
  <c r="BR9" i="53" s="1"/>
  <c r="BO9" i="53" s="1"/>
  <c r="CA9" i="53"/>
  <c r="BZ9" i="53"/>
  <c r="AL9" i="52"/>
  <c r="AI9" i="52"/>
  <c r="AO9" i="52"/>
  <c r="AP9" i="52"/>
  <c r="AQ9" i="52"/>
  <c r="AR9" i="52" l="1"/>
  <c r="BR17" i="53" s="1"/>
  <c r="BO17" i="53" s="1"/>
  <c r="AB9" i="52"/>
  <c r="W9" i="52"/>
  <c r="AD9" i="52"/>
  <c r="T9" i="52"/>
  <c r="U9" i="52" l="1"/>
  <c r="AE9" i="52"/>
  <c r="BG9" i="53" s="1"/>
  <c r="BD9" i="53" s="1"/>
  <c r="Z9" i="53" l="1"/>
  <c r="W9" i="53" s="1"/>
  <c r="Z9" i="52"/>
  <c r="AK9" i="53" s="1"/>
  <c r="AH9" i="53" s="1"/>
  <c r="G9" i="52"/>
  <c r="D9" i="52"/>
  <c r="C9" i="52"/>
  <c r="L9" i="52"/>
  <c r="K9" i="52"/>
  <c r="J9" i="52"/>
  <c r="E9" i="52" l="1"/>
  <c r="M9" i="52"/>
  <c r="O9" i="53" s="1"/>
  <c r="L9" i="53" s="1"/>
  <c r="AT8" i="52"/>
  <c r="AW8" i="52"/>
  <c r="AY8" i="52"/>
  <c r="AX8" i="52"/>
  <c r="AZ8" i="52" l="1"/>
  <c r="BR8" i="53" s="1"/>
  <c r="BO8" i="53" s="1"/>
  <c r="CA8" i="53"/>
  <c r="BZ8" i="53"/>
  <c r="AL8" i="52"/>
  <c r="AI8" i="52"/>
  <c r="AB8" i="52"/>
  <c r="W8" i="52"/>
  <c r="AQ8" i="52"/>
  <c r="T8" i="52"/>
  <c r="AP8" i="52"/>
  <c r="AO8" i="52"/>
  <c r="AD8" i="52" l="1"/>
  <c r="AE8" i="52" s="1"/>
  <c r="BG8" i="53" s="1"/>
  <c r="BD8" i="53" s="1"/>
  <c r="U8" i="52"/>
  <c r="AR8" i="52"/>
  <c r="Z8" i="53" l="1"/>
  <c r="W8" i="53" s="1"/>
  <c r="Z8" i="52"/>
  <c r="AK8" i="53" s="1"/>
  <c r="AH8" i="53" s="1"/>
  <c r="G8" i="52"/>
  <c r="C8" i="52"/>
  <c r="AZ7" i="52"/>
  <c r="BR7" i="53" s="1"/>
  <c r="BP7" i="53" s="1"/>
  <c r="BO45" i="53"/>
  <c r="AX7" i="52"/>
  <c r="K8" i="52"/>
  <c r="AW7" i="52"/>
  <c r="J8" i="52"/>
  <c r="L8" i="52"/>
  <c r="BZ7" i="53" l="1"/>
  <c r="CA7" i="53"/>
  <c r="M8" i="52"/>
  <c r="O8" i="53" s="1"/>
  <c r="L8" i="53" s="1"/>
  <c r="AL7" i="52"/>
  <c r="AI7" i="52"/>
  <c r="D12" i="52" s="1"/>
  <c r="E12" i="52" s="1"/>
  <c r="AB7" i="52"/>
  <c r="C11" i="52" s="1"/>
  <c r="W7" i="52"/>
  <c r="AP7" i="52"/>
  <c r="T7" i="52"/>
  <c r="AQ7" i="52"/>
  <c r="AO7" i="52"/>
  <c r="D8" i="52" l="1"/>
  <c r="E8" i="52" s="1"/>
  <c r="AD7" i="52"/>
  <c r="U7" i="52"/>
  <c r="AR7" i="52"/>
  <c r="L7" i="52"/>
  <c r="M7" i="52" l="1"/>
  <c r="O7" i="53" s="1"/>
  <c r="L7" i="53" s="1"/>
  <c r="Z7" i="53"/>
  <c r="W7" i="53" s="1"/>
  <c r="Z7" i="52"/>
  <c r="AK7" i="53" s="1"/>
  <c r="AH7" i="53" s="1"/>
  <c r="D11" i="52"/>
  <c r="E11" i="52" s="1"/>
  <c r="AE7" i="52"/>
  <c r="BG7" i="53" s="1"/>
  <c r="BD7" i="53" s="1"/>
  <c r="D7" i="52"/>
  <c r="C7" i="52"/>
  <c r="B7" i="52"/>
  <c r="AT3" i="52"/>
  <c r="AL3" i="52"/>
  <c r="AG3" i="52"/>
  <c r="AB3" i="52"/>
  <c r="W3" i="52"/>
  <c r="O3" i="52"/>
  <c r="B8" i="52" s="1"/>
  <c r="AD50" i="58"/>
  <c r="AY49" i="58"/>
  <c r="AD49" i="58"/>
  <c r="AY48" i="58"/>
  <c r="AQ48" i="58"/>
  <c r="AI48" i="58"/>
  <c r="AD48" i="58"/>
  <c r="AY47" i="58"/>
  <c r="AQ47" i="58"/>
  <c r="AI47" i="58"/>
  <c r="AD47" i="58"/>
  <c r="AY46" i="58"/>
  <c r="AQ46" i="58"/>
  <c r="AI46" i="58"/>
  <c r="AD46" i="58"/>
  <c r="T46" i="58"/>
  <c r="AY45" i="58"/>
  <c r="AQ45" i="58"/>
  <c r="AI45" i="58"/>
  <c r="AD45" i="58"/>
  <c r="T45" i="58"/>
  <c r="AY44" i="58"/>
  <c r="AQ44" i="58"/>
  <c r="AI44" i="58"/>
  <c r="AD44" i="58"/>
  <c r="T44" i="58"/>
  <c r="AY43" i="58"/>
  <c r="AQ43" i="58"/>
  <c r="AI43" i="58"/>
  <c r="AD43" i="58"/>
  <c r="T43" i="58"/>
  <c r="AY42" i="58"/>
  <c r="AQ42" i="58"/>
  <c r="AI42" i="58"/>
  <c r="AD42" i="58"/>
  <c r="T42" i="58"/>
  <c r="AY41" i="58"/>
  <c r="AQ41" i="58"/>
  <c r="AI41" i="58"/>
  <c r="AD41" i="58"/>
  <c r="T41" i="58"/>
  <c r="AY40" i="58"/>
  <c r="AQ40" i="58"/>
  <c r="AI40" i="58"/>
  <c r="AD40" i="58"/>
  <c r="T40" i="58"/>
  <c r="AY39" i="58"/>
  <c r="AQ39" i="58"/>
  <c r="AI39" i="58"/>
  <c r="AD39" i="58"/>
  <c r="T39" i="58"/>
  <c r="AQ38" i="58"/>
  <c r="AI38" i="58"/>
  <c r="AD38" i="58"/>
  <c r="T38" i="58"/>
  <c r="AI37" i="58"/>
  <c r="AD37" i="58"/>
  <c r="T37" i="58"/>
  <c r="AI36" i="58"/>
  <c r="AD36" i="58"/>
  <c r="T36" i="58"/>
  <c r="AI35" i="58"/>
  <c r="AD35" i="58"/>
  <c r="AI34" i="58"/>
  <c r="AD34" i="58"/>
  <c r="AI33" i="58"/>
  <c r="AD33" i="58"/>
  <c r="AI32" i="58"/>
  <c r="AD32" i="58"/>
  <c r="AY31" i="58"/>
  <c r="AI31" i="58"/>
  <c r="AD31" i="58"/>
  <c r="AY30" i="58"/>
  <c r="AI30" i="58"/>
  <c r="AD30" i="58"/>
  <c r="AI29" i="58"/>
  <c r="AD29" i="58"/>
  <c r="AI28" i="58"/>
  <c r="AD28" i="58"/>
  <c r="AI27" i="58"/>
  <c r="AD27" i="58"/>
  <c r="BD45" i="53"/>
  <c r="AH45" i="53"/>
  <c r="L45" i="53"/>
  <c r="L54" i="53" s="1" a="1"/>
  <c r="W45" i="53"/>
  <c r="B4" i="52" l="1"/>
  <c r="E7" i="52"/>
  <c r="E4" i="52" s="1"/>
  <c r="L56" i="53"/>
  <c r="L57" i="53"/>
  <c r="L55" i="53"/>
  <c r="L54" i="53"/>
  <c r="W27" i="58"/>
  <c r="AI26" i="58"/>
  <c r="AD26" i="58"/>
  <c r="U7" i="37"/>
  <c r="Y27" i="58"/>
  <c r="Z27" i="58" l="1"/>
  <c r="W26" i="58"/>
  <c r="W54" i="53" a="1"/>
  <c r="Y26" i="58"/>
  <c r="Z26" i="58" l="1"/>
  <c r="W57" i="53"/>
  <c r="W56" i="53"/>
  <c r="W54" i="53"/>
  <c r="W55" i="53"/>
  <c r="O26" i="58"/>
  <c r="AI25" i="58"/>
  <c r="AD25" i="58"/>
  <c r="U9" i="37"/>
  <c r="R26" i="58"/>
  <c r="S26" i="58"/>
  <c r="T26" i="58"/>
  <c r="U26" i="58" l="1"/>
  <c r="W25" i="58"/>
  <c r="BD54" i="53" a="1"/>
  <c r="AH54" i="53" a="1"/>
  <c r="Y25" i="58"/>
  <c r="Z25" i="58" l="1"/>
  <c r="BD57" i="53"/>
  <c r="BD56" i="53"/>
  <c r="BD54" i="53"/>
  <c r="BD55" i="53"/>
  <c r="AH57" i="53"/>
  <c r="AH56" i="53"/>
  <c r="AH54" i="53"/>
  <c r="AH55" i="53"/>
  <c r="O25" i="58"/>
  <c r="R25" i="58"/>
  <c r="T25" i="58"/>
  <c r="U8" i="37"/>
  <c r="S25" i="58"/>
  <c r="U10" i="37"/>
  <c r="U25" i="58" l="1"/>
  <c r="AT24" i="58"/>
  <c r="AI24" i="58"/>
  <c r="AD24" i="58"/>
  <c r="AW24" i="58"/>
  <c r="AX24" i="58"/>
  <c r="AY24" i="58"/>
  <c r="AZ24" i="58" l="1"/>
  <c r="W24" i="58"/>
  <c r="Y24" i="58"/>
  <c r="Z24" i="58" l="1"/>
  <c r="O24" i="58"/>
  <c r="R24" i="58"/>
  <c r="S24" i="58"/>
  <c r="T24" i="58"/>
  <c r="U24" i="58" l="1"/>
  <c r="AT23" i="58"/>
  <c r="AI23" i="58"/>
  <c r="AD23" i="58"/>
  <c r="AW23" i="58"/>
  <c r="AX23" i="58"/>
  <c r="AY23" i="58"/>
  <c r="AZ23" i="58" l="1"/>
  <c r="W23" i="58"/>
  <c r="Y23" i="58"/>
  <c r="Z23" i="58" l="1"/>
  <c r="O23" i="58"/>
  <c r="R23" i="58"/>
  <c r="S23" i="58"/>
  <c r="T23" i="58"/>
  <c r="U23" i="58" l="1"/>
  <c r="AT22" i="58"/>
  <c r="AI22" i="58"/>
  <c r="AD22" i="58"/>
  <c r="AX22" i="58"/>
  <c r="AW22" i="58"/>
  <c r="AY22" i="58"/>
  <c r="AZ22" i="58" l="1"/>
  <c r="W22" i="58"/>
  <c r="Y22" i="58"/>
  <c r="Z22" i="58" l="1"/>
  <c r="O22" i="58"/>
  <c r="S22" i="58"/>
  <c r="T22" i="58"/>
  <c r="R22" i="58"/>
  <c r="U22" i="58" l="1"/>
  <c r="AT21" i="58"/>
  <c r="AI21" i="58"/>
  <c r="AD21" i="58"/>
  <c r="AW21" i="58"/>
  <c r="AX21" i="58"/>
  <c r="AY21" i="58"/>
  <c r="AZ21" i="58" l="1"/>
  <c r="W21" i="58"/>
  <c r="Y21" i="58"/>
  <c r="Z21" i="58" l="1"/>
  <c r="O21" i="58"/>
  <c r="R21" i="58"/>
  <c r="S21" i="58"/>
  <c r="T21" i="58"/>
  <c r="U21" i="58" l="1"/>
  <c r="AT20" i="58"/>
  <c r="AI20" i="58"/>
  <c r="AD20" i="58"/>
  <c r="AX20" i="58"/>
  <c r="AW20" i="58"/>
  <c r="AY20" i="58"/>
  <c r="AZ20" i="58" l="1"/>
  <c r="W20" i="58"/>
  <c r="Y20" i="58"/>
  <c r="Z20" i="58" l="1"/>
  <c r="O20" i="58"/>
  <c r="S20" i="58"/>
  <c r="R20" i="58"/>
  <c r="T20" i="58"/>
  <c r="U20" i="58" l="1"/>
  <c r="AT19" i="58"/>
  <c r="AI19" i="58"/>
  <c r="AD19" i="58"/>
  <c r="AY19" i="58"/>
  <c r="AW19" i="58"/>
  <c r="AX19" i="58"/>
  <c r="AZ19" i="58" l="1"/>
  <c r="W19" i="58"/>
  <c r="Y19" i="58"/>
  <c r="Z19" i="58" l="1"/>
  <c r="O19" i="58"/>
  <c r="R19" i="58"/>
  <c r="S19" i="58"/>
  <c r="T19" i="58"/>
  <c r="U19" i="58" l="1"/>
  <c r="AT18" i="58"/>
  <c r="AX18" i="58"/>
  <c r="AY18" i="58"/>
  <c r="AW18" i="58"/>
  <c r="AZ18" i="58" l="1"/>
  <c r="AL18" i="58"/>
  <c r="AI18" i="58"/>
  <c r="AO18" i="58"/>
  <c r="AQ18" i="58"/>
  <c r="AP18" i="58"/>
  <c r="AR18" i="58" l="1"/>
  <c r="AB18" i="58"/>
  <c r="AD18" i="58"/>
  <c r="AE18" i="58" l="1"/>
  <c r="W18" i="58"/>
  <c r="Y18" i="58"/>
  <c r="Z18" i="58" l="1"/>
  <c r="O18" i="58"/>
  <c r="R18" i="58"/>
  <c r="T18" i="58"/>
  <c r="S18" i="58"/>
  <c r="U18" i="58" l="1"/>
  <c r="AT17" i="58"/>
  <c r="AW17" i="58"/>
  <c r="AY17" i="58"/>
  <c r="AX17" i="58"/>
  <c r="AZ17" i="58" l="1"/>
  <c r="AL17" i="58"/>
  <c r="AI17" i="58"/>
  <c r="AQ17" i="58"/>
  <c r="AP17" i="58"/>
  <c r="AO17" i="58"/>
  <c r="AR17" i="58" l="1"/>
  <c r="AB17" i="58"/>
  <c r="AD17" i="58"/>
  <c r="AE17" i="58" l="1"/>
  <c r="W17" i="58"/>
  <c r="Y17" i="58"/>
  <c r="Z17" i="58" l="1"/>
  <c r="O17" i="58"/>
  <c r="R17" i="58"/>
  <c r="S17" i="58"/>
  <c r="T17" i="58"/>
  <c r="U17" i="58" l="1"/>
  <c r="AT16" i="58"/>
  <c r="AW16" i="58"/>
  <c r="AY16" i="58"/>
  <c r="AX16" i="58"/>
  <c r="AZ16" i="58" l="1"/>
  <c r="AL16" i="58"/>
  <c r="AI16" i="58"/>
  <c r="AO16" i="58"/>
  <c r="AP16" i="58"/>
  <c r="AQ16" i="58"/>
  <c r="AR16" i="58" l="1"/>
  <c r="AB16" i="58"/>
  <c r="AD16" i="58"/>
  <c r="AE16" i="58" l="1"/>
  <c r="W16" i="58"/>
  <c r="Y16" i="58"/>
  <c r="Z16" i="58" l="1"/>
  <c r="O16" i="58"/>
  <c r="R16" i="58"/>
  <c r="T16" i="58"/>
  <c r="S16" i="58"/>
  <c r="U16" i="58" l="1"/>
  <c r="AT15" i="58"/>
  <c r="AW15" i="58"/>
  <c r="AX15" i="58"/>
  <c r="AY15" i="58"/>
  <c r="AZ15" i="58" l="1"/>
  <c r="AL15" i="58"/>
  <c r="AI15" i="58"/>
  <c r="AO15" i="58"/>
  <c r="AQ15" i="58"/>
  <c r="AP15" i="58"/>
  <c r="AR15" i="58" l="1"/>
  <c r="AB15" i="58"/>
  <c r="AD15" i="58"/>
  <c r="AE15" i="58" l="1"/>
  <c r="W15" i="58"/>
  <c r="Y15" i="58"/>
  <c r="Z15" i="58" l="1"/>
  <c r="O15" i="58"/>
  <c r="R15" i="58"/>
  <c r="S15" i="58"/>
  <c r="T15" i="58"/>
  <c r="U15" i="58" l="1"/>
  <c r="G15" i="58"/>
  <c r="J15" i="58"/>
  <c r="K15" i="58"/>
  <c r="L15" i="58"/>
  <c r="M15" i="58" l="1"/>
  <c r="AT14" i="58"/>
  <c r="AW14" i="58"/>
  <c r="AX14" i="58"/>
  <c r="AY14" i="58"/>
  <c r="AZ14" i="58" l="1"/>
  <c r="AL14" i="58"/>
  <c r="AI14" i="58"/>
  <c r="AQ14" i="58"/>
  <c r="AO14" i="58"/>
  <c r="AP14" i="58"/>
  <c r="AR14" i="58" l="1"/>
  <c r="AB14" i="58"/>
  <c r="AD14" i="58"/>
  <c r="AE14" i="58" l="1"/>
  <c r="W14" i="58"/>
  <c r="O14" i="58"/>
  <c r="R14" i="58"/>
  <c r="T14" i="58"/>
  <c r="S14" i="58"/>
  <c r="U14" i="58" l="1"/>
  <c r="G14" i="58"/>
  <c r="J14" i="58"/>
  <c r="K14" i="58"/>
  <c r="L14" i="58"/>
  <c r="M14" i="58" l="1"/>
  <c r="AT13" i="58"/>
  <c r="AW13" i="58"/>
  <c r="AX13" i="58"/>
  <c r="AY13" i="58"/>
  <c r="AZ13" i="58" l="1"/>
  <c r="AL13" i="58"/>
  <c r="AI13" i="58"/>
  <c r="AO13" i="58"/>
  <c r="AQ13" i="58"/>
  <c r="AP13" i="58"/>
  <c r="AR13" i="58" l="1"/>
  <c r="AB13" i="58"/>
  <c r="Y13" i="58"/>
  <c r="Z13" i="58" s="1"/>
  <c r="W13" i="58"/>
  <c r="AD13" i="58"/>
  <c r="AE13" i="58" l="1"/>
  <c r="O13" i="58"/>
  <c r="S13" i="58"/>
  <c r="R13" i="58"/>
  <c r="T13" i="58"/>
  <c r="U13" i="58" l="1"/>
  <c r="G13" i="58"/>
  <c r="J13" i="58"/>
  <c r="K13" i="58"/>
  <c r="L13" i="58"/>
  <c r="M13" i="58" l="1"/>
  <c r="AT12" i="58"/>
  <c r="AW12" i="58"/>
  <c r="AX12" i="58"/>
  <c r="AY12" i="58"/>
  <c r="AZ12" i="58" l="1"/>
  <c r="AL12" i="58"/>
  <c r="AI12" i="58"/>
  <c r="AQ12" i="58"/>
  <c r="AO12" i="58"/>
  <c r="AP12" i="58"/>
  <c r="AR12" i="58" l="1"/>
  <c r="AB12" i="58"/>
  <c r="Y12" i="58"/>
  <c r="Z12" i="58" s="1"/>
  <c r="W12" i="58"/>
  <c r="AD12" i="58"/>
  <c r="AE12" i="58" l="1"/>
  <c r="O12" i="58"/>
  <c r="R12" i="58"/>
  <c r="S12" i="58"/>
  <c r="T12" i="58"/>
  <c r="U12" i="58" l="1"/>
  <c r="G12" i="58"/>
  <c r="C12" i="58"/>
  <c r="K12" i="58"/>
  <c r="J12" i="58"/>
  <c r="L12" i="58"/>
  <c r="M12" i="58" l="1"/>
  <c r="AT11" i="58"/>
  <c r="AW11" i="58"/>
  <c r="AX11" i="58"/>
  <c r="AY11" i="58"/>
  <c r="AZ11" i="58" l="1"/>
  <c r="AL11" i="58"/>
  <c r="AI11" i="58"/>
  <c r="AP11" i="58"/>
  <c r="AQ11" i="58"/>
  <c r="AO11" i="58"/>
  <c r="AR11" i="58" l="1"/>
  <c r="AB11" i="58"/>
  <c r="Y11" i="58"/>
  <c r="Z11" i="58" s="1"/>
  <c r="W11" i="58"/>
  <c r="AD11" i="58"/>
  <c r="AE11" i="58" l="1"/>
  <c r="O11" i="58"/>
  <c r="R11" i="58"/>
  <c r="T11" i="58"/>
  <c r="S11" i="58"/>
  <c r="U11" i="58" l="1"/>
  <c r="G11" i="58"/>
  <c r="Y14" i="58"/>
  <c r="J11" i="58"/>
  <c r="K11" i="58"/>
  <c r="L11" i="58"/>
  <c r="Z14" i="58" l="1"/>
  <c r="M11" i="58"/>
  <c r="AT10" i="58"/>
  <c r="AW10" i="58"/>
  <c r="AY10" i="58"/>
  <c r="AX10" i="58"/>
  <c r="AZ10" i="58" l="1"/>
  <c r="AL10" i="58"/>
  <c r="AI10" i="58"/>
  <c r="AQ10" i="58"/>
  <c r="AP10" i="58"/>
  <c r="AO10" i="58"/>
  <c r="AR10" i="58" l="1"/>
  <c r="AB10" i="58"/>
  <c r="AD10" i="58"/>
  <c r="AE10" i="58" l="1"/>
  <c r="W10" i="58"/>
  <c r="T10" i="58"/>
  <c r="U10" i="58" l="1"/>
  <c r="G10" i="58"/>
  <c r="D10" i="58"/>
  <c r="C10" i="58"/>
  <c r="Y10" i="58"/>
  <c r="K10" i="58"/>
  <c r="L10" i="58"/>
  <c r="J10" i="58"/>
  <c r="Z10" i="58" l="1"/>
  <c r="E10" i="58"/>
  <c r="M10" i="58"/>
  <c r="AT9" i="58"/>
  <c r="AX9" i="58"/>
  <c r="AW9" i="58"/>
  <c r="AY9" i="58"/>
  <c r="AZ9" i="58" l="1"/>
  <c r="AL9" i="58"/>
  <c r="AI9" i="58"/>
  <c r="AQ9" i="58"/>
  <c r="AO9" i="58"/>
  <c r="AP9" i="58"/>
  <c r="AR9" i="58" l="1"/>
  <c r="AB9" i="58"/>
  <c r="W9" i="58"/>
  <c r="T9" i="58"/>
  <c r="AD9" i="58"/>
  <c r="U9" i="58" l="1"/>
  <c r="Z9" i="58" s="1"/>
  <c r="AE9" i="58"/>
  <c r="G9" i="58"/>
  <c r="D9" i="58"/>
  <c r="C9" i="58"/>
  <c r="J9" i="58"/>
  <c r="K9" i="58"/>
  <c r="L9" i="58"/>
  <c r="E9" i="58" l="1"/>
  <c r="M9" i="58"/>
  <c r="AT8" i="58"/>
  <c r="AX8" i="58"/>
  <c r="AW8" i="58"/>
  <c r="AY8" i="58"/>
  <c r="AZ8" i="58" l="1"/>
  <c r="AL8" i="58"/>
  <c r="AI8" i="58"/>
  <c r="AB8" i="58"/>
  <c r="W8" i="58"/>
  <c r="T8" i="58"/>
  <c r="AO8" i="58"/>
  <c r="AP8" i="58"/>
  <c r="AQ8" i="58"/>
  <c r="U8" i="58" l="1"/>
  <c r="Z8" i="58" s="1"/>
  <c r="AD8" i="58"/>
  <c r="AE8" i="58" s="1"/>
  <c r="AR8" i="58"/>
  <c r="G8" i="58"/>
  <c r="C8" i="58"/>
  <c r="AW7" i="58"/>
  <c r="AX7" i="58"/>
  <c r="J8" i="58"/>
  <c r="L8" i="58"/>
  <c r="AY7" i="58"/>
  <c r="K8" i="58"/>
  <c r="AZ7" i="58" l="1"/>
  <c r="M8" i="58"/>
  <c r="AL7" i="58"/>
  <c r="AI7" i="58"/>
  <c r="D12" i="58" s="1"/>
  <c r="E12" i="58" s="1"/>
  <c r="AB7" i="58"/>
  <c r="C11" i="58" s="1"/>
  <c r="W7" i="58"/>
  <c r="U7" i="58"/>
  <c r="Z7" i="58" s="1"/>
  <c r="T7" i="58"/>
  <c r="D8" i="58" s="1"/>
  <c r="E8" i="58" s="1"/>
  <c r="AO7" i="58"/>
  <c r="L7" i="58"/>
  <c r="AQ7" i="58"/>
  <c r="AP7" i="58"/>
  <c r="M7" i="58" l="1"/>
  <c r="AR7" i="58"/>
  <c r="AD7" i="58"/>
  <c r="D7" i="58"/>
  <c r="C7" i="58"/>
  <c r="B7" i="58"/>
  <c r="AT3" i="58"/>
  <c r="AL3" i="58"/>
  <c r="AG3" i="58"/>
  <c r="AB3" i="58"/>
  <c r="W3" i="58"/>
  <c r="O3" i="58"/>
  <c r="B8" i="58" s="1"/>
  <c r="AY56" i="14"/>
  <c r="AY55" i="14"/>
  <c r="AY54" i="14"/>
  <c r="AY53" i="14"/>
  <c r="AY52" i="14"/>
  <c r="AY51" i="14"/>
  <c r="AY50" i="14"/>
  <c r="AQ50" i="14"/>
  <c r="AY49" i="14"/>
  <c r="AQ49" i="14"/>
  <c r="T49" i="14"/>
  <c r="AY48" i="14"/>
  <c r="AQ48" i="14"/>
  <c r="AI48" i="14"/>
  <c r="T48" i="14"/>
  <c r="E7" i="58" l="1"/>
  <c r="D11" i="58"/>
  <c r="E11" i="58" s="1"/>
  <c r="AE7" i="58"/>
  <c r="E4" i="58" l="1"/>
  <c r="B4" i="58"/>
  <c r="AY47" i="14"/>
  <c r="AQ47" i="14"/>
  <c r="AI47" i="14"/>
  <c r="T47" i="14"/>
  <c r="AY46" i="14"/>
  <c r="AQ46" i="14"/>
  <c r="AI46" i="14"/>
  <c r="T46" i="14"/>
  <c r="AQ45" i="14"/>
  <c r="AI45" i="14"/>
  <c r="T45" i="14"/>
  <c r="AQ44" i="14"/>
  <c r="AI44" i="14"/>
  <c r="T44" i="14"/>
  <c r="AQ43" i="14"/>
  <c r="AI43" i="14"/>
  <c r="T43" i="14"/>
  <c r="AQ42" i="14"/>
  <c r="AI42" i="14"/>
  <c r="T42" i="14"/>
  <c r="AQ41" i="14"/>
  <c r="AI41" i="14"/>
  <c r="T41" i="14"/>
  <c r="AQ40" i="14"/>
  <c r="AI40" i="14"/>
  <c r="T40" i="14"/>
  <c r="AI39" i="14"/>
  <c r="T39" i="14"/>
  <c r="AY38" i="14"/>
  <c r="AI38" i="14"/>
  <c r="AY37" i="14"/>
  <c r="AI37" i="14"/>
  <c r="AI36" i="14"/>
  <c r="AI35" i="14"/>
  <c r="AT34" i="14"/>
  <c r="AI34" i="14"/>
  <c r="AY34" i="14"/>
  <c r="AX34" i="14"/>
  <c r="AW34" i="14"/>
  <c r="AZ34" i="14" l="1"/>
  <c r="AT33" i="14"/>
  <c r="AI33" i="14"/>
  <c r="AX33" i="14"/>
  <c r="AW33" i="14"/>
  <c r="AY33" i="14"/>
  <c r="AZ33" i="14" l="1"/>
  <c r="AT32" i="14"/>
  <c r="AI32" i="14"/>
  <c r="AY32" i="14"/>
  <c r="AX32" i="14"/>
  <c r="AW32" i="14"/>
  <c r="AZ32" i="14" l="1"/>
  <c r="AI31" i="14"/>
  <c r="AI30" i="14"/>
  <c r="AT29" i="14"/>
  <c r="AI29" i="14"/>
  <c r="AX29" i="14"/>
  <c r="AW29" i="14"/>
  <c r="AY29" i="14"/>
  <c r="AZ29" i="14" l="1"/>
  <c r="CA22" i="33"/>
  <c r="BZ22" i="33"/>
  <c r="O29" i="14"/>
  <c r="T29" i="14"/>
  <c r="S29" i="14"/>
  <c r="R29" i="14"/>
  <c r="U29" i="14" l="1"/>
  <c r="Z41" i="33" s="1"/>
  <c r="W41" i="33" s="1"/>
  <c r="AT28" i="14"/>
  <c r="AI28" i="14"/>
  <c r="AY28" i="14"/>
  <c r="AW28" i="14"/>
  <c r="AX28" i="14"/>
  <c r="AZ28" i="14" l="1"/>
  <c r="CA21" i="33"/>
  <c r="BZ21" i="33"/>
  <c r="O28" i="14"/>
  <c r="T28" i="14"/>
  <c r="R28" i="14"/>
  <c r="S28" i="14"/>
  <c r="U28" i="14" l="1"/>
  <c r="Z40" i="33" s="1"/>
  <c r="W40" i="33" s="1"/>
  <c r="AT27" i="14"/>
  <c r="AI27" i="14"/>
  <c r="AX27" i="14"/>
  <c r="AW27" i="14"/>
  <c r="AY27" i="14"/>
  <c r="AZ27" i="14" l="1"/>
  <c r="CA20" i="33"/>
  <c r="BZ20" i="33"/>
  <c r="W27" i="14"/>
  <c r="Y27" i="14"/>
  <c r="Z27" i="14" l="1"/>
  <c r="AK27" i="33" s="1"/>
  <c r="AH27" i="33" s="1"/>
  <c r="O27" i="14"/>
  <c r="T27" i="14"/>
  <c r="S27" i="14"/>
  <c r="R27" i="14"/>
  <c r="U27" i="14" l="1"/>
  <c r="Z39" i="33" s="1"/>
  <c r="W39" i="33" s="1"/>
  <c r="AT26" i="14"/>
  <c r="AI26" i="14"/>
  <c r="AX26" i="14"/>
  <c r="AW26" i="14"/>
  <c r="AY26" i="14"/>
  <c r="AZ26" i="14" l="1"/>
  <c r="CA19" i="33"/>
  <c r="BZ19" i="33"/>
  <c r="W26" i="14"/>
  <c r="Y26" i="14"/>
  <c r="Z26" i="14" l="1"/>
  <c r="AK26" i="33" s="1"/>
  <c r="AH26" i="33" s="1"/>
  <c r="O26" i="14"/>
  <c r="R26" i="14"/>
  <c r="S26" i="14"/>
  <c r="T26" i="14"/>
  <c r="U26" i="14" l="1"/>
  <c r="Z38" i="33" s="1"/>
  <c r="W38" i="33" s="1"/>
  <c r="AT25" i="14"/>
  <c r="AI25" i="14"/>
  <c r="AW25" i="14"/>
  <c r="AX25" i="14"/>
  <c r="AY25" i="14"/>
  <c r="AZ25" i="14" l="1"/>
  <c r="CA18" i="33"/>
  <c r="BZ18" i="33"/>
  <c r="W25" i="14"/>
  <c r="Y25" i="14"/>
  <c r="Z25" i="14" l="1"/>
  <c r="AK25" i="33" s="1"/>
  <c r="AH25" i="33" s="1"/>
  <c r="O25" i="14"/>
  <c r="R25" i="14"/>
  <c r="T25" i="14"/>
  <c r="S25" i="14"/>
  <c r="U25" i="14" l="1"/>
  <c r="Z37" i="33" s="1"/>
  <c r="W37" i="33" s="1"/>
  <c r="AT24" i="14"/>
  <c r="AI24" i="14"/>
  <c r="AY24" i="14"/>
  <c r="AW24" i="14"/>
  <c r="AX24" i="14"/>
  <c r="AZ24" i="14" l="1"/>
  <c r="CA17" i="33"/>
  <c r="BZ17" i="33"/>
  <c r="W24" i="14"/>
  <c r="Y24" i="14"/>
  <c r="Z24" i="14" l="1"/>
  <c r="AK24" i="33" s="1"/>
  <c r="AH24" i="33" s="1"/>
  <c r="O24" i="14"/>
  <c r="R24" i="14"/>
  <c r="S24" i="14"/>
  <c r="T24" i="14"/>
  <c r="U24" i="14" l="1"/>
  <c r="Z36" i="33" s="1"/>
  <c r="W36" i="33" s="1"/>
  <c r="AT23" i="14"/>
  <c r="AI23" i="14"/>
  <c r="AW23" i="14"/>
  <c r="AY23" i="14"/>
  <c r="AX23" i="14"/>
  <c r="AZ23" i="14" l="1"/>
  <c r="W23" i="14"/>
  <c r="Y23" i="14"/>
  <c r="Z23" i="14" l="1"/>
  <c r="AK23" i="33" s="1"/>
  <c r="AH23" i="33" s="1"/>
  <c r="O23" i="14"/>
  <c r="R23" i="14"/>
  <c r="T23" i="14"/>
  <c r="S23" i="14"/>
  <c r="U23" i="14" l="1"/>
  <c r="Z35" i="33" s="1"/>
  <c r="W35" i="33" s="1"/>
  <c r="AT22" i="14"/>
  <c r="AI22" i="14"/>
  <c r="AW22" i="14"/>
  <c r="AY22" i="14"/>
  <c r="AX22" i="14"/>
  <c r="AZ22" i="14" l="1"/>
  <c r="W22" i="14"/>
  <c r="Y22" i="14"/>
  <c r="Z22" i="14" l="1"/>
  <c r="AK22" i="33" s="1"/>
  <c r="AH22" i="33" s="1"/>
  <c r="O22" i="14"/>
  <c r="R22" i="14"/>
  <c r="S22" i="14"/>
  <c r="T22" i="14"/>
  <c r="U22" i="14" l="1"/>
  <c r="Z34" i="33" s="1"/>
  <c r="W34" i="33" s="1"/>
  <c r="AT21" i="14"/>
  <c r="AI21" i="14"/>
  <c r="AW21" i="14"/>
  <c r="AX21" i="14"/>
  <c r="AY21" i="14"/>
  <c r="AZ21" i="14" l="1"/>
  <c r="BR20" i="33" s="1"/>
  <c r="BO20" i="33" s="1"/>
  <c r="CA16" i="33"/>
  <c r="BZ16" i="33"/>
  <c r="W21" i="14"/>
  <c r="Y21" i="14"/>
  <c r="Z21" i="14" l="1"/>
  <c r="AK21" i="33" s="1"/>
  <c r="AH21" i="33" s="1"/>
  <c r="O21" i="14"/>
  <c r="T21" i="14"/>
  <c r="R21" i="14"/>
  <c r="S21" i="14"/>
  <c r="U21" i="14" l="1"/>
  <c r="Z33" i="33" s="1"/>
  <c r="W33" i="33" s="1"/>
  <c r="AT20" i="14"/>
  <c r="AY20" i="14"/>
  <c r="AW20" i="14"/>
  <c r="AX20" i="14"/>
  <c r="AZ20" i="14" l="1"/>
  <c r="BR19" i="33" s="1"/>
  <c r="BO19" i="33" s="1"/>
  <c r="AL20" i="14"/>
  <c r="AI20" i="14"/>
  <c r="AP20" i="14"/>
  <c r="AQ20" i="14"/>
  <c r="AO20" i="14"/>
  <c r="AR20" i="14" l="1"/>
  <c r="BL47" i="14" s="1"/>
  <c r="W20" i="14"/>
  <c r="Y20" i="14"/>
  <c r="Z20" i="14" l="1"/>
  <c r="AK20" i="33" s="1"/>
  <c r="AH20" i="33" s="1"/>
  <c r="O20" i="14"/>
  <c r="T20" i="14"/>
  <c r="R20" i="14"/>
  <c r="S20" i="14"/>
  <c r="U20" i="14" l="1"/>
  <c r="Z32" i="33" s="1"/>
  <c r="W32" i="33" s="1"/>
  <c r="AT19" i="14"/>
  <c r="AW19" i="14"/>
  <c r="AX19" i="14"/>
  <c r="AY19" i="14"/>
  <c r="AZ19" i="14" l="1"/>
  <c r="BR18" i="33" s="1"/>
  <c r="BO18" i="33" s="1"/>
  <c r="AL19" i="14"/>
  <c r="AI19" i="14"/>
  <c r="AQ19" i="14"/>
  <c r="AO19" i="14"/>
  <c r="AP19" i="14"/>
  <c r="AR19" i="14" l="1"/>
  <c r="BL37" i="14" s="1"/>
  <c r="W19" i="14"/>
  <c r="Y19" i="14"/>
  <c r="Z19" i="14" l="1"/>
  <c r="AK19" i="33" s="1"/>
  <c r="AH19" i="33" s="1"/>
  <c r="O19" i="14"/>
  <c r="T19" i="14"/>
  <c r="R19" i="14"/>
  <c r="S19" i="14"/>
  <c r="U19" i="14" l="1"/>
  <c r="Z31" i="33" s="1"/>
  <c r="W31" i="33" s="1"/>
  <c r="AT18" i="14"/>
  <c r="AW18" i="14"/>
  <c r="AY18" i="14"/>
  <c r="AX18" i="14"/>
  <c r="AZ18" i="14" l="1"/>
  <c r="BR17" i="33" s="1"/>
  <c r="BO17" i="33" s="1"/>
  <c r="CA15" i="33"/>
  <c r="BZ15" i="33"/>
  <c r="AL18" i="14"/>
  <c r="AI18" i="14"/>
  <c r="AP18" i="14"/>
  <c r="AO18" i="14"/>
  <c r="AQ18" i="14"/>
  <c r="AR18" i="14" l="1"/>
  <c r="BL31" i="14" s="1"/>
  <c r="AB18" i="14"/>
  <c r="AD18" i="14"/>
  <c r="AE18" i="14" l="1"/>
  <c r="BG18" i="33" s="1"/>
  <c r="BD18" i="33" s="1"/>
  <c r="W18" i="14"/>
  <c r="Y18" i="14"/>
  <c r="Z18" i="14" l="1"/>
  <c r="AK18" i="33" s="1"/>
  <c r="AH18" i="33" s="1"/>
  <c r="O18" i="14"/>
  <c r="R18" i="14"/>
  <c r="S18" i="14"/>
  <c r="T18" i="14"/>
  <c r="U18" i="14" l="1"/>
  <c r="Z30" i="33" s="1"/>
  <c r="W30" i="33" s="1"/>
  <c r="AT17" i="14"/>
  <c r="AW17" i="14"/>
  <c r="AX17" i="14"/>
  <c r="AY17" i="14"/>
  <c r="AZ17" i="14" l="1"/>
  <c r="BR16" i="33" s="1"/>
  <c r="BO16" i="33" s="1"/>
  <c r="AL17" i="14"/>
  <c r="AI17" i="14"/>
  <c r="AQ17" i="14"/>
  <c r="AO17" i="14"/>
  <c r="AP17" i="14"/>
  <c r="AR17" i="14" l="1"/>
  <c r="BL27" i="14" s="1"/>
  <c r="AB17" i="14"/>
  <c r="AD17" i="14"/>
  <c r="AE17" i="14" l="1"/>
  <c r="BG17" i="33" s="1"/>
  <c r="BD17" i="33" s="1"/>
  <c r="W17" i="14"/>
  <c r="Y17" i="14"/>
  <c r="Z17" i="14" l="1"/>
  <c r="AK17" i="33" s="1"/>
  <c r="AH17" i="33" s="1"/>
  <c r="O17" i="14"/>
  <c r="R17" i="14"/>
  <c r="S17" i="14"/>
  <c r="T17" i="14"/>
  <c r="U17" i="14" l="1"/>
  <c r="Z29" i="33" s="1"/>
  <c r="W29" i="33" s="1"/>
  <c r="AT16" i="14"/>
  <c r="AW16" i="14"/>
  <c r="AX16" i="14"/>
  <c r="AY16" i="14"/>
  <c r="AZ16" i="14" l="1"/>
  <c r="BR15" i="33" s="1"/>
  <c r="BO15" i="33" s="1"/>
  <c r="AL16" i="14"/>
  <c r="AI16" i="14"/>
  <c r="AQ16" i="14"/>
  <c r="AO16" i="14"/>
  <c r="AP16" i="14"/>
  <c r="AR16" i="14" l="1"/>
  <c r="BL25" i="14" s="1"/>
  <c r="AB16" i="14"/>
  <c r="AD16" i="14"/>
  <c r="AE16" i="14" l="1"/>
  <c r="BG16" i="33" s="1"/>
  <c r="BD16" i="33" s="1"/>
  <c r="W16" i="14"/>
  <c r="Y16" i="14"/>
  <c r="Z16" i="14" l="1"/>
  <c r="AK16" i="33" s="1"/>
  <c r="AH16" i="33" s="1"/>
  <c r="O16" i="14"/>
  <c r="R16" i="14"/>
  <c r="S16" i="14"/>
  <c r="T16" i="14"/>
  <c r="U16" i="14" l="1"/>
  <c r="AT15" i="14"/>
  <c r="AW15" i="14"/>
  <c r="AX15" i="14"/>
  <c r="AY15" i="14"/>
  <c r="AZ15" i="14" l="1"/>
  <c r="BR14" i="33" s="1"/>
  <c r="BO14" i="33" s="1"/>
  <c r="CA14" i="33"/>
  <c r="BZ14" i="33"/>
  <c r="AL15" i="14"/>
  <c r="AI15" i="14"/>
  <c r="AO15" i="14"/>
  <c r="AP15" i="14"/>
  <c r="AQ15" i="14"/>
  <c r="AR15" i="14" l="1"/>
  <c r="BL23" i="14" s="1"/>
  <c r="AB15" i="14"/>
  <c r="AD15" i="14"/>
  <c r="AE15" i="14" l="1"/>
  <c r="BG15" i="33" s="1"/>
  <c r="BD15" i="33" s="1"/>
  <c r="W15" i="14"/>
  <c r="Y15" i="14"/>
  <c r="Z15" i="14" l="1"/>
  <c r="O15" i="14"/>
  <c r="S15" i="14"/>
  <c r="R15" i="14"/>
  <c r="T15" i="14"/>
  <c r="U15" i="14" l="1"/>
  <c r="Z15" i="33" s="1"/>
  <c r="W15" i="33" s="1"/>
  <c r="Z16" i="33"/>
  <c r="W16" i="33" s="1"/>
  <c r="AK15" i="33"/>
  <c r="AH15" i="33" s="1"/>
  <c r="G15" i="14"/>
  <c r="J15" i="14"/>
  <c r="K15" i="14"/>
  <c r="L15" i="14"/>
  <c r="M15" i="14" l="1"/>
  <c r="O15" i="33" l="1"/>
  <c r="L15" i="33" s="1"/>
  <c r="AT14" i="14"/>
  <c r="AW14" i="14"/>
  <c r="AX14" i="14"/>
  <c r="AY14" i="14"/>
  <c r="AZ14" i="14" l="1"/>
  <c r="BR13" i="33" s="1"/>
  <c r="BO13" i="33" s="1"/>
  <c r="CA13" i="33"/>
  <c r="BZ13" i="33"/>
  <c r="AL14" i="14"/>
  <c r="AI14" i="14"/>
  <c r="AO14" i="14"/>
  <c r="AQ14" i="14"/>
  <c r="AP14" i="14"/>
  <c r="AR14" i="14" l="1"/>
  <c r="BL21" i="14" s="1"/>
  <c r="AB14" i="14"/>
  <c r="AD14" i="14"/>
  <c r="AE14" i="14" l="1"/>
  <c r="BG14" i="33" s="1"/>
  <c r="BD14" i="33" s="1"/>
  <c r="W14" i="14"/>
  <c r="O14" i="14"/>
  <c r="R14" i="14"/>
  <c r="S14" i="14"/>
  <c r="T14" i="14"/>
  <c r="U14" i="14" l="1"/>
  <c r="Z14" i="33" s="1"/>
  <c r="W14" i="33" s="1"/>
  <c r="G14" i="14"/>
  <c r="Y14" i="14"/>
  <c r="J14" i="14"/>
  <c r="K14" i="14"/>
  <c r="L14" i="14"/>
  <c r="Z14" i="14" l="1"/>
  <c r="AK14" i="33" s="1"/>
  <c r="AH14" i="33" s="1"/>
  <c r="M14" i="14"/>
  <c r="O14" i="33" s="1"/>
  <c r="L14" i="33" s="1"/>
  <c r="AT13" i="14"/>
  <c r="AW13" i="14"/>
  <c r="AY13" i="14"/>
  <c r="AX13" i="14"/>
  <c r="AZ13" i="14" l="1"/>
  <c r="BR12" i="33" s="1"/>
  <c r="BO12" i="33" s="1"/>
  <c r="CA12" i="33"/>
  <c r="BZ12" i="33"/>
  <c r="AL13" i="14"/>
  <c r="AI13" i="14"/>
  <c r="AO13" i="14"/>
  <c r="AP13" i="14"/>
  <c r="AQ13" i="14"/>
  <c r="AR13" i="14" l="1"/>
  <c r="BL19" i="14" s="1"/>
  <c r="AB13" i="14"/>
  <c r="AD13" i="14"/>
  <c r="AE13" i="14" l="1"/>
  <c r="BG13" i="33" s="1"/>
  <c r="BD13" i="33" s="1"/>
  <c r="W13" i="14"/>
  <c r="O13" i="14"/>
  <c r="R13" i="14"/>
  <c r="S13" i="14"/>
  <c r="T13" i="14"/>
  <c r="U13" i="14" l="1"/>
  <c r="Z13" i="33" s="1"/>
  <c r="W13" i="33" s="1"/>
  <c r="G13" i="14"/>
  <c r="Y13" i="14"/>
  <c r="J13" i="14"/>
  <c r="L13" i="14"/>
  <c r="K13" i="14"/>
  <c r="Z13" i="14" l="1"/>
  <c r="AK13" i="33" s="1"/>
  <c r="AH13" i="33" s="1"/>
  <c r="M13" i="14"/>
  <c r="O13" i="33" s="1"/>
  <c r="L13" i="33" s="1"/>
  <c r="AT12" i="14"/>
  <c r="AW12" i="14"/>
  <c r="AY12" i="14"/>
  <c r="AX12" i="14"/>
  <c r="AZ12" i="14" l="1"/>
  <c r="CA11" i="33"/>
  <c r="BZ11" i="33"/>
  <c r="AL12" i="14"/>
  <c r="AI12" i="14"/>
  <c r="AO12" i="14"/>
  <c r="AQ12" i="14"/>
  <c r="AP12" i="14"/>
  <c r="AR12" i="14" l="1"/>
  <c r="BL17" i="14" s="1"/>
  <c r="AB12" i="14"/>
  <c r="AD12" i="14"/>
  <c r="AE12" i="14" l="1"/>
  <c r="BG12" i="33" s="1"/>
  <c r="BD12" i="33" s="1"/>
  <c r="W12" i="14"/>
  <c r="O12" i="14"/>
  <c r="R12" i="14"/>
  <c r="S12" i="14"/>
  <c r="T12" i="14"/>
  <c r="U12" i="14" l="1"/>
  <c r="Z12" i="33" s="1"/>
  <c r="W12" i="33" s="1"/>
  <c r="G12" i="14"/>
  <c r="C12" i="14"/>
  <c r="K12" i="14"/>
  <c r="J12" i="14"/>
  <c r="Y12" i="14"/>
  <c r="L12" i="14"/>
  <c r="Z12" i="14" l="1"/>
  <c r="AK12" i="33" s="1"/>
  <c r="AH12" i="33" s="1"/>
  <c r="M12" i="14"/>
  <c r="O12" i="33" s="1"/>
  <c r="L12" i="33" s="1"/>
  <c r="AT11" i="14"/>
  <c r="AW11" i="14"/>
  <c r="AX11" i="14"/>
  <c r="AY11" i="14"/>
  <c r="AZ11" i="14" l="1"/>
  <c r="BR11" i="33" s="1"/>
  <c r="BO11" i="33" s="1"/>
  <c r="CA10" i="33"/>
  <c r="BZ10" i="33"/>
  <c r="AL11" i="14"/>
  <c r="AI11" i="14"/>
  <c r="AO11" i="14"/>
  <c r="AQ11" i="14"/>
  <c r="AP11" i="14"/>
  <c r="AR11" i="14" l="1"/>
  <c r="BL15" i="14" s="1"/>
  <c r="AB11" i="14"/>
  <c r="AD11" i="14"/>
  <c r="AE11" i="14" l="1"/>
  <c r="BG11" i="33" s="1"/>
  <c r="BD11" i="33" s="1"/>
  <c r="W11" i="14"/>
  <c r="O11" i="14"/>
  <c r="R11" i="14"/>
  <c r="S11" i="14"/>
  <c r="T11" i="14"/>
  <c r="U11" i="14" l="1"/>
  <c r="Z11" i="33" s="1"/>
  <c r="W11" i="33" s="1"/>
  <c r="G11" i="14"/>
  <c r="Y11" i="14"/>
  <c r="K11" i="14"/>
  <c r="J11" i="14"/>
  <c r="L11" i="14"/>
  <c r="Z11" i="14" l="1"/>
  <c r="AK11" i="33" s="1"/>
  <c r="AH11" i="33" s="1"/>
  <c r="M11" i="14"/>
  <c r="O11" i="33" s="1"/>
  <c r="L11" i="33" s="1"/>
  <c r="AT10" i="14"/>
  <c r="AX10" i="14"/>
  <c r="AW10" i="14"/>
  <c r="AY10" i="14"/>
  <c r="AZ10" i="14" l="1"/>
  <c r="BR10" i="33" s="1"/>
  <c r="BO10" i="33" s="1"/>
  <c r="AL10" i="14"/>
  <c r="AI10" i="14"/>
  <c r="AQ10" i="14"/>
  <c r="AO10" i="14"/>
  <c r="AP10" i="14"/>
  <c r="AR10" i="14" l="1"/>
  <c r="BL13" i="14" s="1"/>
  <c r="AB10" i="14"/>
  <c r="AD10" i="14"/>
  <c r="AE10" i="14" l="1"/>
  <c r="BG10" i="33" s="1"/>
  <c r="BD10" i="33" s="1"/>
  <c r="W10" i="14"/>
  <c r="T10" i="14"/>
  <c r="U10" i="14" l="1"/>
  <c r="Z10" i="33" s="1"/>
  <c r="W10" i="33" s="1"/>
  <c r="G10" i="14"/>
  <c r="D10" i="14"/>
  <c r="C10" i="14"/>
  <c r="Y10" i="14"/>
  <c r="L10" i="14"/>
  <c r="J10" i="14"/>
  <c r="K10" i="14"/>
  <c r="Z10" i="14" l="1"/>
  <c r="AK10" i="33" s="1"/>
  <c r="AH10" i="33" s="1"/>
  <c r="E10" i="14"/>
  <c r="M10" i="14"/>
  <c r="O10" i="33" s="1"/>
  <c r="L10" i="33" s="1"/>
  <c r="AT9" i="14"/>
  <c r="AX9" i="14"/>
  <c r="AW9" i="14"/>
  <c r="AY9" i="14"/>
  <c r="AZ9" i="14" l="1"/>
  <c r="BR9" i="33" s="1"/>
  <c r="BO9" i="33" s="1"/>
  <c r="CA9" i="33"/>
  <c r="BZ9" i="33"/>
  <c r="AL9" i="14"/>
  <c r="AI9" i="14"/>
  <c r="AP9" i="14"/>
  <c r="AO9" i="14"/>
  <c r="AQ9" i="14"/>
  <c r="AR9" i="14" l="1"/>
  <c r="BL11" i="14" s="1"/>
  <c r="AB9" i="14"/>
  <c r="W9" i="14"/>
  <c r="AD9" i="14"/>
  <c r="T9" i="14"/>
  <c r="U9" i="14" l="1"/>
  <c r="AE9" i="14"/>
  <c r="Z9" i="33" l="1"/>
  <c r="W9" i="33" s="1"/>
  <c r="Z9" i="14"/>
  <c r="AK9" i="33" s="1"/>
  <c r="AH9" i="33" s="1"/>
  <c r="G9" i="14"/>
  <c r="D9" i="14"/>
  <c r="C9" i="14"/>
  <c r="L9" i="14"/>
  <c r="J9" i="14"/>
  <c r="K9" i="14"/>
  <c r="E9" i="14" l="1"/>
  <c r="M9" i="14"/>
  <c r="O9" i="33" s="1"/>
  <c r="L9" i="33" s="1"/>
  <c r="AT8" i="14"/>
  <c r="AW8" i="14"/>
  <c r="AY8" i="14"/>
  <c r="AX8" i="14"/>
  <c r="AZ8" i="14" l="1"/>
  <c r="BR8" i="33" s="1"/>
  <c r="BO8" i="33" s="1"/>
  <c r="CA8" i="33"/>
  <c r="BZ8" i="33"/>
  <c r="AL8" i="14"/>
  <c r="AI8" i="14"/>
  <c r="AB8" i="14"/>
  <c r="W8" i="14"/>
  <c r="AQ8" i="14"/>
  <c r="T8" i="14"/>
  <c r="AP8" i="14"/>
  <c r="AO8" i="14"/>
  <c r="AD8" i="14" l="1"/>
  <c r="AE8" i="14" s="1"/>
  <c r="BG8" i="33" s="1"/>
  <c r="BD8" i="33" s="1"/>
  <c r="U8" i="14"/>
  <c r="AR8" i="14"/>
  <c r="BL9" i="14" s="1"/>
  <c r="Z8" i="33" l="1"/>
  <c r="W8" i="33" s="1"/>
  <c r="Z8" i="14"/>
  <c r="AK8" i="33" s="1"/>
  <c r="AH8" i="33" s="1"/>
  <c r="G8" i="14"/>
  <c r="C8" i="14"/>
  <c r="BL7" i="14"/>
  <c r="L8" i="14"/>
  <c r="K8" i="14"/>
  <c r="J8" i="14"/>
  <c r="M8" i="14" l="1"/>
  <c r="O8" i="33" s="1"/>
  <c r="L8" i="33" s="1"/>
  <c r="AX7" i="14"/>
  <c r="AW7" i="14"/>
  <c r="BZ7" i="33" l="1"/>
  <c r="CA7" i="33"/>
  <c r="AI7" i="14"/>
  <c r="D12" i="14" s="1"/>
  <c r="E12" i="14" s="1"/>
  <c r="AB7" i="14"/>
  <c r="C11" i="14" s="1"/>
  <c r="W7" i="14"/>
  <c r="T7" i="14"/>
  <c r="D8" i="14" l="1"/>
  <c r="E8" i="14" s="1"/>
  <c r="U7" i="14"/>
  <c r="AD7" i="14"/>
  <c r="L7" i="14"/>
  <c r="M7" i="14" l="1"/>
  <c r="O7" i="33" s="1"/>
  <c r="L7" i="33" s="1"/>
  <c r="D11" i="14"/>
  <c r="E11" i="14" s="1"/>
  <c r="AE7" i="14"/>
  <c r="Z7" i="33"/>
  <c r="W7" i="33" s="1"/>
  <c r="Z7" i="14"/>
  <c r="AK7" i="33" s="1"/>
  <c r="AH7" i="33" s="1"/>
  <c r="D7" i="14"/>
  <c r="C7" i="14"/>
  <c r="B7" i="14"/>
  <c r="BH4" i="14"/>
  <c r="AT3" i="14"/>
  <c r="AL3" i="14"/>
  <c r="AG3" i="14"/>
  <c r="AB3" i="14"/>
  <c r="W3" i="14"/>
  <c r="O3" i="14"/>
  <c r="B8" i="14" s="1"/>
  <c r="BD1" i="14"/>
  <c r="BD7" i="14" s="1"/>
  <c r="AY54" i="50"/>
  <c r="AY53" i="50"/>
  <c r="AY52" i="50"/>
  <c r="AY51" i="50"/>
  <c r="AY50" i="50"/>
  <c r="AD50" i="50"/>
  <c r="AY49" i="50"/>
  <c r="AD49" i="50"/>
  <c r="AY48" i="50"/>
  <c r="AQ48" i="50"/>
  <c r="AI48" i="50"/>
  <c r="AD48" i="50"/>
  <c r="AY47" i="50"/>
  <c r="AQ47" i="50"/>
  <c r="AI47" i="50"/>
  <c r="AD47" i="50"/>
  <c r="AY46" i="50"/>
  <c r="AQ46" i="50"/>
  <c r="AI46" i="50"/>
  <c r="AD46" i="50"/>
  <c r="AY45" i="50"/>
  <c r="AQ45" i="50"/>
  <c r="AI45" i="50"/>
  <c r="AD45" i="50"/>
  <c r="AY44" i="50"/>
  <c r="AQ44" i="50"/>
  <c r="AI44" i="50"/>
  <c r="AD44" i="50"/>
  <c r="AQ43" i="50"/>
  <c r="AI43" i="50"/>
  <c r="AD43" i="50"/>
  <c r="T43" i="50"/>
  <c r="AQ42" i="50"/>
  <c r="AI42" i="50"/>
  <c r="AD42" i="50"/>
  <c r="T42" i="50"/>
  <c r="AQ41" i="50"/>
  <c r="AI41" i="50"/>
  <c r="AD41" i="50"/>
  <c r="T41" i="50"/>
  <c r="AQ40" i="50"/>
  <c r="AI40" i="50"/>
  <c r="AD40" i="50"/>
  <c r="T40" i="50"/>
  <c r="AQ39" i="50"/>
  <c r="AI39" i="50"/>
  <c r="AD39" i="50"/>
  <c r="T39" i="50"/>
  <c r="AQ38" i="50"/>
  <c r="AI38" i="50"/>
  <c r="AD38" i="50"/>
  <c r="T38" i="50"/>
  <c r="AI37" i="50"/>
  <c r="AD37" i="50"/>
  <c r="T37" i="50"/>
  <c r="AY36" i="50"/>
  <c r="AI36" i="50"/>
  <c r="AD36" i="50"/>
  <c r="T36" i="50"/>
  <c r="AY35" i="50"/>
  <c r="AI35" i="50"/>
  <c r="AD35" i="50"/>
  <c r="T35" i="50"/>
  <c r="AI34" i="50"/>
  <c r="AD34" i="50"/>
  <c r="T34" i="50"/>
  <c r="BD9" i="14"/>
  <c r="BD11" i="14"/>
  <c r="BD13" i="14"/>
  <c r="BD15" i="14"/>
  <c r="BD17" i="14"/>
  <c r="BD19" i="14"/>
  <c r="BD21" i="14"/>
  <c r="BD23" i="14"/>
  <c r="BD25" i="14"/>
  <c r="BD27" i="14"/>
  <c r="BD29" i="14"/>
  <c r="BD31" i="14"/>
  <c r="BD33" i="14"/>
  <c r="BD35" i="14"/>
  <c r="BD37" i="14"/>
  <c r="BD39" i="14"/>
  <c r="BD41" i="14"/>
  <c r="BD43" i="14"/>
  <c r="BD45" i="14"/>
  <c r="BD47" i="14"/>
  <c r="BH41" i="14"/>
  <c r="BF9" i="14"/>
  <c r="BF11" i="14"/>
  <c r="BF13" i="14"/>
  <c r="BF15" i="14"/>
  <c r="BF17" i="14"/>
  <c r="BF19" i="14"/>
  <c r="BF21" i="14"/>
  <c r="BF23" i="14"/>
  <c r="BF25" i="14"/>
  <c r="BF27" i="14"/>
  <c r="BF29" i="14"/>
  <c r="BF31" i="14"/>
  <c r="BF33" i="14"/>
  <c r="BF35" i="14"/>
  <c r="BF37" i="14"/>
  <c r="BF39" i="14"/>
  <c r="BF41" i="14"/>
  <c r="BF43" i="14"/>
  <c r="BF45" i="14"/>
  <c r="BF47" i="14"/>
  <c r="BH43" i="14"/>
  <c r="BF7" i="14"/>
  <c r="BH9" i="14"/>
  <c r="BH11" i="14"/>
  <c r="BH13" i="14"/>
  <c r="BH15" i="14"/>
  <c r="BH17" i="14"/>
  <c r="BH19" i="14"/>
  <c r="BH21" i="14"/>
  <c r="BH23" i="14"/>
  <c r="BH25" i="14"/>
  <c r="BH27" i="14"/>
  <c r="BH29" i="14"/>
  <c r="BH31" i="14"/>
  <c r="BH33" i="14"/>
  <c r="BH35" i="14"/>
  <c r="BH37" i="14"/>
  <c r="BH39" i="14"/>
  <c r="BH45" i="14"/>
  <c r="BH47" i="14"/>
  <c r="BI7" i="14"/>
  <c r="BI9" i="14"/>
  <c r="BI11" i="14"/>
  <c r="BI13" i="14"/>
  <c r="BI15" i="14"/>
  <c r="BI17" i="14"/>
  <c r="BI19" i="14"/>
  <c r="BI21" i="14"/>
  <c r="BI23" i="14"/>
  <c r="BI25" i="14"/>
  <c r="BI27" i="14"/>
  <c r="BI29" i="14"/>
  <c r="BI31" i="14"/>
  <c r="BI33" i="14"/>
  <c r="BI35" i="14"/>
  <c r="BI37" i="14"/>
  <c r="BI39" i="14"/>
  <c r="BI41" i="14"/>
  <c r="BI43" i="14"/>
  <c r="BI45" i="14"/>
  <c r="BI47" i="14"/>
  <c r="BD8" i="14"/>
  <c r="BD10" i="14"/>
  <c r="BD12" i="14"/>
  <c r="BD14" i="14"/>
  <c r="BD16" i="14"/>
  <c r="BH16" i="14" s="1"/>
  <c r="BD18" i="14"/>
  <c r="BD20" i="14"/>
  <c r="BD22" i="14"/>
  <c r="BI22" i="14" s="1"/>
  <c r="BD24" i="14"/>
  <c r="BH24" i="14" s="1"/>
  <c r="BD26" i="14"/>
  <c r="BD28" i="14"/>
  <c r="BD30" i="14"/>
  <c r="BD32" i="14"/>
  <c r="BD34" i="14"/>
  <c r="BD36" i="14"/>
  <c r="BD38" i="14"/>
  <c r="BH38" i="14" s="1"/>
  <c r="BD40" i="14"/>
  <c r="BI40" i="14" s="1"/>
  <c r="BD42" i="14"/>
  <c r="BD44" i="14"/>
  <c r="BD46" i="14"/>
  <c r="BI7" i="15"/>
  <c r="BH18" i="14"/>
  <c r="BH28" i="14"/>
  <c r="BH40" i="14"/>
  <c r="BI8" i="14"/>
  <c r="BI18" i="14"/>
  <c r="BI24" i="14"/>
  <c r="BI38" i="14"/>
  <c r="BF8" i="14"/>
  <c r="BF10" i="14"/>
  <c r="BF12" i="14"/>
  <c r="BF14" i="14"/>
  <c r="BF16" i="14"/>
  <c r="BF18" i="14"/>
  <c r="BF20" i="14"/>
  <c r="BF22" i="14"/>
  <c r="BF24" i="14"/>
  <c r="BF26" i="14"/>
  <c r="BF28" i="14"/>
  <c r="BF30" i="14"/>
  <c r="BF32" i="14"/>
  <c r="BF34" i="14"/>
  <c r="BF36" i="14"/>
  <c r="BF38" i="14"/>
  <c r="BF40" i="14"/>
  <c r="BF42" i="14"/>
  <c r="BF44" i="14"/>
  <c r="BF46" i="14"/>
  <c r="BI7" i="12"/>
  <c r="BH8" i="14"/>
  <c r="BH22" i="14"/>
  <c r="BH36" i="14"/>
  <c r="W57" i="33"/>
  <c r="BI16" i="14"/>
  <c r="BI28" i="14"/>
  <c r="BI36" i="14"/>
  <c r="AH45" i="33"/>
  <c r="BH10" i="14"/>
  <c r="BI10" i="14"/>
  <c r="BI12" i="14"/>
  <c r="BH12" i="14"/>
  <c r="BI14" i="14"/>
  <c r="BH14" i="14"/>
  <c r="BI20" i="14"/>
  <c r="BH20" i="14"/>
  <c r="BI26" i="14"/>
  <c r="BH26" i="14"/>
  <c r="BI30" i="14"/>
  <c r="BH30" i="14"/>
  <c r="BI32" i="14"/>
  <c r="BH32" i="14"/>
  <c r="BH34" i="14"/>
  <c r="BI34" i="14"/>
  <c r="BH42" i="14"/>
  <c r="BI42" i="14"/>
  <c r="BI44" i="14"/>
  <c r="BH44" i="14"/>
  <c r="BH46" i="14"/>
  <c r="BI46" i="14"/>
  <c r="B4" i="14" l="1"/>
  <c r="BJ7" i="12"/>
  <c r="BJ8" i="12" s="1"/>
  <c r="BJ7" i="15"/>
  <c r="BJ8" i="15" s="1"/>
  <c r="BE47" i="14"/>
  <c r="BE46" i="14"/>
  <c r="BE45" i="14"/>
  <c r="BE44" i="14"/>
  <c r="BE43" i="14"/>
  <c r="BE42" i="14"/>
  <c r="BE41" i="14"/>
  <c r="BE40" i="14"/>
  <c r="BE39" i="14"/>
  <c r="BE38" i="14"/>
  <c r="BE37" i="14"/>
  <c r="BE36" i="14"/>
  <c r="BE35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H7" i="14"/>
  <c r="BE8" i="14"/>
  <c r="BJ7" i="14"/>
  <c r="BG7" i="14"/>
  <c r="E7" i="14"/>
  <c r="E4" i="14" s="1"/>
  <c r="BG9" i="33"/>
  <c r="BD9" i="33" s="1"/>
  <c r="BG7" i="33"/>
  <c r="BD7" i="33" s="1"/>
  <c r="AT33" i="50"/>
  <c r="AI33" i="50"/>
  <c r="AD33" i="50"/>
  <c r="T33" i="50"/>
  <c r="AY33" i="50"/>
  <c r="BD45" i="33"/>
  <c r="AX33" i="50"/>
  <c r="AW33" i="50"/>
  <c r="AZ33" i="50" l="1"/>
  <c r="BR28" i="51" s="1"/>
  <c r="BO28" i="51" s="1"/>
  <c r="BJ9" i="12"/>
  <c r="BK8" i="12"/>
  <c r="BK7" i="12" s="1"/>
  <c r="BM7" i="12" s="1"/>
  <c r="BG8" i="14"/>
  <c r="BJ8" i="14"/>
  <c r="BJ9" i="14" s="1"/>
  <c r="BJ10" i="14" s="1"/>
  <c r="BJ11" i="14" s="1"/>
  <c r="BJ12" i="14" s="1"/>
  <c r="BJ13" i="14" s="1"/>
  <c r="BJ14" i="14" s="1"/>
  <c r="BJ15" i="14" s="1"/>
  <c r="BJ16" i="14" s="1"/>
  <c r="BJ17" i="14" s="1"/>
  <c r="BJ18" i="14" s="1"/>
  <c r="BJ19" i="14" s="1"/>
  <c r="BJ20" i="14" s="1"/>
  <c r="BJ21" i="14" s="1"/>
  <c r="BJ22" i="14" s="1"/>
  <c r="BJ23" i="14" s="1"/>
  <c r="BJ24" i="14" s="1"/>
  <c r="BJ25" i="14" s="1"/>
  <c r="BJ26" i="14" s="1"/>
  <c r="BJ27" i="14" s="1"/>
  <c r="BJ28" i="14" s="1"/>
  <c r="BJ29" i="14" s="1"/>
  <c r="BJ30" i="14" s="1"/>
  <c r="BJ31" i="14" s="1"/>
  <c r="BJ32" i="14" s="1"/>
  <c r="BJ33" i="14" s="1"/>
  <c r="BJ34" i="14" s="1"/>
  <c r="BJ35" i="14" s="1"/>
  <c r="BJ36" i="14" s="1"/>
  <c r="BJ37" i="14" s="1"/>
  <c r="BJ38" i="14" s="1"/>
  <c r="BJ39" i="14" s="1"/>
  <c r="BJ40" i="14" s="1"/>
  <c r="BJ41" i="14" s="1"/>
  <c r="BJ42" i="14" s="1"/>
  <c r="BJ43" i="14" s="1"/>
  <c r="BJ44" i="14" s="1"/>
  <c r="BJ45" i="14" s="1"/>
  <c r="BJ46" i="14" s="1"/>
  <c r="BJ47" i="14" s="1"/>
  <c r="BJ9" i="15"/>
  <c r="BK8" i="15"/>
  <c r="BK7" i="15" s="1"/>
  <c r="BM7" i="15" s="1"/>
  <c r="AT32" i="50"/>
  <c r="AI32" i="50"/>
  <c r="AD32" i="50"/>
  <c r="AW32" i="50"/>
  <c r="AX32" i="50"/>
  <c r="AY32" i="50"/>
  <c r="AZ32" i="50" l="1"/>
  <c r="BR27" i="51" s="1"/>
  <c r="BO27" i="51" s="1"/>
  <c r="BJ10" i="15"/>
  <c r="BK9" i="15"/>
  <c r="BM9" i="15" s="1"/>
  <c r="AQ21" i="15" s="1"/>
  <c r="AR21" i="15" s="1"/>
  <c r="BR17" i="35" s="1"/>
  <c r="BO17" i="35" s="1"/>
  <c r="BJ10" i="12"/>
  <c r="BK9" i="12"/>
  <c r="BM9" i="12" s="1"/>
  <c r="AQ21" i="12" s="1"/>
  <c r="AR21" i="12" s="1"/>
  <c r="BR21" i="34" s="1"/>
  <c r="BO21" i="34" s="1"/>
  <c r="BG9" i="14"/>
  <c r="BK8" i="14"/>
  <c r="BK7" i="14" s="1"/>
  <c r="BM7" i="14" s="1"/>
  <c r="AT31" i="50"/>
  <c r="AI31" i="50"/>
  <c r="AD31" i="50"/>
  <c r="AY31" i="50"/>
  <c r="AW31" i="50"/>
  <c r="AX31" i="50"/>
  <c r="AZ31" i="50" l="1"/>
  <c r="BR26" i="51" s="1"/>
  <c r="BO26" i="51" s="1"/>
  <c r="BJ11" i="15"/>
  <c r="BK10" i="15"/>
  <c r="BG10" i="14"/>
  <c r="BK9" i="14"/>
  <c r="BM9" i="14" s="1"/>
  <c r="AQ22" i="14" s="1"/>
  <c r="AR22" i="14" s="1"/>
  <c r="BR21" i="33" s="1"/>
  <c r="BO21" i="33" s="1"/>
  <c r="BJ11" i="12"/>
  <c r="BK10" i="12"/>
  <c r="AT30" i="50"/>
  <c r="AI30" i="50"/>
  <c r="AD30" i="50"/>
  <c r="AY30" i="50"/>
  <c r="AX30" i="50"/>
  <c r="AW30" i="50"/>
  <c r="AZ30" i="50" l="1"/>
  <c r="BR25" i="51" s="1"/>
  <c r="BO25" i="51" s="1"/>
  <c r="BJ12" i="12"/>
  <c r="BK11" i="12"/>
  <c r="BM11" i="12" s="1"/>
  <c r="AQ22" i="12" s="1"/>
  <c r="AR22" i="12" s="1"/>
  <c r="BR22" i="34" s="1"/>
  <c r="BO22" i="34" s="1"/>
  <c r="BG11" i="14"/>
  <c r="BK10" i="14"/>
  <c r="BJ12" i="15"/>
  <c r="BK11" i="15"/>
  <c r="BM11" i="15" s="1"/>
  <c r="AQ22" i="15" s="1"/>
  <c r="AR22" i="15" s="1"/>
  <c r="BR18" i="35" s="1"/>
  <c r="BO18" i="35" s="1"/>
  <c r="AT29" i="50"/>
  <c r="AI29" i="50"/>
  <c r="AD29" i="50"/>
  <c r="AY29" i="50"/>
  <c r="AW29" i="50"/>
  <c r="AX29" i="50"/>
  <c r="AZ29" i="50" l="1"/>
  <c r="BR24" i="51" s="1"/>
  <c r="BO24" i="51" s="1"/>
  <c r="BJ13" i="15"/>
  <c r="BK12" i="15"/>
  <c r="BG12" i="14"/>
  <c r="BK11" i="14"/>
  <c r="BM11" i="14" s="1"/>
  <c r="AQ23" i="14" s="1"/>
  <c r="AR23" i="14" s="1"/>
  <c r="BR22" i="33" s="1"/>
  <c r="BO22" i="33" s="1"/>
  <c r="BJ13" i="12"/>
  <c r="BK12" i="12"/>
  <c r="AT28" i="50"/>
  <c r="AI28" i="50"/>
  <c r="AD28" i="50"/>
  <c r="AW28" i="50"/>
  <c r="AY28" i="50"/>
  <c r="AX28" i="50"/>
  <c r="AZ28" i="50" l="1"/>
  <c r="BR23" i="51" s="1"/>
  <c r="BO23" i="51" s="1"/>
  <c r="BG13" i="14"/>
  <c r="BK12" i="14"/>
  <c r="BJ14" i="12"/>
  <c r="BK13" i="12"/>
  <c r="BM13" i="12" s="1"/>
  <c r="AQ23" i="12" s="1"/>
  <c r="AR23" i="12" s="1"/>
  <c r="BR23" i="34" s="1"/>
  <c r="BO23" i="34" s="1"/>
  <c r="BJ14" i="15"/>
  <c r="BK13" i="15"/>
  <c r="BM13" i="15" s="1"/>
  <c r="AQ23" i="15" s="1"/>
  <c r="AR23" i="15" s="1"/>
  <c r="BR19" i="35" s="1"/>
  <c r="BO19" i="35" s="1"/>
  <c r="AT27" i="50"/>
  <c r="AI27" i="50"/>
  <c r="AD27" i="50"/>
  <c r="AY27" i="50"/>
  <c r="AW27" i="50"/>
  <c r="AX27" i="50"/>
  <c r="AZ27" i="50" l="1"/>
  <c r="BG14" i="14"/>
  <c r="BK13" i="14"/>
  <c r="BM13" i="14" s="1"/>
  <c r="AQ24" i="14" s="1"/>
  <c r="AR24" i="14" s="1"/>
  <c r="BR23" i="33" s="1"/>
  <c r="BO23" i="33" s="1"/>
  <c r="BJ15" i="15"/>
  <c r="BK14" i="15"/>
  <c r="BJ15" i="12"/>
  <c r="BK14" i="12"/>
  <c r="AT26" i="50"/>
  <c r="AI26" i="50"/>
  <c r="AD26" i="50"/>
  <c r="AW26" i="50"/>
  <c r="AX26" i="50"/>
  <c r="AY26" i="50"/>
  <c r="AZ26" i="50" l="1"/>
  <c r="BJ16" i="15"/>
  <c r="BK15" i="15"/>
  <c r="BM15" i="15" s="1"/>
  <c r="AQ24" i="15" s="1"/>
  <c r="AR24" i="15" s="1"/>
  <c r="BR20" i="35" s="1"/>
  <c r="BO20" i="35" s="1"/>
  <c r="BJ16" i="12"/>
  <c r="BK15" i="12"/>
  <c r="BM15" i="12" s="1"/>
  <c r="AQ24" i="12" s="1"/>
  <c r="AR24" i="12" s="1"/>
  <c r="BR24" i="34" s="1"/>
  <c r="BO24" i="34" s="1"/>
  <c r="BG15" i="14"/>
  <c r="BK14" i="14"/>
  <c r="AT25" i="50"/>
  <c r="AI25" i="50"/>
  <c r="AD25" i="50"/>
  <c r="AY25" i="50"/>
  <c r="AX25" i="50"/>
  <c r="AW25" i="50"/>
  <c r="AZ25" i="50" l="1"/>
  <c r="CA19" i="51"/>
  <c r="BZ19" i="51"/>
  <c r="BG16" i="14"/>
  <c r="BK15" i="14"/>
  <c r="BM15" i="14" s="1"/>
  <c r="AQ25" i="14" s="1"/>
  <c r="AR25" i="14" s="1"/>
  <c r="BR24" i="33" s="1"/>
  <c r="BO24" i="33" s="1"/>
  <c r="BJ17" i="15"/>
  <c r="BK16" i="15"/>
  <c r="BJ17" i="12"/>
  <c r="BK16" i="12"/>
  <c r="AT24" i="50"/>
  <c r="AI24" i="50"/>
  <c r="AD24" i="50"/>
  <c r="AW24" i="50"/>
  <c r="AX24" i="50"/>
  <c r="AY24" i="50"/>
  <c r="AZ24" i="50" l="1"/>
  <c r="CA18" i="51"/>
  <c r="BZ18" i="51"/>
  <c r="BJ18" i="12"/>
  <c r="BK17" i="12"/>
  <c r="BM17" i="12" s="1"/>
  <c r="AQ25" i="12" s="1"/>
  <c r="AR25" i="12" s="1"/>
  <c r="BR25" i="34" s="1"/>
  <c r="BO25" i="34" s="1"/>
  <c r="BG17" i="14"/>
  <c r="BK16" i="14"/>
  <c r="BJ18" i="15"/>
  <c r="BK17" i="15"/>
  <c r="BM17" i="15" s="1"/>
  <c r="AQ25" i="15" s="1"/>
  <c r="AR25" i="15" s="1"/>
  <c r="BR21" i="35" s="1"/>
  <c r="BO21" i="35" s="1"/>
  <c r="AT23" i="50"/>
  <c r="AI23" i="50"/>
  <c r="AD23" i="50"/>
  <c r="AW23" i="50"/>
  <c r="AX23" i="50"/>
  <c r="AY23" i="50"/>
  <c r="AZ23" i="50" l="1"/>
  <c r="CA17" i="51"/>
  <c r="BZ17" i="51"/>
  <c r="BJ19" i="15"/>
  <c r="BK18" i="15"/>
  <c r="BJ19" i="12"/>
  <c r="BK18" i="12"/>
  <c r="BG18" i="14"/>
  <c r="BK17" i="14"/>
  <c r="BM17" i="14" s="1"/>
  <c r="AQ26" i="14" s="1"/>
  <c r="AR26" i="14" s="1"/>
  <c r="BR25" i="33" s="1"/>
  <c r="BO25" i="33" s="1"/>
  <c r="AT22" i="50"/>
  <c r="AI22" i="50"/>
  <c r="AD22" i="50"/>
  <c r="AW22" i="50"/>
  <c r="AX22" i="50"/>
  <c r="AY22" i="50"/>
  <c r="AZ22" i="50" l="1"/>
  <c r="BR22" i="51" s="1"/>
  <c r="BO22" i="51" s="1"/>
  <c r="BJ20" i="15"/>
  <c r="BK19" i="15"/>
  <c r="BM19" i="15" s="1"/>
  <c r="AQ26" i="15" s="1"/>
  <c r="AR26" i="15" s="1"/>
  <c r="BR22" i="35" s="1"/>
  <c r="BO22" i="35" s="1"/>
  <c r="BG19" i="14"/>
  <c r="BK18" i="14"/>
  <c r="BJ20" i="12"/>
  <c r="BK19" i="12"/>
  <c r="BM19" i="12" s="1"/>
  <c r="AQ26" i="12" s="1"/>
  <c r="AR26" i="12" s="1"/>
  <c r="BR26" i="34" s="1"/>
  <c r="BO26" i="34" s="1"/>
  <c r="AT21" i="50"/>
  <c r="AI21" i="50"/>
  <c r="AD21" i="50"/>
  <c r="AW21" i="50"/>
  <c r="AY21" i="50"/>
  <c r="AX21" i="50"/>
  <c r="AZ21" i="50" l="1"/>
  <c r="BR21" i="51" s="1"/>
  <c r="BO21" i="51" s="1"/>
  <c r="BJ21" i="12"/>
  <c r="BK20" i="12"/>
  <c r="BG20" i="14"/>
  <c r="BK19" i="14"/>
  <c r="BM19" i="14" s="1"/>
  <c r="AQ27" i="14" s="1"/>
  <c r="AR27" i="14" s="1"/>
  <c r="BR26" i="33" s="1"/>
  <c r="BO26" i="33" s="1"/>
  <c r="BJ21" i="15"/>
  <c r="BK20" i="15"/>
  <c r="AT20" i="50"/>
  <c r="AI20" i="50"/>
  <c r="AD20" i="50"/>
  <c r="AW20" i="50"/>
  <c r="AX20" i="50"/>
  <c r="AY20" i="50"/>
  <c r="AZ20" i="50" l="1"/>
  <c r="BR20" i="51" s="1"/>
  <c r="BO20" i="51" s="1"/>
  <c r="CA16" i="51"/>
  <c r="BZ16" i="51"/>
  <c r="BJ22" i="15"/>
  <c r="BK21" i="15"/>
  <c r="BM21" i="15" s="1"/>
  <c r="AQ27" i="15" s="1"/>
  <c r="AR27" i="15" s="1"/>
  <c r="BR23" i="35" s="1"/>
  <c r="BO23" i="35" s="1"/>
  <c r="BG21" i="14"/>
  <c r="BK20" i="14"/>
  <c r="BJ22" i="12"/>
  <c r="BK21" i="12"/>
  <c r="BM21" i="12" s="1"/>
  <c r="AQ27" i="12" s="1"/>
  <c r="AR27" i="12" s="1"/>
  <c r="BR27" i="34" s="1"/>
  <c r="BO27" i="34" s="1"/>
  <c r="O20" i="50"/>
  <c r="R20" i="50"/>
  <c r="S20" i="50"/>
  <c r="T20" i="50"/>
  <c r="U20" i="50" l="1"/>
  <c r="Z20" i="51" s="1"/>
  <c r="W20" i="51" s="1"/>
  <c r="O17" i="51" s="1"/>
  <c r="L17" i="51" s="1"/>
  <c r="BG22" i="14"/>
  <c r="BK21" i="14"/>
  <c r="BM21" i="14" s="1"/>
  <c r="AQ28" i="14" s="1"/>
  <c r="AR28" i="14" s="1"/>
  <c r="BR27" i="33" s="1"/>
  <c r="BO27" i="33" s="1"/>
  <c r="BJ23" i="15"/>
  <c r="BK22" i="15"/>
  <c r="BJ23" i="12"/>
  <c r="BK22" i="12"/>
  <c r="AT19" i="50"/>
  <c r="AW19" i="50"/>
  <c r="AY19" i="50"/>
  <c r="AX19" i="50"/>
  <c r="AZ19" i="50" l="1"/>
  <c r="BR19" i="51" s="1"/>
  <c r="BO19" i="51" s="1"/>
  <c r="BJ24" i="12"/>
  <c r="BK23" i="12"/>
  <c r="BM23" i="12" s="1"/>
  <c r="AQ28" i="12" s="1"/>
  <c r="AR28" i="12" s="1"/>
  <c r="BR28" i="34" s="1"/>
  <c r="BO28" i="34" s="1"/>
  <c r="BG23" i="14"/>
  <c r="BK22" i="14"/>
  <c r="BJ24" i="15"/>
  <c r="BK23" i="15"/>
  <c r="BM23" i="15" s="1"/>
  <c r="AQ28" i="15" s="1"/>
  <c r="AR28" i="15" s="1"/>
  <c r="BR24" i="35" s="1"/>
  <c r="BO24" i="35" s="1"/>
  <c r="O19" i="50"/>
  <c r="T19" i="50"/>
  <c r="R19" i="50"/>
  <c r="S19" i="50"/>
  <c r="U19" i="50" l="1"/>
  <c r="Z19" i="51" s="1"/>
  <c r="W19" i="51" s="1"/>
  <c r="O16" i="51" s="1"/>
  <c r="L16" i="51" s="1"/>
  <c r="BJ25" i="15"/>
  <c r="BK24" i="15"/>
  <c r="BG24" i="14"/>
  <c r="BK23" i="14"/>
  <c r="BM23" i="14" s="1"/>
  <c r="AQ29" i="14" s="1"/>
  <c r="AR29" i="14" s="1"/>
  <c r="BR28" i="33" s="1"/>
  <c r="BO28" i="33" s="1"/>
  <c r="BJ25" i="12"/>
  <c r="BK24" i="12"/>
  <c r="AT18" i="50"/>
  <c r="AY18" i="50"/>
  <c r="AW18" i="50"/>
  <c r="AX18" i="50"/>
  <c r="AZ18" i="50" l="1"/>
  <c r="BR18" i="51" s="1"/>
  <c r="BO18" i="51" s="1"/>
  <c r="BJ26" i="12"/>
  <c r="BK25" i="12"/>
  <c r="BM25" i="12" s="1"/>
  <c r="AQ29" i="12" s="1"/>
  <c r="AR29" i="12" s="1"/>
  <c r="BR29" i="34" s="1"/>
  <c r="BO29" i="34" s="1"/>
  <c r="BJ26" i="15"/>
  <c r="BK25" i="15"/>
  <c r="BM25" i="15" s="1"/>
  <c r="AQ29" i="15" s="1"/>
  <c r="AR29" i="15" s="1"/>
  <c r="BR25" i="35" s="1"/>
  <c r="BO25" i="35" s="1"/>
  <c r="BG25" i="14"/>
  <c r="BK24" i="14"/>
  <c r="O18" i="50"/>
  <c r="S18" i="50"/>
  <c r="T18" i="50"/>
  <c r="R18" i="50"/>
  <c r="U18" i="50" l="1"/>
  <c r="Z18" i="51" s="1"/>
  <c r="W18" i="51" s="1"/>
  <c r="O15" i="51" s="1"/>
  <c r="L15" i="51" s="1"/>
  <c r="BG26" i="14"/>
  <c r="BK25" i="14"/>
  <c r="BM25" i="14" s="1"/>
  <c r="AQ30" i="14" s="1"/>
  <c r="AR30" i="14" s="1"/>
  <c r="BR29" i="33" s="1"/>
  <c r="BO29" i="33" s="1"/>
  <c r="BJ27" i="15"/>
  <c r="BK26" i="15"/>
  <c r="BJ27" i="12"/>
  <c r="BK26" i="12"/>
  <c r="AT17" i="50"/>
  <c r="AY17" i="50"/>
  <c r="AW17" i="50"/>
  <c r="AX17" i="50"/>
  <c r="AZ17" i="50" l="1"/>
  <c r="BR17" i="51" s="1"/>
  <c r="BO17" i="51" s="1"/>
  <c r="CA15" i="51"/>
  <c r="BZ15" i="51"/>
  <c r="BJ28" i="12"/>
  <c r="BK27" i="12"/>
  <c r="BM27" i="12" s="1"/>
  <c r="AQ30" i="12" s="1"/>
  <c r="AR30" i="12" s="1"/>
  <c r="BR30" i="34" s="1"/>
  <c r="BO30" i="34" s="1"/>
  <c r="BJ28" i="15"/>
  <c r="BK27" i="15"/>
  <c r="BM27" i="15" s="1"/>
  <c r="AQ30" i="15" s="1"/>
  <c r="AR30" i="15" s="1"/>
  <c r="BR26" i="35" s="1"/>
  <c r="BO26" i="35" s="1"/>
  <c r="BG27" i="14"/>
  <c r="BK26" i="14"/>
  <c r="O17" i="50"/>
  <c r="S17" i="50"/>
  <c r="R17" i="50"/>
  <c r="T17" i="50"/>
  <c r="U17" i="50" l="1"/>
  <c r="Z17" i="51" s="1"/>
  <c r="W17" i="51" s="1"/>
  <c r="O14" i="51" s="1"/>
  <c r="L14" i="51" s="1"/>
  <c r="BG28" i="14"/>
  <c r="BK27" i="14"/>
  <c r="BM27" i="14" s="1"/>
  <c r="AQ31" i="14" s="1"/>
  <c r="AR31" i="14" s="1"/>
  <c r="BR30" i="33" s="1"/>
  <c r="BO30" i="33" s="1"/>
  <c r="BJ29" i="15"/>
  <c r="BK28" i="15"/>
  <c r="BJ29" i="12"/>
  <c r="BK28" i="12"/>
  <c r="AT16" i="50"/>
  <c r="AW16" i="50"/>
  <c r="AY16" i="50"/>
  <c r="AX16" i="50"/>
  <c r="AZ16" i="50" l="1"/>
  <c r="BR16" i="51" s="1"/>
  <c r="BO16" i="51" s="1"/>
  <c r="BJ30" i="15"/>
  <c r="BK29" i="15"/>
  <c r="BJ30" i="12"/>
  <c r="BK29" i="12"/>
  <c r="BG29" i="14"/>
  <c r="BK28" i="14"/>
  <c r="O16" i="50"/>
  <c r="R16" i="50"/>
  <c r="T16" i="50"/>
  <c r="S16" i="50"/>
  <c r="U16" i="50" l="1"/>
  <c r="Z16" i="51" s="1"/>
  <c r="W16" i="51" s="1"/>
  <c r="O13" i="51" s="1"/>
  <c r="L13" i="51" s="1"/>
  <c r="BJ31" i="15"/>
  <c r="BK30" i="15"/>
  <c r="BG30" i="14"/>
  <c r="BK29" i="14"/>
  <c r="BJ31" i="12"/>
  <c r="BK30" i="12"/>
  <c r="AT15" i="50"/>
  <c r="AX15" i="50"/>
  <c r="AY15" i="50"/>
  <c r="AW15" i="50"/>
  <c r="AZ15" i="50" l="1"/>
  <c r="BR15" i="51" s="1"/>
  <c r="BO15" i="51" s="1"/>
  <c r="BJ32" i="12"/>
  <c r="BK31" i="12"/>
  <c r="BM31" i="12" s="1"/>
  <c r="AQ31" i="12" s="1"/>
  <c r="AR31" i="12" s="1"/>
  <c r="BR31" i="34" s="1"/>
  <c r="BO31" i="34" s="1"/>
  <c r="BJ32" i="15"/>
  <c r="BK31" i="15"/>
  <c r="BM31" i="15" s="1"/>
  <c r="AQ31" i="15" s="1"/>
  <c r="AR31" i="15" s="1"/>
  <c r="BR27" i="35" s="1"/>
  <c r="BO27" i="35" s="1"/>
  <c r="BG31" i="14"/>
  <c r="BK30" i="14"/>
  <c r="O15" i="50"/>
  <c r="T15" i="50"/>
  <c r="S15" i="50"/>
  <c r="R15" i="50"/>
  <c r="U15" i="50" l="1"/>
  <c r="Z15" i="51" s="1"/>
  <c r="W15" i="51" s="1"/>
  <c r="O12" i="51" s="1"/>
  <c r="L12" i="51" s="1"/>
  <c r="BJ33" i="15"/>
  <c r="BK32" i="15"/>
  <c r="BG32" i="14"/>
  <c r="BK31" i="14"/>
  <c r="BM31" i="14" s="1"/>
  <c r="AQ32" i="14" s="1"/>
  <c r="AR32" i="14" s="1"/>
  <c r="BR31" i="33" s="1"/>
  <c r="BO31" i="33" s="1"/>
  <c r="BJ33" i="12"/>
  <c r="BK32" i="12"/>
  <c r="AT14" i="50"/>
  <c r="AY14" i="50"/>
  <c r="AX14" i="50"/>
  <c r="AW14" i="50"/>
  <c r="AZ14" i="50" l="1"/>
  <c r="BR14" i="51" s="1"/>
  <c r="BO14" i="51" s="1"/>
  <c r="CA14" i="51"/>
  <c r="BZ14" i="51"/>
  <c r="BJ34" i="15"/>
  <c r="BK33" i="15"/>
  <c r="BJ34" i="12"/>
  <c r="BK33" i="12"/>
  <c r="BG33" i="14"/>
  <c r="BK32" i="14"/>
  <c r="O14" i="50"/>
  <c r="R14" i="50"/>
  <c r="S14" i="50"/>
  <c r="T14" i="50"/>
  <c r="U14" i="50" l="1"/>
  <c r="Z14" i="51" s="1"/>
  <c r="W14" i="51" s="1"/>
  <c r="O11" i="51" s="1"/>
  <c r="L11" i="51" s="1"/>
  <c r="BG34" i="14"/>
  <c r="BK33" i="14"/>
  <c r="BJ35" i="12"/>
  <c r="BK34" i="12"/>
  <c r="BJ35" i="15"/>
  <c r="BK34" i="15"/>
  <c r="AT13" i="50"/>
  <c r="AX13" i="50"/>
  <c r="AY13" i="50"/>
  <c r="AW13" i="50"/>
  <c r="AZ13" i="50" l="1"/>
  <c r="BR13" i="51" s="1"/>
  <c r="BO13" i="51" s="1"/>
  <c r="CA13" i="51"/>
  <c r="BZ13" i="51"/>
  <c r="BG35" i="14"/>
  <c r="BK34" i="14"/>
  <c r="BJ36" i="15"/>
  <c r="BK35" i="15"/>
  <c r="BJ36" i="12"/>
  <c r="BK35" i="12"/>
  <c r="O13" i="50"/>
  <c r="R13" i="50"/>
  <c r="S13" i="50"/>
  <c r="T13" i="50"/>
  <c r="U13" i="50" l="1"/>
  <c r="Z13" i="51" s="1"/>
  <c r="W13" i="51" s="1"/>
  <c r="BJ37" i="12"/>
  <c r="BK36" i="12"/>
  <c r="BJ37" i="15"/>
  <c r="BK36" i="15"/>
  <c r="BG36" i="14"/>
  <c r="BK35" i="14"/>
  <c r="AT12" i="50"/>
  <c r="AW12" i="50"/>
  <c r="AX12" i="50"/>
  <c r="AY12" i="50"/>
  <c r="AZ12" i="50" l="1"/>
  <c r="BR12" i="51" s="1"/>
  <c r="BO12" i="51" s="1"/>
  <c r="CA12" i="51"/>
  <c r="BZ12" i="51"/>
  <c r="BG37" i="14"/>
  <c r="BK36" i="14"/>
  <c r="BJ38" i="15"/>
  <c r="BK37" i="15"/>
  <c r="BM37" i="15" s="1"/>
  <c r="AQ32" i="15" s="1"/>
  <c r="AR32" i="15" s="1"/>
  <c r="BR28" i="35" s="1"/>
  <c r="BO28" i="35" s="1"/>
  <c r="BJ38" i="12"/>
  <c r="BK37" i="12"/>
  <c r="BM37" i="12" s="1"/>
  <c r="AQ32" i="12" s="1"/>
  <c r="AR32" i="12" s="1"/>
  <c r="BR32" i="34" s="1"/>
  <c r="BO32" i="34" s="1"/>
  <c r="O12" i="50"/>
  <c r="D12" i="50"/>
  <c r="C12" i="50"/>
  <c r="R12" i="50"/>
  <c r="S12" i="50"/>
  <c r="T12" i="50"/>
  <c r="E12" i="50" l="1"/>
  <c r="U12" i="50"/>
  <c r="Z12" i="51" s="1"/>
  <c r="W12" i="51" s="1"/>
  <c r="BJ39" i="12"/>
  <c r="BK38" i="12"/>
  <c r="BJ39" i="15"/>
  <c r="BK38" i="15"/>
  <c r="BG38" i="14"/>
  <c r="BK37" i="14"/>
  <c r="BM37" i="14" s="1"/>
  <c r="AQ33" i="14" s="1"/>
  <c r="AR33" i="14" s="1"/>
  <c r="BR32" i="33" s="1"/>
  <c r="BO32" i="33" s="1"/>
  <c r="AT11" i="50"/>
  <c r="D11" i="50"/>
  <c r="C11" i="50"/>
  <c r="AY11" i="50"/>
  <c r="AX11" i="50"/>
  <c r="AW11" i="50"/>
  <c r="E11" i="50" l="1"/>
  <c r="AZ11" i="50"/>
  <c r="BR11" i="51" s="1"/>
  <c r="BO11" i="51" s="1"/>
  <c r="CA11" i="51"/>
  <c r="BZ11" i="51"/>
  <c r="BG39" i="14"/>
  <c r="BK38" i="14"/>
  <c r="BJ40" i="15"/>
  <c r="BK39" i="15"/>
  <c r="BJ40" i="12"/>
  <c r="BK39" i="12"/>
  <c r="AT10" i="50"/>
  <c r="T10" i="50"/>
  <c r="AY10" i="50"/>
  <c r="AW10" i="50"/>
  <c r="AX10" i="50"/>
  <c r="U10" i="50" l="1"/>
  <c r="Z10" i="51" s="1"/>
  <c r="W10" i="51" s="1"/>
  <c r="O10" i="51" s="1"/>
  <c r="L10" i="51" s="1"/>
  <c r="AZ10" i="50"/>
  <c r="BR10" i="51" s="1"/>
  <c r="BO10" i="51" s="1"/>
  <c r="CA10" i="51"/>
  <c r="BZ10" i="51"/>
  <c r="BJ41" i="12"/>
  <c r="BK40" i="12"/>
  <c r="BG40" i="14"/>
  <c r="BK39" i="14"/>
  <c r="BJ41" i="15"/>
  <c r="BK40" i="15"/>
  <c r="D10" i="50"/>
  <c r="C10" i="50"/>
  <c r="E10" i="50" l="1"/>
  <c r="BJ42" i="12"/>
  <c r="BK41" i="12"/>
  <c r="BG41" i="14"/>
  <c r="BK40" i="14"/>
  <c r="BJ42" i="15"/>
  <c r="BK41" i="15"/>
  <c r="AT9" i="50"/>
  <c r="AX9" i="50"/>
  <c r="AY9" i="50"/>
  <c r="T9" i="50"/>
  <c r="AW9" i="50"/>
  <c r="U9" i="50" l="1"/>
  <c r="Z9" i="51" s="1"/>
  <c r="W9" i="51" s="1"/>
  <c r="O9" i="51" s="1"/>
  <c r="L9" i="51" s="1"/>
  <c r="AZ9" i="50"/>
  <c r="BR9" i="51" s="1"/>
  <c r="BO9" i="51" s="1"/>
  <c r="CA9" i="51"/>
  <c r="BZ9" i="51"/>
  <c r="BJ43" i="15"/>
  <c r="BK42" i="15"/>
  <c r="BG42" i="14"/>
  <c r="BK41" i="14"/>
  <c r="BJ43" i="12"/>
  <c r="BK42" i="12"/>
  <c r="D9" i="50"/>
  <c r="C9" i="50"/>
  <c r="E9" i="50" l="1"/>
  <c r="BG43" i="14"/>
  <c r="BK42" i="14"/>
  <c r="BJ44" i="15"/>
  <c r="BK43" i="15"/>
  <c r="BJ44" i="12"/>
  <c r="BK43" i="12"/>
  <c r="AT8" i="50"/>
  <c r="AW8" i="50"/>
  <c r="T8" i="50"/>
  <c r="AX8" i="50"/>
  <c r="AY8" i="50"/>
  <c r="U8" i="50" l="1"/>
  <c r="Z8" i="51" s="1"/>
  <c r="W8" i="51" s="1"/>
  <c r="O8" i="51" s="1"/>
  <c r="L8" i="51" s="1"/>
  <c r="AZ8" i="50"/>
  <c r="BR8" i="51" s="1"/>
  <c r="BO8" i="51" s="1"/>
  <c r="CA8" i="51"/>
  <c r="BZ8" i="51"/>
  <c r="BJ45" i="12"/>
  <c r="BK44" i="12"/>
  <c r="BJ45" i="15"/>
  <c r="BK44" i="15"/>
  <c r="BG44" i="14"/>
  <c r="BK43" i="14"/>
  <c r="C8" i="50"/>
  <c r="AX7" i="50"/>
  <c r="AY7" i="50"/>
  <c r="AW7" i="50"/>
  <c r="BZ7" i="51" l="1"/>
  <c r="CA7" i="51"/>
  <c r="AZ7" i="50"/>
  <c r="BR7" i="51" s="1"/>
  <c r="BP7" i="51" s="1"/>
  <c r="BJ46" i="15"/>
  <c r="BK45" i="15"/>
  <c r="BJ46" i="12"/>
  <c r="BK45" i="12"/>
  <c r="BG45" i="14"/>
  <c r="BK44" i="14"/>
  <c r="U7" i="50"/>
  <c r="Z7" i="51" s="1"/>
  <c r="W7" i="51" s="1"/>
  <c r="W45" i="51"/>
  <c r="T7" i="50"/>
  <c r="BO45" i="51"/>
  <c r="D8" i="50" l="1"/>
  <c r="E8" i="50" s="1"/>
  <c r="BJ47" i="12"/>
  <c r="BK47" i="12" s="1"/>
  <c r="BM47" i="12" s="1"/>
  <c r="AQ33" i="12" s="1"/>
  <c r="AR33" i="12" s="1"/>
  <c r="BR33" i="34" s="1"/>
  <c r="BO33" i="34" s="1"/>
  <c r="BK46" i="12"/>
  <c r="BJ47" i="15"/>
  <c r="BK47" i="15" s="1"/>
  <c r="BM47" i="15" s="1"/>
  <c r="AQ33" i="15" s="1"/>
  <c r="AR33" i="15" s="1"/>
  <c r="BR29" i="35" s="1"/>
  <c r="BO29" i="35" s="1"/>
  <c r="BK46" i="15"/>
  <c r="O7" i="51"/>
  <c r="L7" i="51" s="1"/>
  <c r="BG46" i="14"/>
  <c r="BK45" i="14"/>
  <c r="D7" i="50"/>
  <c r="C7" i="50"/>
  <c r="B7" i="50"/>
  <c r="AT3" i="50"/>
  <c r="AL3" i="50"/>
  <c r="AG3" i="50"/>
  <c r="AB3" i="50"/>
  <c r="W3" i="50"/>
  <c r="O3" i="50"/>
  <c r="B8" i="50" s="1"/>
  <c r="AD50" i="48"/>
  <c r="AY49" i="48"/>
  <c r="AD49" i="48"/>
  <c r="AY48" i="48"/>
  <c r="AQ48" i="48"/>
  <c r="AI48" i="48"/>
  <c r="AD48" i="48"/>
  <c r="AY47" i="48"/>
  <c r="AQ47" i="48"/>
  <c r="AI47" i="48"/>
  <c r="AD47" i="48"/>
  <c r="AY46" i="48"/>
  <c r="AQ46" i="48"/>
  <c r="AI46" i="48"/>
  <c r="AD46" i="48"/>
  <c r="T46" i="48"/>
  <c r="AY45" i="48"/>
  <c r="AQ45" i="48"/>
  <c r="AI45" i="48"/>
  <c r="AD45" i="48"/>
  <c r="T45" i="48"/>
  <c r="AY44" i="48"/>
  <c r="AQ44" i="48"/>
  <c r="AI44" i="48"/>
  <c r="AD44" i="48"/>
  <c r="T44" i="48"/>
  <c r="AY43" i="48"/>
  <c r="AQ43" i="48"/>
  <c r="AI43" i="48"/>
  <c r="AD43" i="48"/>
  <c r="T43" i="48"/>
  <c r="AY42" i="48"/>
  <c r="AQ42" i="48"/>
  <c r="AI42" i="48"/>
  <c r="AD42" i="48"/>
  <c r="T42" i="48"/>
  <c r="AY41" i="48"/>
  <c r="AQ41" i="48"/>
  <c r="AI41" i="48"/>
  <c r="AD41" i="48"/>
  <c r="T41" i="48"/>
  <c r="AY40" i="48"/>
  <c r="AQ40" i="48"/>
  <c r="AI40" i="48"/>
  <c r="AD40" i="48"/>
  <c r="T40" i="48"/>
  <c r="AY39" i="48"/>
  <c r="AQ39" i="48"/>
  <c r="AI39" i="48"/>
  <c r="AD39" i="48"/>
  <c r="T39" i="48"/>
  <c r="AQ38" i="48"/>
  <c r="AI38" i="48"/>
  <c r="AD38" i="48"/>
  <c r="T38" i="48"/>
  <c r="AI37" i="48"/>
  <c r="AD37" i="48"/>
  <c r="T37" i="48"/>
  <c r="AI36" i="48"/>
  <c r="AD36" i="48"/>
  <c r="T36" i="48"/>
  <c r="AI35" i="48"/>
  <c r="AD35" i="48"/>
  <c r="AI34" i="48"/>
  <c r="AD34" i="48"/>
  <c r="AI33" i="48"/>
  <c r="AD33" i="48"/>
  <c r="AI32" i="48"/>
  <c r="AD32" i="48"/>
  <c r="AY31" i="48"/>
  <c r="AI31" i="48"/>
  <c r="AD31" i="48"/>
  <c r="AY30" i="48"/>
  <c r="AI30" i="48"/>
  <c r="AD30" i="48"/>
  <c r="AI29" i="48"/>
  <c r="AD29" i="48"/>
  <c r="AI28" i="48"/>
  <c r="AD28" i="48"/>
  <c r="AI27" i="48"/>
  <c r="AD27" i="48"/>
  <c r="BO45" i="34"/>
  <c r="L45" i="51"/>
  <c r="BO41" i="35"/>
  <c r="L54" i="51" a="1"/>
  <c r="B4" i="50" l="1"/>
  <c r="L56" i="51"/>
  <c r="L57" i="51"/>
  <c r="L54" i="51"/>
  <c r="L55" i="51"/>
  <c r="E7" i="50"/>
  <c r="E4" i="50" s="1"/>
  <c r="BG47" i="14"/>
  <c r="BK47" i="14" s="1"/>
  <c r="BM47" i="14" s="1"/>
  <c r="AQ34" i="14" s="1"/>
  <c r="AR34" i="14" s="1"/>
  <c r="BR33" i="33" s="1"/>
  <c r="BO33" i="33" s="1"/>
  <c r="BK46" i="14"/>
  <c r="W27" i="48"/>
  <c r="AI26" i="48"/>
  <c r="AD26" i="48"/>
  <c r="Y27" i="48"/>
  <c r="Q7" i="37"/>
  <c r="BO45" i="33"/>
  <c r="Z27" i="48" l="1"/>
  <c r="W26" i="48"/>
  <c r="W54" i="51" a="1"/>
  <c r="Y26" i="48"/>
  <c r="Z26" i="48" l="1"/>
  <c r="W57" i="51"/>
  <c r="W56" i="51"/>
  <c r="W55" i="51"/>
  <c r="W54" i="51"/>
  <c r="O26" i="48"/>
  <c r="AI25" i="48"/>
  <c r="AD25" i="48"/>
  <c r="S26" i="48"/>
  <c r="T26" i="48"/>
  <c r="Q9" i="37"/>
  <c r="R26" i="48"/>
  <c r="U26" i="48" l="1"/>
  <c r="Z26" i="49" s="1"/>
  <c r="W26" i="49" s="1"/>
  <c r="W25" i="48"/>
  <c r="AH54" i="51" a="1"/>
  <c r="Y25" i="48"/>
  <c r="Z25" i="48" l="1"/>
  <c r="AH57" i="51"/>
  <c r="AH56" i="51"/>
  <c r="AH55" i="51"/>
  <c r="AH54" i="51"/>
  <c r="O25" i="48"/>
  <c r="T25" i="48"/>
  <c r="Q10" i="37"/>
  <c r="S25" i="48"/>
  <c r="R25" i="48"/>
  <c r="U25" i="48" l="1"/>
  <c r="Z25" i="49" s="1"/>
  <c r="W25" i="49" s="1"/>
  <c r="AT24" i="48"/>
  <c r="AI24" i="48"/>
  <c r="AD24" i="48"/>
  <c r="AY24" i="48"/>
  <c r="AW24" i="48"/>
  <c r="AX24" i="48"/>
  <c r="AZ24" i="48" l="1"/>
  <c r="W24" i="48"/>
  <c r="Y24" i="48"/>
  <c r="Z24" i="48" l="1"/>
  <c r="O24" i="48"/>
  <c r="R24" i="48"/>
  <c r="S24" i="48"/>
  <c r="T24" i="48"/>
  <c r="U24" i="48" l="1"/>
  <c r="Z24" i="49" s="1"/>
  <c r="W24" i="49" s="1"/>
  <c r="AT23" i="48"/>
  <c r="AI23" i="48"/>
  <c r="AD23" i="48"/>
  <c r="AY23" i="48"/>
  <c r="AW23" i="48"/>
  <c r="AX23" i="48"/>
  <c r="AZ23" i="48" l="1"/>
  <c r="W23" i="48"/>
  <c r="Y23" i="48"/>
  <c r="Z23" i="48" l="1"/>
  <c r="O23" i="48"/>
  <c r="S23" i="48"/>
  <c r="R23" i="48"/>
  <c r="T23" i="48"/>
  <c r="U23" i="48" l="1"/>
  <c r="Z23" i="49" s="1"/>
  <c r="W23" i="49" s="1"/>
  <c r="AT22" i="48"/>
  <c r="AI22" i="48"/>
  <c r="AD22" i="48"/>
  <c r="AX22" i="48"/>
  <c r="AW22" i="48"/>
  <c r="AY22" i="48"/>
  <c r="AZ22" i="48" l="1"/>
  <c r="W22" i="48"/>
  <c r="Y22" i="48"/>
  <c r="Z22" i="48" l="1"/>
  <c r="O22" i="48"/>
  <c r="R22" i="48"/>
  <c r="T22" i="48"/>
  <c r="S22" i="48"/>
  <c r="U22" i="48" l="1"/>
  <c r="Z22" i="49" s="1"/>
  <c r="W22" i="49" s="1"/>
  <c r="AT21" i="48"/>
  <c r="AI21" i="48"/>
  <c r="AD21" i="48"/>
  <c r="AW21" i="48"/>
  <c r="AX21" i="48"/>
  <c r="AY21" i="48"/>
  <c r="AZ21" i="48" l="1"/>
  <c r="W21" i="48"/>
  <c r="Y21" i="48"/>
  <c r="Z21" i="48" l="1"/>
  <c r="O21" i="48"/>
  <c r="R21" i="48"/>
  <c r="S21" i="48"/>
  <c r="T21" i="48"/>
  <c r="U21" i="48" l="1"/>
  <c r="Z21" i="49" s="1"/>
  <c r="W21" i="49" s="1"/>
  <c r="AT20" i="48"/>
  <c r="AI20" i="48"/>
  <c r="AD20" i="48"/>
  <c r="AW20" i="48"/>
  <c r="AX20" i="48"/>
  <c r="AY20" i="48"/>
  <c r="AZ20" i="48" l="1"/>
  <c r="W20" i="48"/>
  <c r="Y20" i="48"/>
  <c r="Z20" i="48" l="1"/>
  <c r="O20" i="48"/>
  <c r="R20" i="48"/>
  <c r="S20" i="48"/>
  <c r="T20" i="48"/>
  <c r="U20" i="48" l="1"/>
  <c r="Z20" i="49" s="1"/>
  <c r="W20" i="49" s="1"/>
  <c r="AT19" i="48"/>
  <c r="AI19" i="48"/>
  <c r="AD19" i="48"/>
  <c r="AW19" i="48"/>
  <c r="AY19" i="48"/>
  <c r="AX19" i="48"/>
  <c r="AZ19" i="48" l="1"/>
  <c r="W19" i="48"/>
  <c r="Y19" i="48"/>
  <c r="Z19" i="48" l="1"/>
  <c r="O19" i="48"/>
  <c r="R19" i="48"/>
  <c r="S19" i="48"/>
  <c r="T19" i="48"/>
  <c r="U19" i="48" l="1"/>
  <c r="Z19" i="49" s="1"/>
  <c r="W19" i="49" s="1"/>
  <c r="AT18" i="48"/>
  <c r="AW18" i="48"/>
  <c r="AX18" i="48"/>
  <c r="AY18" i="48"/>
  <c r="AZ18" i="48" l="1"/>
  <c r="AL18" i="48"/>
  <c r="AI18" i="48"/>
  <c r="AO18" i="48"/>
  <c r="AQ18" i="48"/>
  <c r="AP18" i="48"/>
  <c r="AR18" i="48" l="1"/>
  <c r="BR25" i="49" s="1"/>
  <c r="BO25" i="49" s="1"/>
  <c r="AB18" i="48"/>
  <c r="AD18" i="48"/>
  <c r="AE18" i="48" l="1"/>
  <c r="BG17" i="49" s="1"/>
  <c r="BD17" i="49" s="1"/>
  <c r="W18" i="48"/>
  <c r="Y18" i="48"/>
  <c r="Z18" i="48" l="1"/>
  <c r="O18" i="48"/>
  <c r="R18" i="48"/>
  <c r="S18" i="48"/>
  <c r="T18" i="48"/>
  <c r="U18" i="48" l="1"/>
  <c r="Z18" i="49" s="1"/>
  <c r="W18" i="49" s="1"/>
  <c r="AT17" i="48"/>
  <c r="AW17" i="48"/>
  <c r="AX17" i="48"/>
  <c r="AY17" i="48"/>
  <c r="AZ17" i="48" l="1"/>
  <c r="AL17" i="48"/>
  <c r="AI17" i="48"/>
  <c r="AQ17" i="48"/>
  <c r="AO17" i="48"/>
  <c r="AP17" i="48"/>
  <c r="AR17" i="48" l="1"/>
  <c r="BR24" i="49" s="1"/>
  <c r="BO24" i="49" s="1"/>
  <c r="AB17" i="48"/>
  <c r="AD17" i="48"/>
  <c r="AE17" i="48" l="1"/>
  <c r="BG16" i="49" s="1"/>
  <c r="BD16" i="49" s="1"/>
  <c r="W17" i="48"/>
  <c r="Y17" i="48"/>
  <c r="Z17" i="48" l="1"/>
  <c r="O17" i="48"/>
  <c r="R17" i="48"/>
  <c r="S17" i="48"/>
  <c r="T17" i="48"/>
  <c r="U17" i="48" l="1"/>
  <c r="Z17" i="49" s="1"/>
  <c r="W17" i="49" s="1"/>
  <c r="AT16" i="48"/>
  <c r="AY16" i="48"/>
  <c r="AW16" i="48"/>
  <c r="AX16" i="48"/>
  <c r="AZ16" i="48" l="1"/>
  <c r="BR16" i="49" s="1"/>
  <c r="BO16" i="49" s="1"/>
  <c r="AL16" i="48"/>
  <c r="AI16" i="48"/>
  <c r="AQ16" i="48"/>
  <c r="AO16" i="48"/>
  <c r="AP16" i="48"/>
  <c r="AR16" i="48" l="1"/>
  <c r="BR23" i="49" s="1"/>
  <c r="BO23" i="49" s="1"/>
  <c r="AB16" i="48"/>
  <c r="AD16" i="48"/>
  <c r="AE16" i="48" l="1"/>
  <c r="BG15" i="49" s="1"/>
  <c r="BD15" i="49" s="1"/>
  <c r="W16" i="48"/>
  <c r="Y16" i="48"/>
  <c r="Z16" i="48" l="1"/>
  <c r="O16" i="48"/>
  <c r="R16" i="48"/>
  <c r="S16" i="48"/>
  <c r="T16" i="48"/>
  <c r="U16" i="48" l="1"/>
  <c r="Z16" i="49" s="1"/>
  <c r="W16" i="49" s="1"/>
  <c r="AT15" i="48"/>
  <c r="AW15" i="48"/>
  <c r="AX15" i="48"/>
  <c r="AY15" i="48"/>
  <c r="AZ15" i="48" l="1"/>
  <c r="BR15" i="49" s="1"/>
  <c r="BO15" i="49" s="1"/>
  <c r="AL15" i="48"/>
  <c r="AI15" i="48"/>
  <c r="AQ15" i="48"/>
  <c r="AO15" i="48"/>
  <c r="AP15" i="48"/>
  <c r="AR15" i="48" l="1"/>
  <c r="BR22" i="49" s="1"/>
  <c r="BO22" i="49" s="1"/>
  <c r="AB15" i="48"/>
  <c r="AD15" i="48"/>
  <c r="AE15" i="48" l="1"/>
  <c r="BG14" i="49" s="1"/>
  <c r="BD14" i="49" s="1"/>
  <c r="W15" i="48"/>
  <c r="Y15" i="48"/>
  <c r="Z15" i="48" l="1"/>
  <c r="O15" i="48"/>
  <c r="R15" i="48"/>
  <c r="S15" i="48"/>
  <c r="T15" i="48"/>
  <c r="U15" i="48" l="1"/>
  <c r="Z15" i="49" s="1"/>
  <c r="W15" i="49" s="1"/>
  <c r="G15" i="48"/>
  <c r="J15" i="48"/>
  <c r="L15" i="48"/>
  <c r="K15" i="48"/>
  <c r="M15" i="48" l="1"/>
  <c r="AT14" i="48"/>
  <c r="AW14" i="48"/>
  <c r="AX14" i="48"/>
  <c r="AY14" i="48"/>
  <c r="AZ14" i="48" l="1"/>
  <c r="BR14" i="49" s="1"/>
  <c r="BO14" i="49" s="1"/>
  <c r="O15" i="49"/>
  <c r="L15" i="49" s="1"/>
  <c r="AL14" i="48"/>
  <c r="AI14" i="48"/>
  <c r="AO14" i="48"/>
  <c r="AP14" i="48"/>
  <c r="AQ14" i="48"/>
  <c r="AR14" i="48" l="1"/>
  <c r="BR21" i="49" s="1"/>
  <c r="BO21" i="49" s="1"/>
  <c r="AB14" i="48"/>
  <c r="AD14" i="48"/>
  <c r="AE14" i="48" l="1"/>
  <c r="BG13" i="49" s="1"/>
  <c r="BD13" i="49" s="1"/>
  <c r="W14" i="48"/>
  <c r="O14" i="48"/>
  <c r="R14" i="48"/>
  <c r="T14" i="48"/>
  <c r="S14" i="48"/>
  <c r="U14" i="48" l="1"/>
  <c r="Z14" i="49" s="1"/>
  <c r="W14" i="49" s="1"/>
  <c r="G14" i="48"/>
  <c r="J14" i="48"/>
  <c r="K14" i="48"/>
  <c r="L14" i="48"/>
  <c r="M14" i="48" l="1"/>
  <c r="O14" i="49" s="1"/>
  <c r="L14" i="49" s="1"/>
  <c r="AT13" i="48"/>
  <c r="AW13" i="48"/>
  <c r="AX13" i="48"/>
  <c r="AY13" i="48"/>
  <c r="AZ13" i="48" l="1"/>
  <c r="BR13" i="49" s="1"/>
  <c r="BO13" i="49" s="1"/>
  <c r="AL13" i="48"/>
  <c r="AI13" i="48"/>
  <c r="AO13" i="48"/>
  <c r="AP13" i="48"/>
  <c r="AQ13" i="48"/>
  <c r="AR13" i="48" l="1"/>
  <c r="BR20" i="49" s="1"/>
  <c r="BO20" i="49" s="1"/>
  <c r="AB13" i="48"/>
  <c r="Y13" i="48"/>
  <c r="Z13" i="48" s="1"/>
  <c r="W13" i="48"/>
  <c r="AD13" i="48"/>
  <c r="AE13" i="48" l="1"/>
  <c r="BG12" i="49" s="1"/>
  <c r="BD12" i="49" s="1"/>
  <c r="O13" i="48"/>
  <c r="R13" i="48"/>
  <c r="S13" i="48"/>
  <c r="T13" i="48"/>
  <c r="U13" i="48" l="1"/>
  <c r="Z13" i="49" s="1"/>
  <c r="W13" i="49" s="1"/>
  <c r="G13" i="48"/>
  <c r="J13" i="48"/>
  <c r="K13" i="48"/>
  <c r="L13" i="48"/>
  <c r="M13" i="48" l="1"/>
  <c r="O13" i="49" s="1"/>
  <c r="L13" i="49" s="1"/>
  <c r="AT12" i="48"/>
  <c r="AW12" i="48"/>
  <c r="AY12" i="48"/>
  <c r="AX12" i="48"/>
  <c r="AZ12" i="48" l="1"/>
  <c r="BR12" i="49" s="1"/>
  <c r="BO12" i="49" s="1"/>
  <c r="AL12" i="48"/>
  <c r="AI12" i="48"/>
  <c r="AO12" i="48"/>
  <c r="AQ12" i="48"/>
  <c r="AP12" i="48"/>
  <c r="AR12" i="48" l="1"/>
  <c r="BR19" i="49" s="1"/>
  <c r="BO19" i="49" s="1"/>
  <c r="AB12" i="48"/>
  <c r="Y12" i="48"/>
  <c r="Z12" i="48" s="1"/>
  <c r="W12" i="48"/>
  <c r="AD12" i="48"/>
  <c r="AE12" i="48" l="1"/>
  <c r="BG11" i="49" s="1"/>
  <c r="BD11" i="49" s="1"/>
  <c r="O12" i="48"/>
  <c r="R12" i="48"/>
  <c r="S12" i="48"/>
  <c r="T12" i="48"/>
  <c r="U12" i="48" l="1"/>
  <c r="Z12" i="49" s="1"/>
  <c r="W12" i="49" s="1"/>
  <c r="G12" i="48"/>
  <c r="C12" i="48"/>
  <c r="J12" i="48"/>
  <c r="K12" i="48"/>
  <c r="L12" i="48"/>
  <c r="M12" i="48" l="1"/>
  <c r="O12" i="49" s="1"/>
  <c r="L12" i="49" s="1"/>
  <c r="AT11" i="48"/>
  <c r="AW11" i="48"/>
  <c r="AX11" i="48"/>
  <c r="AY11" i="48"/>
  <c r="AZ11" i="48" l="1"/>
  <c r="BR11" i="49" s="1"/>
  <c r="BO11" i="49" s="1"/>
  <c r="AL11" i="48"/>
  <c r="AI11" i="48"/>
  <c r="AO11" i="48"/>
  <c r="AP11" i="48"/>
  <c r="AQ11" i="48"/>
  <c r="AR11" i="48" l="1"/>
  <c r="BR18" i="49" s="1"/>
  <c r="BO18" i="49" s="1"/>
  <c r="AB11" i="48"/>
  <c r="Y11" i="48"/>
  <c r="Z11" i="48" s="1"/>
  <c r="W11" i="48"/>
  <c r="AD11" i="48"/>
  <c r="AE11" i="48" l="1"/>
  <c r="BG10" i="49" s="1"/>
  <c r="BD10" i="49" s="1"/>
  <c r="O11" i="48"/>
  <c r="R11" i="48"/>
  <c r="S11" i="48"/>
  <c r="T11" i="48"/>
  <c r="U11" i="48" l="1"/>
  <c r="Z11" i="49" s="1"/>
  <c r="W11" i="49" s="1"/>
  <c r="G11" i="48"/>
  <c r="Y14" i="48"/>
  <c r="L11" i="48"/>
  <c r="K11" i="48"/>
  <c r="J11" i="48"/>
  <c r="Z14" i="48" l="1"/>
  <c r="M11" i="48"/>
  <c r="O11" i="49" s="1"/>
  <c r="L11" i="49" s="1"/>
  <c r="AT10" i="48"/>
  <c r="AW10" i="48"/>
  <c r="AY10" i="48"/>
  <c r="AX10" i="48"/>
  <c r="AZ10" i="48" l="1"/>
  <c r="BR10" i="49" s="1"/>
  <c r="BO10" i="49" s="1"/>
  <c r="AL10" i="48"/>
  <c r="AI10" i="48"/>
  <c r="AQ10" i="48"/>
  <c r="AO10" i="48"/>
  <c r="AP10" i="48"/>
  <c r="AR10" i="48" l="1"/>
  <c r="BR17" i="49" s="1"/>
  <c r="BO17" i="49" s="1"/>
  <c r="AB10" i="48"/>
  <c r="AD10" i="48"/>
  <c r="AE10" i="48" l="1"/>
  <c r="BG9" i="49" s="1"/>
  <c r="BD9" i="49" s="1"/>
  <c r="W10" i="48"/>
  <c r="T10" i="48"/>
  <c r="U10" i="48" l="1"/>
  <c r="Z10" i="49" s="1"/>
  <c r="W10" i="49" s="1"/>
  <c r="G10" i="48"/>
  <c r="D10" i="48"/>
  <c r="C10" i="48"/>
  <c r="Y10" i="48"/>
  <c r="L10" i="48"/>
  <c r="J10" i="48"/>
  <c r="K10" i="48"/>
  <c r="Z10" i="48" l="1"/>
  <c r="E10" i="48"/>
  <c r="M10" i="48"/>
  <c r="O10" i="49" s="1"/>
  <c r="L10" i="49" s="1"/>
  <c r="AT9" i="48"/>
  <c r="AW9" i="48"/>
  <c r="AX9" i="48"/>
  <c r="AY9" i="48"/>
  <c r="AZ9" i="48" l="1"/>
  <c r="BR9" i="49" s="1"/>
  <c r="BO9" i="49" s="1"/>
  <c r="AL9" i="48"/>
  <c r="AI9" i="48"/>
  <c r="AP9" i="48"/>
  <c r="AQ9" i="48"/>
  <c r="AO9" i="48"/>
  <c r="AR9" i="48" l="1"/>
  <c r="AB9" i="48"/>
  <c r="W9" i="48"/>
  <c r="AD9" i="48"/>
  <c r="T9" i="48"/>
  <c r="U9" i="48" l="1"/>
  <c r="AE9" i="48"/>
  <c r="BG8" i="49" s="1"/>
  <c r="BD8" i="49" s="1"/>
  <c r="Z9" i="49" l="1"/>
  <c r="W9" i="49" s="1"/>
  <c r="Z9" i="48"/>
  <c r="G9" i="48"/>
  <c r="D9" i="48"/>
  <c r="C9" i="48"/>
  <c r="J9" i="48"/>
  <c r="K9" i="48"/>
  <c r="L9" i="48"/>
  <c r="E9" i="48" l="1"/>
  <c r="M9" i="48"/>
  <c r="O9" i="49" s="1"/>
  <c r="L9" i="49" s="1"/>
  <c r="AT8" i="48"/>
  <c r="AX8" i="48"/>
  <c r="AW8" i="48"/>
  <c r="AY8" i="48"/>
  <c r="AZ8" i="48" l="1"/>
  <c r="BR8" i="49" s="1"/>
  <c r="BO8" i="49" s="1"/>
  <c r="AL8" i="48"/>
  <c r="AI8" i="48"/>
  <c r="AB8" i="48"/>
  <c r="W8" i="48"/>
  <c r="AO8" i="48"/>
  <c r="AQ8" i="48"/>
  <c r="AP8" i="48"/>
  <c r="T8" i="48"/>
  <c r="U8" i="48" l="1"/>
  <c r="AD8" i="48"/>
  <c r="AE8" i="48" s="1"/>
  <c r="BG7" i="49" s="1"/>
  <c r="BD7" i="49" s="1"/>
  <c r="AR8" i="48"/>
  <c r="BD45" i="49"/>
  <c r="Z8" i="49" l="1"/>
  <c r="W8" i="49" s="1"/>
  <c r="Z8" i="48"/>
  <c r="G8" i="48"/>
  <c r="C8" i="48"/>
  <c r="AW7" i="48"/>
  <c r="J8" i="48"/>
  <c r="K8" i="48"/>
  <c r="L8" i="48"/>
  <c r="AY7" i="48"/>
  <c r="AX7" i="48"/>
  <c r="AZ7" i="48" l="1"/>
  <c r="BR7" i="49" s="1"/>
  <c r="BP7" i="49" s="1"/>
  <c r="M8" i="48"/>
  <c r="O8" i="49" s="1"/>
  <c r="L8" i="49" s="1"/>
  <c r="AL7" i="48"/>
  <c r="AI7" i="48"/>
  <c r="D12" i="48" s="1"/>
  <c r="E12" i="48" s="1"/>
  <c r="AB7" i="48"/>
  <c r="C11" i="48" s="1"/>
  <c r="W7" i="48"/>
  <c r="U7" i="48"/>
  <c r="Z7" i="49" s="1"/>
  <c r="W7" i="49" s="1"/>
  <c r="T7" i="48"/>
  <c r="D8" i="48" s="1"/>
  <c r="E8" i="48" s="1"/>
  <c r="AO7" i="48"/>
  <c r="BO45" i="49"/>
  <c r="AP7" i="48"/>
  <c r="AQ7" i="48"/>
  <c r="W45" i="49"/>
  <c r="L7" i="48"/>
  <c r="Z7" i="48" l="1"/>
  <c r="M7" i="48"/>
  <c r="O7" i="49" s="1"/>
  <c r="L7" i="49" s="1"/>
  <c r="AR7" i="48"/>
  <c r="AD7" i="48"/>
  <c r="D7" i="48"/>
  <c r="C7" i="48"/>
  <c r="B7" i="48"/>
  <c r="AT3" i="48"/>
  <c r="AL3" i="48"/>
  <c r="AG3" i="48"/>
  <c r="AB3" i="48"/>
  <c r="W3" i="48"/>
  <c r="O3" i="48"/>
  <c r="B8" i="48" s="1"/>
  <c r="AD50" i="59"/>
  <c r="AD49" i="59"/>
  <c r="AQ48" i="59"/>
  <c r="AI48" i="59"/>
  <c r="AD48" i="59"/>
  <c r="AQ47" i="59"/>
  <c r="AI47" i="59"/>
  <c r="AD47" i="59"/>
  <c r="AY46" i="59"/>
  <c r="AQ46" i="59"/>
  <c r="AI46" i="59"/>
  <c r="AD46" i="59"/>
  <c r="AY45" i="59"/>
  <c r="AQ45" i="59"/>
  <c r="AI45" i="59"/>
  <c r="AD45" i="59"/>
  <c r="AY44" i="59"/>
  <c r="AQ44" i="59"/>
  <c r="AI44" i="59"/>
  <c r="AD44" i="59"/>
  <c r="AY43" i="59"/>
  <c r="AQ43" i="59"/>
  <c r="AI43" i="59"/>
  <c r="AD43" i="59"/>
  <c r="T43" i="59"/>
  <c r="AY42" i="59"/>
  <c r="AQ42" i="59"/>
  <c r="AI42" i="59"/>
  <c r="AD42" i="59"/>
  <c r="T42" i="59"/>
  <c r="AY41" i="59"/>
  <c r="AQ41" i="59"/>
  <c r="AI41" i="59"/>
  <c r="AD41" i="59"/>
  <c r="T41" i="59"/>
  <c r="AY40" i="59"/>
  <c r="AQ40" i="59"/>
  <c r="AI40" i="59"/>
  <c r="AD40" i="59"/>
  <c r="T40" i="59"/>
  <c r="AY39" i="59"/>
  <c r="AQ39" i="59"/>
  <c r="AI39" i="59"/>
  <c r="AD39" i="59"/>
  <c r="T39" i="59"/>
  <c r="AY38" i="59"/>
  <c r="AQ38" i="59"/>
  <c r="AI38" i="59"/>
  <c r="AD38" i="59"/>
  <c r="T38" i="59"/>
  <c r="AY37" i="59"/>
  <c r="AI37" i="59"/>
  <c r="AD37" i="59"/>
  <c r="T37" i="59"/>
  <c r="AY36" i="59"/>
  <c r="AI36" i="59"/>
  <c r="AD36" i="59"/>
  <c r="T36" i="59"/>
  <c r="AI35" i="59"/>
  <c r="AD35" i="59"/>
  <c r="T35" i="59"/>
  <c r="AI34" i="59"/>
  <c r="AD34" i="59"/>
  <c r="T34" i="59"/>
  <c r="AI33" i="59"/>
  <c r="AD33" i="59"/>
  <c r="T33" i="59"/>
  <c r="AI32" i="59"/>
  <c r="AD32" i="59"/>
  <c r="AI31" i="59"/>
  <c r="AD31" i="59"/>
  <c r="AI30" i="59"/>
  <c r="AD30" i="59"/>
  <c r="AI29" i="59"/>
  <c r="AD29" i="59"/>
  <c r="AY28" i="59"/>
  <c r="AI28" i="59"/>
  <c r="AD28" i="59"/>
  <c r="AY27" i="59"/>
  <c r="AI27" i="59"/>
  <c r="AD27" i="59"/>
  <c r="AI26" i="59"/>
  <c r="AD26" i="59"/>
  <c r="AI25" i="59"/>
  <c r="AD25" i="59"/>
  <c r="AI24" i="59"/>
  <c r="AD24" i="59"/>
  <c r="AI23" i="59"/>
  <c r="AD23" i="59"/>
  <c r="AI22" i="59"/>
  <c r="AD22" i="59"/>
  <c r="E7" i="48" l="1"/>
  <c r="D11" i="48"/>
  <c r="E11" i="48" s="1"/>
  <c r="AE7" i="48"/>
  <c r="AT21" i="59"/>
  <c r="AI21" i="59"/>
  <c r="AD21" i="59"/>
  <c r="AY21" i="59"/>
  <c r="AW21" i="59"/>
  <c r="AX21" i="59"/>
  <c r="E4" i="48" l="1"/>
  <c r="AZ21" i="59"/>
  <c r="BR21" i="60" s="1"/>
  <c r="BO21" i="60" s="1"/>
  <c r="CA20" i="60"/>
  <c r="BZ20" i="60"/>
  <c r="B4" i="48"/>
  <c r="AT20" i="59"/>
  <c r="AI20" i="59"/>
  <c r="AD20" i="59"/>
  <c r="AW20" i="59"/>
  <c r="AX20" i="59"/>
  <c r="AY20" i="59"/>
  <c r="AZ20" i="59" l="1"/>
  <c r="BR20" i="60" s="1"/>
  <c r="BO20" i="60" s="1"/>
  <c r="CA19" i="60"/>
  <c r="BZ19" i="60"/>
  <c r="O20" i="59"/>
  <c r="S20" i="59"/>
  <c r="R20" i="59"/>
  <c r="T20" i="59"/>
  <c r="U20" i="59" l="1"/>
  <c r="AT19" i="59"/>
  <c r="AX19" i="59"/>
  <c r="AW19" i="59"/>
  <c r="AY19" i="59"/>
  <c r="AZ19" i="59" l="1"/>
  <c r="BR19" i="60" s="1"/>
  <c r="BO19" i="60" s="1"/>
  <c r="CA18" i="60"/>
  <c r="BZ18" i="60"/>
  <c r="O19" i="59"/>
  <c r="R19" i="59"/>
  <c r="T19" i="59"/>
  <c r="S19" i="59"/>
  <c r="U19" i="59" l="1"/>
  <c r="AT18" i="59"/>
  <c r="AX18" i="59"/>
  <c r="AW18" i="59"/>
  <c r="AY18" i="59"/>
  <c r="AZ18" i="59" l="1"/>
  <c r="BR18" i="60" s="1"/>
  <c r="BO18" i="60" s="1"/>
  <c r="CA17" i="60"/>
  <c r="BZ17" i="60"/>
  <c r="O18" i="59"/>
  <c r="S18" i="59"/>
  <c r="T18" i="59"/>
  <c r="R18" i="59"/>
  <c r="U18" i="59" l="1"/>
  <c r="AT17" i="59"/>
  <c r="AX17" i="59"/>
  <c r="AW17" i="59"/>
  <c r="AY17" i="59"/>
  <c r="AZ17" i="59" l="1"/>
  <c r="BR17" i="60" s="1"/>
  <c r="BO17" i="60" s="1"/>
  <c r="CA16" i="60"/>
  <c r="BZ16" i="60"/>
  <c r="O17" i="59"/>
  <c r="S17" i="59"/>
  <c r="R17" i="59"/>
  <c r="T17" i="59"/>
  <c r="U17" i="59" l="1"/>
  <c r="AT16" i="59"/>
  <c r="AW16" i="59"/>
  <c r="AY16" i="59"/>
  <c r="AX16" i="59"/>
  <c r="AZ16" i="59" l="1"/>
  <c r="BR16" i="60" s="1"/>
  <c r="BO16" i="60" s="1"/>
  <c r="CA15" i="60"/>
  <c r="BZ15" i="60"/>
  <c r="O16" i="59"/>
  <c r="R16" i="59"/>
  <c r="S16" i="59"/>
  <c r="T16" i="59"/>
  <c r="U16" i="59" l="1"/>
  <c r="AT15" i="59"/>
  <c r="AW15" i="59"/>
  <c r="AX15" i="59"/>
  <c r="AY15" i="59"/>
  <c r="AZ15" i="59" l="1"/>
  <c r="BR15" i="60" s="1"/>
  <c r="BO15" i="60" s="1"/>
  <c r="CA14" i="60"/>
  <c r="BZ14" i="60"/>
  <c r="O15" i="59"/>
  <c r="R15" i="59"/>
  <c r="S15" i="59"/>
  <c r="T15" i="59"/>
  <c r="U15" i="59" l="1"/>
  <c r="AT14" i="59"/>
  <c r="AW14" i="59"/>
  <c r="AY14" i="59"/>
  <c r="AX14" i="59"/>
  <c r="AZ14" i="59" l="1"/>
  <c r="BR14" i="60" s="1"/>
  <c r="BO14" i="60" s="1"/>
  <c r="CA13" i="60"/>
  <c r="BZ13" i="60"/>
  <c r="O14" i="59"/>
  <c r="R14" i="59"/>
  <c r="T14" i="59"/>
  <c r="S14" i="59"/>
  <c r="U14" i="59" l="1"/>
  <c r="AT13" i="59"/>
  <c r="AX13" i="59"/>
  <c r="AW13" i="59"/>
  <c r="AY13" i="59"/>
  <c r="AZ13" i="59" l="1"/>
  <c r="BR13" i="60" s="1"/>
  <c r="BO13" i="60" s="1"/>
  <c r="CA12" i="60"/>
  <c r="BZ12" i="60"/>
  <c r="O13" i="59"/>
  <c r="T13" i="59"/>
  <c r="R13" i="59"/>
  <c r="S13" i="59"/>
  <c r="U13" i="59" l="1"/>
  <c r="AT12" i="59"/>
  <c r="AX12" i="59"/>
  <c r="AW12" i="59"/>
  <c r="AY12" i="59"/>
  <c r="AZ12" i="59" l="1"/>
  <c r="BR12" i="60" s="1"/>
  <c r="BO12" i="60" s="1"/>
  <c r="CA11" i="60"/>
  <c r="BZ11" i="60"/>
  <c r="O12" i="59"/>
  <c r="D12" i="59"/>
  <c r="C12" i="59"/>
  <c r="R12" i="59"/>
  <c r="S12" i="59"/>
  <c r="T12" i="59"/>
  <c r="E12" i="59" l="1"/>
  <c r="U12" i="59"/>
  <c r="AT11" i="59"/>
  <c r="D11" i="59"/>
  <c r="C11" i="59"/>
  <c r="AW11" i="59"/>
  <c r="AX11" i="59"/>
  <c r="AY11" i="59"/>
  <c r="E11" i="59" l="1"/>
  <c r="AZ11" i="59"/>
  <c r="BR11" i="60" s="1"/>
  <c r="BO11" i="60" s="1"/>
  <c r="CA10" i="60"/>
  <c r="BZ10" i="60"/>
  <c r="AT10" i="59"/>
  <c r="AY10" i="59"/>
  <c r="AW10" i="59"/>
  <c r="AX10" i="59"/>
  <c r="T10" i="59"/>
  <c r="U10" i="59" l="1"/>
  <c r="AZ10" i="59"/>
  <c r="BR10" i="60" s="1"/>
  <c r="BO10" i="60" s="1"/>
  <c r="CA9" i="60"/>
  <c r="BZ9" i="60"/>
  <c r="D10" i="59"/>
  <c r="C10" i="59"/>
  <c r="AT9" i="59"/>
  <c r="AY9" i="59"/>
  <c r="AW9" i="59"/>
  <c r="AX9" i="59"/>
  <c r="T9" i="59"/>
  <c r="E10" i="59" l="1"/>
  <c r="U9" i="59"/>
  <c r="AZ9" i="59"/>
  <c r="BR9" i="60" s="1"/>
  <c r="BO9" i="60" s="1"/>
  <c r="CA8" i="60"/>
  <c r="BZ8" i="60"/>
  <c r="D9" i="59"/>
  <c r="C9" i="59"/>
  <c r="BO45" i="60"/>
  <c r="E9" i="59" l="1"/>
  <c r="AT8" i="59"/>
  <c r="AX8" i="59"/>
  <c r="AY8" i="59"/>
  <c r="T8" i="59"/>
  <c r="AW8" i="59"/>
  <c r="BO54" i="60" a="1"/>
  <c r="BO56" i="60" l="1"/>
  <c r="BO57" i="60"/>
  <c r="BO54" i="60"/>
  <c r="BO55" i="60"/>
  <c r="U8" i="59"/>
  <c r="AZ8" i="59"/>
  <c r="C8" i="59"/>
  <c r="AY7" i="59"/>
  <c r="BO58" i="60"/>
  <c r="AX7" i="59"/>
  <c r="AW7" i="59"/>
  <c r="BZ7" i="60" l="1"/>
  <c r="CA7" i="60"/>
  <c r="AZ7" i="59"/>
  <c r="U7" i="59"/>
  <c r="CK54" i="60"/>
  <c r="CE54" i="60"/>
  <c r="CK58" i="60"/>
  <c r="CE58" i="60"/>
  <c r="T7" i="59"/>
  <c r="D8" i="59" l="1"/>
  <c r="E8" i="59" s="1"/>
  <c r="D7" i="59"/>
  <c r="C7" i="59"/>
  <c r="B7" i="59"/>
  <c r="AT3" i="59"/>
  <c r="AL3" i="59"/>
  <c r="AG3" i="59"/>
  <c r="AB3" i="59"/>
  <c r="W3" i="59"/>
  <c r="O3" i="59"/>
  <c r="B8" i="59" s="1"/>
  <c r="AY50" i="18"/>
  <c r="AD50" i="18"/>
  <c r="AY49" i="18"/>
  <c r="AD49" i="18"/>
  <c r="AY48" i="18"/>
  <c r="AQ48" i="18"/>
  <c r="AI48" i="18"/>
  <c r="AD48" i="18"/>
  <c r="AY47" i="18"/>
  <c r="AQ47" i="18"/>
  <c r="AI47" i="18"/>
  <c r="AD47" i="18"/>
  <c r="AY46" i="18"/>
  <c r="AQ46" i="18"/>
  <c r="AI46" i="18"/>
  <c r="AD46" i="18"/>
  <c r="AY45" i="18"/>
  <c r="AQ45" i="18"/>
  <c r="AI45" i="18"/>
  <c r="AD45" i="18"/>
  <c r="AY44" i="18"/>
  <c r="AQ44" i="18"/>
  <c r="AI44" i="18"/>
  <c r="AD44" i="18"/>
  <c r="AY43" i="18"/>
  <c r="AQ43" i="18"/>
  <c r="AI43" i="18"/>
  <c r="AD43" i="18"/>
  <c r="AY42" i="18"/>
  <c r="AQ42" i="18"/>
  <c r="AI42" i="18"/>
  <c r="AD42" i="18"/>
  <c r="AY41" i="18"/>
  <c r="AQ41" i="18"/>
  <c r="AI41" i="18"/>
  <c r="AD41" i="18"/>
  <c r="AY40" i="18"/>
  <c r="AQ40" i="18"/>
  <c r="AI40" i="18"/>
  <c r="AD40" i="18"/>
  <c r="AQ39" i="18"/>
  <c r="AI39" i="18"/>
  <c r="AD39" i="18"/>
  <c r="AQ38" i="18"/>
  <c r="AI38" i="18"/>
  <c r="AD38" i="18"/>
  <c r="AI37" i="18"/>
  <c r="AD37" i="18"/>
  <c r="AI36" i="18"/>
  <c r="AD36" i="18"/>
  <c r="AI35" i="18"/>
  <c r="AD35" i="18"/>
  <c r="AI34" i="18"/>
  <c r="AD34" i="18"/>
  <c r="E7" i="59" l="1"/>
  <c r="E4" i="59" s="1"/>
  <c r="B4" i="59"/>
  <c r="AT33" i="18"/>
  <c r="AI33" i="18"/>
  <c r="AD33" i="18"/>
  <c r="AY33" i="18"/>
  <c r="AW33" i="18"/>
  <c r="AX33" i="18"/>
  <c r="AZ33" i="18" l="1"/>
  <c r="AT32" i="18"/>
  <c r="AI32" i="18"/>
  <c r="AD32" i="18"/>
  <c r="AX32" i="18"/>
  <c r="AW32" i="18"/>
  <c r="AY32" i="18"/>
  <c r="AZ32" i="18" l="1"/>
  <c r="AT31" i="18"/>
  <c r="AI31" i="18"/>
  <c r="AD31" i="18"/>
  <c r="AW31" i="18"/>
  <c r="AX31" i="18"/>
  <c r="AY31" i="18"/>
  <c r="AZ31" i="18" l="1"/>
  <c r="AT30" i="18"/>
  <c r="AI30" i="18"/>
  <c r="AD30" i="18"/>
  <c r="AY30" i="18"/>
  <c r="AX30" i="18"/>
  <c r="AW30" i="18"/>
  <c r="AZ30" i="18" l="1"/>
  <c r="AT29" i="18"/>
  <c r="AI29" i="18"/>
  <c r="AD29" i="18"/>
  <c r="AX29" i="18"/>
  <c r="AW29" i="18"/>
  <c r="AY29" i="18"/>
  <c r="AZ29" i="18" l="1"/>
  <c r="AT28" i="18"/>
  <c r="AI28" i="18"/>
  <c r="AD28" i="18"/>
  <c r="AX28" i="18"/>
  <c r="AW28" i="18"/>
  <c r="AY28" i="18"/>
  <c r="AZ28" i="18" l="1"/>
  <c r="AT27" i="18"/>
  <c r="AI27" i="18"/>
  <c r="AD27" i="18"/>
  <c r="AX27" i="18"/>
  <c r="AW27" i="18"/>
  <c r="AY27" i="18"/>
  <c r="AZ27" i="18" l="1"/>
  <c r="AT26" i="18"/>
  <c r="AI26" i="18"/>
  <c r="AD26" i="18"/>
  <c r="AX26" i="18"/>
  <c r="AW26" i="18"/>
  <c r="AY26" i="18"/>
  <c r="AZ26" i="18" l="1"/>
  <c r="AT25" i="18"/>
  <c r="AI25" i="18"/>
  <c r="AD25" i="18"/>
  <c r="AX25" i="18"/>
  <c r="AW25" i="18"/>
  <c r="AY25" i="18"/>
  <c r="AZ25" i="18" l="1"/>
  <c r="AT24" i="18"/>
  <c r="AI24" i="18"/>
  <c r="AD24" i="18"/>
  <c r="AX24" i="18"/>
  <c r="AW24" i="18"/>
  <c r="AY24" i="18"/>
  <c r="AZ24" i="18" l="1"/>
  <c r="O24" i="18"/>
  <c r="R24" i="18"/>
  <c r="S24" i="18"/>
  <c r="T24" i="18"/>
  <c r="U24" i="18" l="1"/>
  <c r="Z24" i="38" s="1"/>
  <c r="AT23" i="18"/>
  <c r="AI23" i="18"/>
  <c r="AD23" i="18"/>
  <c r="AW23" i="18"/>
  <c r="AX23" i="18"/>
  <c r="AY23" i="18"/>
  <c r="AZ23" i="18" l="1"/>
  <c r="W24" i="38"/>
  <c r="O17" i="38"/>
  <c r="L17" i="38" s="1"/>
  <c r="O23" i="18"/>
  <c r="S23" i="18"/>
  <c r="R23" i="18"/>
  <c r="T23" i="18"/>
  <c r="U23" i="18" l="1"/>
  <c r="Z23" i="38" s="1"/>
  <c r="AT22" i="18"/>
  <c r="AI22" i="18"/>
  <c r="AD22" i="18"/>
  <c r="AX22" i="18"/>
  <c r="AW22" i="18"/>
  <c r="AY22" i="18"/>
  <c r="AZ22" i="18" l="1"/>
  <c r="O16" i="38"/>
  <c r="L16" i="38" s="1"/>
  <c r="W23" i="38"/>
  <c r="O22" i="18"/>
  <c r="AI21" i="18"/>
  <c r="AD21" i="18"/>
  <c r="T22" i="18"/>
  <c r="R22" i="18"/>
  <c r="S22" i="18"/>
  <c r="U22" i="18" l="1"/>
  <c r="Z22" i="38" s="1"/>
  <c r="O21" i="18"/>
  <c r="R21" i="18"/>
  <c r="T21" i="18"/>
  <c r="S21" i="18"/>
  <c r="U21" i="18" l="1"/>
  <c r="Z21" i="38" s="1"/>
  <c r="W22" i="38"/>
  <c r="O15" i="38"/>
  <c r="L15" i="38" s="1"/>
  <c r="AT20" i="18"/>
  <c r="AI20" i="18"/>
  <c r="AD20" i="18"/>
  <c r="AX20" i="18"/>
  <c r="AW20" i="18"/>
  <c r="AY20" i="18"/>
  <c r="AZ20" i="18" l="1"/>
  <c r="BR20" i="38" s="1"/>
  <c r="BO20" i="38" s="1"/>
  <c r="CA20" i="38"/>
  <c r="BZ20" i="38"/>
  <c r="W21" i="38"/>
  <c r="O14" i="38"/>
  <c r="L14" i="38" s="1"/>
  <c r="O20" i="18"/>
  <c r="S20" i="18"/>
  <c r="T20" i="18"/>
  <c r="R20" i="18"/>
  <c r="U20" i="18" l="1"/>
  <c r="Z20" i="38" s="1"/>
  <c r="AT19" i="18"/>
  <c r="AI19" i="18"/>
  <c r="AD19" i="18"/>
  <c r="AW19" i="18"/>
  <c r="AX19" i="18"/>
  <c r="AY19" i="18"/>
  <c r="AZ19" i="18" l="1"/>
  <c r="BR19" i="38" s="1"/>
  <c r="BO19" i="38" s="1"/>
  <c r="CA19" i="38"/>
  <c r="BZ19" i="38"/>
  <c r="W20" i="38"/>
  <c r="O13" i="38"/>
  <c r="L13" i="38" s="1"/>
  <c r="O19" i="18"/>
  <c r="S19" i="18"/>
  <c r="R19" i="18"/>
  <c r="T19" i="18"/>
  <c r="U19" i="18" l="1"/>
  <c r="Z19" i="38" s="1"/>
  <c r="AT18" i="18"/>
  <c r="AI18" i="18"/>
  <c r="AD18" i="18"/>
  <c r="AW18" i="18"/>
  <c r="AX18" i="18"/>
  <c r="AY18" i="18"/>
  <c r="AZ18" i="18" l="1"/>
  <c r="BR18" i="38" s="1"/>
  <c r="BO18" i="38" s="1"/>
  <c r="CA18" i="38"/>
  <c r="BZ18" i="38"/>
  <c r="O12" i="38"/>
  <c r="L12" i="38" s="1"/>
  <c r="W19" i="38"/>
  <c r="O18" i="18"/>
  <c r="T18" i="18"/>
  <c r="R18" i="18"/>
  <c r="S18" i="18"/>
  <c r="U18" i="18" l="1"/>
  <c r="Z18" i="38" s="1"/>
  <c r="AT17" i="18"/>
  <c r="AI17" i="18"/>
  <c r="AD17" i="18"/>
  <c r="AY17" i="18"/>
  <c r="AW17" i="18"/>
  <c r="AX17" i="18"/>
  <c r="AZ17" i="18" l="1"/>
  <c r="BR17" i="38" s="1"/>
  <c r="BO17" i="38" s="1"/>
  <c r="CA17" i="38"/>
  <c r="BZ17" i="38"/>
  <c r="O11" i="38"/>
  <c r="L11" i="38" s="1"/>
  <c r="W18" i="38"/>
  <c r="O17" i="18"/>
  <c r="R17" i="18"/>
  <c r="S17" i="18"/>
  <c r="T17" i="18"/>
  <c r="U17" i="18" l="1"/>
  <c r="Z17" i="38" s="1"/>
  <c r="AT16" i="18"/>
  <c r="AI16" i="18"/>
  <c r="AD16" i="18"/>
  <c r="AW16" i="18"/>
  <c r="AX16" i="18"/>
  <c r="AY16" i="18"/>
  <c r="AZ16" i="18" l="1"/>
  <c r="BR16" i="38" s="1"/>
  <c r="BO16" i="38" s="1"/>
  <c r="CA16" i="38"/>
  <c r="BZ16" i="38"/>
  <c r="W17" i="38"/>
  <c r="O10" i="38"/>
  <c r="L10" i="38" s="1"/>
  <c r="O16" i="18"/>
  <c r="T16" i="18"/>
  <c r="R16" i="18"/>
  <c r="S16" i="18"/>
  <c r="U16" i="18" l="1"/>
  <c r="Z16" i="38" s="1"/>
  <c r="W16" i="38" s="1"/>
  <c r="AT15" i="18"/>
  <c r="AI15" i="18"/>
  <c r="AW15" i="18"/>
  <c r="AX15" i="18"/>
  <c r="AY15" i="18"/>
  <c r="AZ15" i="18" l="1"/>
  <c r="BR15" i="38" s="1"/>
  <c r="BO15" i="38" s="1"/>
  <c r="CA15" i="38"/>
  <c r="BZ15" i="38"/>
  <c r="AB15" i="18"/>
  <c r="AD15" i="18"/>
  <c r="AE15" i="18" l="1"/>
  <c r="BG15" i="38" s="1"/>
  <c r="BD15" i="38" s="1"/>
  <c r="O15" i="18"/>
  <c r="R15" i="18"/>
  <c r="T15" i="18"/>
  <c r="S15" i="18"/>
  <c r="U15" i="18" l="1"/>
  <c r="Z15" i="38" s="1"/>
  <c r="W15" i="38" s="1"/>
  <c r="AT14" i="18"/>
  <c r="AI14" i="18"/>
  <c r="AW14" i="18"/>
  <c r="AY14" i="18"/>
  <c r="AX14" i="18"/>
  <c r="AZ14" i="18" l="1"/>
  <c r="BR14" i="38" s="1"/>
  <c r="BO14" i="38" s="1"/>
  <c r="CA14" i="38"/>
  <c r="BZ14" i="38"/>
  <c r="AB14" i="18"/>
  <c r="AD14" i="18"/>
  <c r="AE14" i="18" l="1"/>
  <c r="BG14" i="38" s="1"/>
  <c r="BD14" i="38" s="1"/>
  <c r="O14" i="18"/>
  <c r="R14" i="18"/>
  <c r="T14" i="18"/>
  <c r="S14" i="18"/>
  <c r="U14" i="18" l="1"/>
  <c r="Z14" i="38" s="1"/>
  <c r="W14" i="38" s="1"/>
  <c r="AT13" i="18"/>
  <c r="AW13" i="18"/>
  <c r="AX13" i="18"/>
  <c r="AY13" i="18"/>
  <c r="AZ13" i="18" l="1"/>
  <c r="BR13" i="38" s="1"/>
  <c r="BO13" i="38" s="1"/>
  <c r="CA13" i="38"/>
  <c r="BZ13" i="38"/>
  <c r="AL13" i="18"/>
  <c r="AP13" i="18"/>
  <c r="AO13" i="18"/>
  <c r="AQ13" i="18"/>
  <c r="AR13" i="18" l="1"/>
  <c r="BR22" i="38" s="1"/>
  <c r="BO22" i="38" s="1"/>
  <c r="AG13" i="18"/>
  <c r="AI13" i="18"/>
  <c r="AJ13" i="18" l="1"/>
  <c r="AB13" i="18"/>
  <c r="AD13" i="18"/>
  <c r="AE13" i="18" l="1"/>
  <c r="BG13" i="38" s="1"/>
  <c r="BD13" i="38" s="1"/>
  <c r="W13" i="18"/>
  <c r="Y13" i="18"/>
  <c r="Z13" i="18" l="1"/>
  <c r="AK13" i="38" s="1"/>
  <c r="AH13" i="38" s="1"/>
  <c r="O13" i="18"/>
  <c r="T13" i="18"/>
  <c r="R13" i="18"/>
  <c r="S13" i="18"/>
  <c r="U13" i="18" l="1"/>
  <c r="Z13" i="38" s="1"/>
  <c r="W13" i="38" s="1"/>
  <c r="AT12" i="18"/>
  <c r="AY12" i="18"/>
  <c r="AW12" i="18"/>
  <c r="AX12" i="18"/>
  <c r="AZ12" i="18" l="1"/>
  <c r="BR12" i="38" s="1"/>
  <c r="BO12" i="38" s="1"/>
  <c r="CA12" i="38"/>
  <c r="BZ12" i="38"/>
  <c r="AL12" i="18"/>
  <c r="AP12" i="18"/>
  <c r="AO12" i="18"/>
  <c r="AQ12" i="18"/>
  <c r="AR12" i="18" l="1"/>
  <c r="BR21" i="38" s="1"/>
  <c r="BO21" i="38" s="1"/>
  <c r="AG12" i="18"/>
  <c r="AI12" i="18"/>
  <c r="AJ12" i="18" l="1"/>
  <c r="AB12" i="18"/>
  <c r="AD12" i="18"/>
  <c r="AE12" i="18" l="1"/>
  <c r="BG12" i="38" s="1"/>
  <c r="BD12" i="38" s="1"/>
  <c r="W12" i="18"/>
  <c r="Y12" i="18"/>
  <c r="Z12" i="18" l="1"/>
  <c r="AK12" i="38" s="1"/>
  <c r="AH12" i="38" s="1"/>
  <c r="O12" i="18"/>
  <c r="S12" i="18"/>
  <c r="R12" i="18"/>
  <c r="T12" i="18"/>
  <c r="U12" i="18" l="1"/>
  <c r="Z12" i="38" s="1"/>
  <c r="W12" i="38" s="1"/>
  <c r="AT11" i="18"/>
  <c r="AW11" i="18"/>
  <c r="AY11" i="18"/>
  <c r="AX11" i="18"/>
  <c r="AZ11" i="18" l="1"/>
  <c r="BR11" i="38" s="1"/>
  <c r="BO11" i="38" s="1"/>
  <c r="CA11" i="38"/>
  <c r="BZ11" i="38"/>
  <c r="AL11" i="18"/>
  <c r="AO11" i="18"/>
  <c r="AP11" i="18"/>
  <c r="AQ11" i="18"/>
  <c r="AR11" i="18" l="1"/>
  <c r="AG11" i="18"/>
  <c r="AI11" i="18"/>
  <c r="AJ11" i="18" l="1"/>
  <c r="AB11" i="18"/>
  <c r="AD11" i="18"/>
  <c r="AE11" i="18" l="1"/>
  <c r="BG11" i="38" s="1"/>
  <c r="BD11" i="38" s="1"/>
  <c r="W11" i="18"/>
  <c r="Y11" i="18"/>
  <c r="T11" i="18"/>
  <c r="U11" i="18" l="1"/>
  <c r="Z11" i="38" s="1"/>
  <c r="W11" i="38" s="1"/>
  <c r="Z11" i="18"/>
  <c r="AK11" i="38" s="1"/>
  <c r="AH11" i="38" s="1"/>
  <c r="AT10" i="18"/>
  <c r="AW10" i="18"/>
  <c r="AY10" i="18"/>
  <c r="AX10" i="18"/>
  <c r="AZ10" i="18" l="1"/>
  <c r="BR10" i="38" s="1"/>
  <c r="BO10" i="38" s="1"/>
  <c r="CA10" i="38"/>
  <c r="BZ10" i="38"/>
  <c r="AL10" i="18"/>
  <c r="AP10" i="18"/>
  <c r="AO10" i="18"/>
  <c r="AQ10" i="18"/>
  <c r="AR10" i="18" l="1"/>
  <c r="AG10" i="18"/>
  <c r="AI10" i="18"/>
  <c r="AJ10" i="18" l="1"/>
  <c r="AB10" i="18"/>
  <c r="AD10" i="18"/>
  <c r="AE10" i="18" l="1"/>
  <c r="BG10" i="38" s="1"/>
  <c r="BD10" i="38" s="1"/>
  <c r="W10" i="18"/>
  <c r="T10" i="18"/>
  <c r="Y10" i="18"/>
  <c r="U10" i="18" l="1"/>
  <c r="Z10" i="38" s="1"/>
  <c r="W10" i="38" s="1"/>
  <c r="Z10" i="18"/>
  <c r="AK10" i="38" s="1"/>
  <c r="AH10" i="38" s="1"/>
  <c r="AT9" i="18"/>
  <c r="AW9" i="18"/>
  <c r="AY9" i="18"/>
  <c r="AX9" i="18"/>
  <c r="AZ9" i="18" l="1"/>
  <c r="BR9" i="38" s="1"/>
  <c r="BO9" i="38" s="1"/>
  <c r="CA9" i="38"/>
  <c r="BZ9" i="38"/>
  <c r="AL9" i="18"/>
  <c r="AO9" i="18"/>
  <c r="AP9" i="18"/>
  <c r="AQ9" i="18"/>
  <c r="AR9" i="18" l="1"/>
  <c r="AG9" i="18"/>
  <c r="AI9" i="18"/>
  <c r="AJ9" i="18" l="1"/>
  <c r="AB9" i="18"/>
  <c r="AD9" i="18"/>
  <c r="AE9" i="18" l="1"/>
  <c r="BG9" i="38" s="1"/>
  <c r="BD9" i="38" s="1"/>
  <c r="W9" i="18"/>
  <c r="BD45" i="38"/>
  <c r="Y9" i="18"/>
  <c r="T9" i="18"/>
  <c r="U9" i="18" l="1"/>
  <c r="Z9" i="38" s="1"/>
  <c r="Z9" i="18"/>
  <c r="AK9" i="38" s="1"/>
  <c r="AH9" i="38" s="1"/>
  <c r="D9" i="18"/>
  <c r="C9" i="18"/>
  <c r="E9" i="18" l="1"/>
  <c r="W9" i="38"/>
  <c r="O9" i="38"/>
  <c r="L9" i="38" s="1"/>
  <c r="AT8" i="18"/>
  <c r="AX8" i="18"/>
  <c r="AW8" i="18"/>
  <c r="AY8" i="18"/>
  <c r="AZ8" i="18" l="1"/>
  <c r="CA8" i="38"/>
  <c r="BZ8" i="38"/>
  <c r="AL8" i="18"/>
  <c r="AP8" i="18"/>
  <c r="AO8" i="18"/>
  <c r="AQ8" i="18"/>
  <c r="AR8" i="18" l="1"/>
  <c r="BO8" i="38"/>
  <c r="BR8" i="38"/>
  <c r="AG8" i="18"/>
  <c r="AB8" i="18"/>
  <c r="BO45" i="38"/>
  <c r="AI8" i="18"/>
  <c r="AJ8" i="18" l="1"/>
  <c r="W8" i="18"/>
  <c r="Y8" i="18"/>
  <c r="T8" i="18"/>
  <c r="AD8" i="18" l="1"/>
  <c r="U8" i="18"/>
  <c r="Z8" i="18"/>
  <c r="AK8" i="38" s="1"/>
  <c r="AH8" i="38" s="1"/>
  <c r="C8" i="18"/>
  <c r="AW7" i="18"/>
  <c r="AX7" i="18"/>
  <c r="BZ7" i="38" l="1"/>
  <c r="CA7" i="38"/>
  <c r="Z8" i="38"/>
  <c r="AE8" i="18"/>
  <c r="BG8" i="38" s="1"/>
  <c r="BD8" i="38" s="1"/>
  <c r="W8" i="38" l="1"/>
  <c r="O8" i="38"/>
  <c r="L8" i="38" s="1"/>
  <c r="AL7" i="18"/>
  <c r="AO7" i="18"/>
  <c r="AP7" i="18"/>
  <c r="AQ7" i="18"/>
  <c r="AR7" i="18" l="1"/>
  <c r="AG7" i="18"/>
  <c r="AI7" i="18"/>
  <c r="D12" i="18" l="1"/>
  <c r="AJ7" i="18"/>
  <c r="C12" i="18"/>
  <c r="AB7" i="18"/>
  <c r="AD7" i="18"/>
  <c r="E12" i="18" l="1"/>
  <c r="D11" i="18"/>
  <c r="AE7" i="18"/>
  <c r="BG7" i="38" s="1"/>
  <c r="BD7" i="38" s="1"/>
  <c r="C11" i="18"/>
  <c r="W7" i="18"/>
  <c r="T7" i="18"/>
  <c r="Y7" i="18"/>
  <c r="E11" i="18" l="1"/>
  <c r="D8" i="18"/>
  <c r="E8" i="18" s="1"/>
  <c r="U7" i="18"/>
  <c r="Z7" i="38" s="1"/>
  <c r="D10" i="18"/>
  <c r="Z7" i="18"/>
  <c r="AK7" i="38" s="1"/>
  <c r="AH7" i="38" s="1"/>
  <c r="C10" i="18"/>
  <c r="D7" i="18"/>
  <c r="C7" i="18"/>
  <c r="B7" i="18"/>
  <c r="AT3" i="18"/>
  <c r="AL3" i="18"/>
  <c r="AG3" i="18"/>
  <c r="AB3" i="18"/>
  <c r="W3" i="18"/>
  <c r="O3" i="18"/>
  <c r="B8" i="18" s="1"/>
  <c r="AH45" i="38"/>
  <c r="E10" i="18" l="1"/>
  <c r="B4" i="18"/>
  <c r="E7" i="18"/>
  <c r="W7" i="38"/>
  <c r="O7" i="38"/>
  <c r="L7" i="38" s="1"/>
  <c r="G69" i="46"/>
  <c r="W45" i="38"/>
  <c r="I69" i="46"/>
  <c r="L45" i="38"/>
  <c r="L54" i="38" s="1" a="1"/>
  <c r="E4" i="18" l="1"/>
  <c r="L57" i="38"/>
  <c r="L56" i="38"/>
  <c r="L55" i="38"/>
  <c r="L54" i="38"/>
  <c r="J69" i="46"/>
  <c r="G68" i="46"/>
  <c r="I68" i="46"/>
  <c r="K7" i="37"/>
  <c r="J68" i="46" l="1"/>
  <c r="G67" i="46"/>
  <c r="W54" i="38" a="1"/>
  <c r="I67" i="46"/>
  <c r="J67" i="46" l="1"/>
  <c r="W57" i="38"/>
  <c r="W56" i="38"/>
  <c r="W55" i="38"/>
  <c r="W54" i="38"/>
  <c r="G66" i="46"/>
  <c r="I66" i="46"/>
  <c r="K9" i="37"/>
  <c r="J66" i="46" l="1"/>
  <c r="G65" i="46"/>
  <c r="AH54" i="38" a="1"/>
  <c r="I65" i="46"/>
  <c r="J65" i="46" l="1"/>
  <c r="AH57" i="38"/>
  <c r="AH56" i="38"/>
  <c r="AH54" i="38"/>
  <c r="AH55" i="38"/>
  <c r="G64" i="46"/>
  <c r="I64" i="46"/>
  <c r="K10" i="37"/>
  <c r="J64" i="46" l="1"/>
  <c r="G63" i="46"/>
  <c r="I63" i="46"/>
  <c r="J63" i="46" l="1"/>
  <c r="G62" i="46"/>
  <c r="I62" i="46"/>
  <c r="J62" i="46" l="1"/>
  <c r="G61" i="46"/>
  <c r="I61" i="46"/>
  <c r="J61" i="46" l="1"/>
  <c r="G60" i="46"/>
  <c r="I60" i="46"/>
  <c r="J60" i="46" l="1"/>
  <c r="G59" i="46"/>
  <c r="I59" i="46"/>
  <c r="J59" i="46" l="1"/>
  <c r="G58" i="46"/>
  <c r="I58" i="46"/>
  <c r="J58" i="46" l="1"/>
  <c r="G57" i="46"/>
  <c r="I57" i="46"/>
  <c r="J57" i="46" l="1"/>
  <c r="G56" i="46"/>
  <c r="I56" i="46"/>
  <c r="J56" i="46" l="1"/>
  <c r="G55" i="46"/>
  <c r="I55" i="46"/>
  <c r="J55" i="46" l="1"/>
  <c r="G54" i="46"/>
  <c r="I54" i="46"/>
  <c r="J54" i="46" l="1"/>
  <c r="G53" i="46"/>
  <c r="I53" i="46"/>
  <c r="J53" i="46" l="1"/>
  <c r="G52" i="46"/>
  <c r="I52" i="46"/>
  <c r="J52" i="46" l="1"/>
  <c r="G51" i="46"/>
  <c r="I51" i="46"/>
  <c r="J51" i="46" l="1"/>
  <c r="O33" i="47" s="1"/>
  <c r="L33" i="47" s="1"/>
  <c r="G50" i="46"/>
  <c r="AO49" i="46"/>
  <c r="I50" i="46"/>
  <c r="J50" i="46" l="1"/>
  <c r="O32" i="47" s="1"/>
  <c r="L32" i="47" s="1"/>
  <c r="G49" i="46"/>
  <c r="AO48" i="46"/>
  <c r="AF48" i="46"/>
  <c r="AA48" i="46"/>
  <c r="V48" i="46"/>
  <c r="I49" i="46"/>
  <c r="J49" i="46" l="1"/>
  <c r="O31" i="47" s="1"/>
  <c r="L31" i="47" s="1"/>
  <c r="G48" i="46"/>
  <c r="AO47" i="46"/>
  <c r="AF47" i="46"/>
  <c r="AA47" i="46"/>
  <c r="V47" i="46"/>
  <c r="I48" i="46"/>
  <c r="J48" i="46" l="1"/>
  <c r="O30" i="47" s="1"/>
  <c r="L30" i="47" s="1"/>
  <c r="G47" i="46"/>
  <c r="AO46" i="46"/>
  <c r="AF46" i="46"/>
  <c r="AA46" i="46"/>
  <c r="V46" i="46"/>
  <c r="I47" i="46"/>
  <c r="J47" i="46" l="1"/>
  <c r="O29" i="47" s="1"/>
  <c r="L29" i="47" s="1"/>
  <c r="G46" i="46"/>
  <c r="AO45" i="46"/>
  <c r="AF45" i="46"/>
  <c r="AA45" i="46"/>
  <c r="V45" i="46"/>
  <c r="I46" i="46"/>
  <c r="J46" i="46" l="1"/>
  <c r="O28" i="47" s="1"/>
  <c r="L28" i="47" s="1"/>
  <c r="G45" i="46"/>
  <c r="AO44" i="46"/>
  <c r="AF44" i="46"/>
  <c r="AA44" i="46"/>
  <c r="V44" i="46"/>
  <c r="I45" i="46"/>
  <c r="J45" i="46" l="1"/>
  <c r="O27" i="47" s="1"/>
  <c r="L27" i="47" s="1"/>
  <c r="G44" i="46"/>
  <c r="AO43" i="46"/>
  <c r="AF43" i="46"/>
  <c r="AA43" i="46"/>
  <c r="V43" i="46"/>
  <c r="I44" i="46"/>
  <c r="J44" i="46" l="1"/>
  <c r="O26" i="47" s="1"/>
  <c r="L26" i="47" s="1"/>
  <c r="G43" i="46"/>
  <c r="AO42" i="46"/>
  <c r="AF42" i="46"/>
  <c r="AA42" i="46"/>
  <c r="V42" i="46"/>
  <c r="I43" i="46"/>
  <c r="J43" i="46" l="1"/>
  <c r="O25" i="47" s="1"/>
  <c r="L25" i="47" s="1"/>
  <c r="G42" i="46"/>
  <c r="AO41" i="46"/>
  <c r="AF41" i="46"/>
  <c r="AA41" i="46"/>
  <c r="V41" i="46"/>
  <c r="I42" i="46"/>
  <c r="J42" i="46" l="1"/>
  <c r="O24" i="47" s="1"/>
  <c r="L24" i="47" s="1"/>
  <c r="G41" i="46"/>
  <c r="I41" i="46"/>
  <c r="J41" i="46" l="1"/>
  <c r="O23" i="47" s="1"/>
  <c r="L23" i="47" s="1"/>
  <c r="AR40" i="46"/>
  <c r="AO40" i="46"/>
  <c r="AF40" i="46"/>
  <c r="AA40" i="46"/>
  <c r="V40" i="46"/>
  <c r="AW40" i="46"/>
  <c r="AX40" i="46" l="1"/>
  <c r="CC36" i="47" s="1"/>
  <c r="BZ36" i="47" s="1"/>
  <c r="G40" i="46"/>
  <c r="I40" i="46"/>
  <c r="J40" i="46" l="1"/>
  <c r="O22" i="47" s="1"/>
  <c r="L22" i="47" s="1"/>
  <c r="AR39" i="46"/>
  <c r="AO39" i="46"/>
  <c r="AF39" i="46"/>
  <c r="AA39" i="46"/>
  <c r="V39" i="46"/>
  <c r="AW39" i="46"/>
  <c r="AX39" i="46" l="1"/>
  <c r="CC35" i="47" s="1"/>
  <c r="BZ35" i="47" s="1"/>
  <c r="G39" i="46"/>
  <c r="I39" i="46"/>
  <c r="J39" i="46" l="1"/>
  <c r="O21" i="47" s="1"/>
  <c r="L21" i="47" s="1"/>
  <c r="AR38" i="46"/>
  <c r="AF38" i="46"/>
  <c r="AA38" i="46"/>
  <c r="AW38" i="46"/>
  <c r="AX38" i="46" l="1"/>
  <c r="CC34" i="47" s="1"/>
  <c r="BZ34" i="47" s="1"/>
  <c r="G38" i="46"/>
  <c r="I38" i="46"/>
  <c r="J38" i="46" l="1"/>
  <c r="O20" i="47" s="1"/>
  <c r="L20" i="47" s="1"/>
  <c r="AR37" i="46"/>
  <c r="AF37" i="46"/>
  <c r="AA37" i="46"/>
  <c r="AW37" i="46"/>
  <c r="AX37" i="46" l="1"/>
  <c r="CC33" i="47" s="1"/>
  <c r="BZ33" i="47" s="1"/>
  <c r="G37" i="46"/>
  <c r="I37" i="46"/>
  <c r="J37" i="46" l="1"/>
  <c r="AR36" i="46"/>
  <c r="AF36" i="46"/>
  <c r="AA36" i="46"/>
  <c r="AW36" i="46"/>
  <c r="AX36" i="46" l="1"/>
  <c r="CC32" i="47" s="1"/>
  <c r="BZ32" i="47" s="1"/>
  <c r="G36" i="46"/>
  <c r="I36" i="46"/>
  <c r="J36" i="46" l="1"/>
  <c r="AR35" i="46"/>
  <c r="AF35" i="46"/>
  <c r="AA35" i="46"/>
  <c r="AW35" i="46"/>
  <c r="AX35" i="46" l="1"/>
  <c r="CC31" i="47" s="1"/>
  <c r="BZ31" i="47" s="1"/>
  <c r="G35" i="46"/>
  <c r="I35" i="46"/>
  <c r="J35" i="46" l="1"/>
  <c r="AR34" i="46"/>
  <c r="AF34" i="46"/>
  <c r="AA34" i="46"/>
  <c r="AW34" i="46"/>
  <c r="AX34" i="46" l="1"/>
  <c r="CC30" i="47" s="1"/>
  <c r="BZ30" i="47" s="1"/>
  <c r="G34" i="46"/>
  <c r="I34" i="46"/>
  <c r="J34" i="46" l="1"/>
  <c r="AR33" i="46"/>
  <c r="AF33" i="46"/>
  <c r="AA33" i="46"/>
  <c r="AW33" i="46"/>
  <c r="AX33" i="46" l="1"/>
  <c r="CC29" i="47" s="1"/>
  <c r="BZ29" i="47" s="1"/>
  <c r="G33" i="46"/>
  <c r="I33" i="46"/>
  <c r="J33" i="46" l="1"/>
  <c r="AR32" i="46"/>
  <c r="AW32" i="46"/>
  <c r="AX32" i="46" l="1"/>
  <c r="CC28" i="47" s="1"/>
  <c r="BZ28" i="47" s="1"/>
  <c r="AJ32" i="46"/>
  <c r="AO32" i="46"/>
  <c r="AM32" i="46"/>
  <c r="AN32" i="46"/>
  <c r="AP32" i="46" l="1"/>
  <c r="CL31" i="47"/>
  <c r="CK31" i="47"/>
  <c r="AD32" i="46"/>
  <c r="AA32" i="46"/>
  <c r="AF32" i="46"/>
  <c r="AG32" i="46" l="1"/>
  <c r="G32" i="46"/>
  <c r="I32" i="46"/>
  <c r="J32" i="46" l="1"/>
  <c r="AR31" i="46"/>
  <c r="AW31" i="46"/>
  <c r="AX31" i="46" l="1"/>
  <c r="CC27" i="47" s="1"/>
  <c r="BZ27" i="47" s="1"/>
  <c r="AJ31" i="46"/>
  <c r="AN31" i="46"/>
  <c r="AM31" i="46"/>
  <c r="AO31" i="46"/>
  <c r="AP31" i="46" l="1"/>
  <c r="CL30" i="47"/>
  <c r="CK30" i="47"/>
  <c r="AD31" i="46"/>
  <c r="AA31" i="46"/>
  <c r="AF31" i="46"/>
  <c r="AG31" i="46" l="1"/>
  <c r="T31" i="46"/>
  <c r="V31" i="46"/>
  <c r="W31" i="46" l="1"/>
  <c r="G31" i="46"/>
  <c r="I31" i="46"/>
  <c r="J31" i="46" l="1"/>
  <c r="Z49" i="47"/>
  <c r="W49" i="47" s="1"/>
  <c r="AK31" i="47"/>
  <c r="AH31" i="47" s="1"/>
  <c r="AR30" i="46"/>
  <c r="AW30" i="46"/>
  <c r="AX30" i="46" l="1"/>
  <c r="CC26" i="47" s="1"/>
  <c r="BZ26" i="47" s="1"/>
  <c r="AJ30" i="46"/>
  <c r="AN30" i="46"/>
  <c r="AM30" i="46"/>
  <c r="AO30" i="46"/>
  <c r="AP30" i="46" l="1"/>
  <c r="CL29" i="47"/>
  <c r="CK29" i="47"/>
  <c r="AD30" i="46"/>
  <c r="AA30" i="46"/>
  <c r="AF30" i="46"/>
  <c r="AG30" i="46" l="1"/>
  <c r="T30" i="46"/>
  <c r="V30" i="46"/>
  <c r="W30" i="46" l="1"/>
  <c r="G30" i="46"/>
  <c r="I30" i="46"/>
  <c r="J30" i="46" l="1"/>
  <c r="Z48" i="47"/>
  <c r="W48" i="47" s="1"/>
  <c r="AK30" i="47"/>
  <c r="AH30" i="47" s="1"/>
  <c r="AR29" i="46"/>
  <c r="AW29" i="46"/>
  <c r="AX29" i="46" l="1"/>
  <c r="CC25" i="47" s="1"/>
  <c r="BZ25" i="47" s="1"/>
  <c r="AJ29" i="46"/>
  <c r="AM29" i="46"/>
  <c r="AN29" i="46"/>
  <c r="AO29" i="46"/>
  <c r="AP29" i="46" l="1"/>
  <c r="CL28" i="47"/>
  <c r="CK28" i="47"/>
  <c r="AD29" i="46"/>
  <c r="AA29" i="46"/>
  <c r="AF29" i="46"/>
  <c r="AG29" i="46" l="1"/>
  <c r="T29" i="46"/>
  <c r="V29" i="46"/>
  <c r="W29" i="46" l="1"/>
  <c r="L29" i="46"/>
  <c r="Q29" i="46"/>
  <c r="R29" i="46" l="1"/>
  <c r="Z31" i="47" s="1"/>
  <c r="W31" i="47" s="1"/>
  <c r="Z47" i="47"/>
  <c r="W47" i="47" s="1"/>
  <c r="AK29" i="47"/>
  <c r="AH29" i="47" s="1"/>
  <c r="G29" i="46"/>
  <c r="I29" i="46"/>
  <c r="J29" i="46" l="1"/>
  <c r="AR28" i="46"/>
  <c r="AW28" i="46"/>
  <c r="AX28" i="46" l="1"/>
  <c r="CC24" i="47" s="1"/>
  <c r="BZ24" i="47" s="1"/>
  <c r="AJ28" i="46"/>
  <c r="AM28" i="46"/>
  <c r="AO28" i="46"/>
  <c r="AN28" i="46"/>
  <c r="AP28" i="46" l="1"/>
  <c r="AD28" i="46"/>
  <c r="AA28" i="46"/>
  <c r="AF28" i="46"/>
  <c r="AG28" i="46" l="1"/>
  <c r="T28" i="46"/>
  <c r="V28" i="46"/>
  <c r="W28" i="46" l="1"/>
  <c r="L28" i="46"/>
  <c r="Q28" i="46"/>
  <c r="R28" i="46" l="1"/>
  <c r="Z30" i="47" s="1"/>
  <c r="W30" i="47" s="1"/>
  <c r="Z46" i="47"/>
  <c r="W46" i="47" s="1"/>
  <c r="AK28" i="47"/>
  <c r="AH28" i="47" s="1"/>
  <c r="G28" i="46"/>
  <c r="I28" i="46"/>
  <c r="J28" i="46" l="1"/>
  <c r="AR27" i="46"/>
  <c r="AW27" i="46"/>
  <c r="AX27" i="46" l="1"/>
  <c r="CC23" i="47" s="1"/>
  <c r="BZ23" i="47" s="1"/>
  <c r="AJ27" i="46"/>
  <c r="AM27" i="46"/>
  <c r="AO27" i="46"/>
  <c r="AN27" i="46"/>
  <c r="AP27" i="46" l="1"/>
  <c r="CL27" i="47"/>
  <c r="CK27" i="47"/>
  <c r="AD27" i="46"/>
  <c r="AA27" i="46"/>
  <c r="AF27" i="46"/>
  <c r="AG27" i="46" l="1"/>
  <c r="T27" i="46"/>
  <c r="V27" i="46"/>
  <c r="W27" i="46" l="1"/>
  <c r="L27" i="46"/>
  <c r="Q27" i="46"/>
  <c r="R27" i="46" l="1"/>
  <c r="Z29" i="47" s="1"/>
  <c r="W29" i="47" s="1"/>
  <c r="Z45" i="47"/>
  <c r="W45" i="47" s="1"/>
  <c r="AK27" i="47"/>
  <c r="AH27" i="47" s="1"/>
  <c r="G27" i="46"/>
  <c r="I27" i="46"/>
  <c r="J27" i="46" l="1"/>
  <c r="AR26" i="46"/>
  <c r="AW26" i="46"/>
  <c r="AX26" i="46" l="1"/>
  <c r="CC22" i="47" s="1"/>
  <c r="BZ22" i="47" s="1"/>
  <c r="AJ26" i="46"/>
  <c r="AN26" i="46"/>
  <c r="AM26" i="46"/>
  <c r="AO26" i="46"/>
  <c r="AP26" i="46" l="1"/>
  <c r="CL26" i="47"/>
  <c r="CK26" i="47"/>
  <c r="AD26" i="46"/>
  <c r="AA26" i="46"/>
  <c r="AF26" i="46"/>
  <c r="AG26" i="46" l="1"/>
  <c r="T26" i="46"/>
  <c r="V26" i="46"/>
  <c r="W26" i="46" l="1"/>
  <c r="L26" i="46"/>
  <c r="Q26" i="46"/>
  <c r="R26" i="46" l="1"/>
  <c r="Z28" i="47" s="1"/>
  <c r="W28" i="47" s="1"/>
  <c r="Z44" i="47"/>
  <c r="W44" i="47" s="1"/>
  <c r="AK26" i="47"/>
  <c r="AH26" i="47" s="1"/>
  <c r="G26" i="46"/>
  <c r="I26" i="46"/>
  <c r="J26" i="46" l="1"/>
  <c r="AR25" i="46"/>
  <c r="AW25" i="46"/>
  <c r="AX25" i="46" l="1"/>
  <c r="CC21" i="47" s="1"/>
  <c r="BZ21" i="47" s="1"/>
  <c r="AJ25" i="46"/>
  <c r="AO25" i="46"/>
  <c r="AM25" i="46"/>
  <c r="AN25" i="46"/>
  <c r="AP25" i="46" l="1"/>
  <c r="CL25" i="47"/>
  <c r="CK25" i="47"/>
  <c r="AD25" i="46"/>
  <c r="AA25" i="46"/>
  <c r="AF25" i="46"/>
  <c r="AG25" i="46" l="1"/>
  <c r="T25" i="46"/>
  <c r="V25" i="46"/>
  <c r="W25" i="46" l="1"/>
  <c r="L25" i="46"/>
  <c r="Q25" i="46"/>
  <c r="R25" i="46" l="1"/>
  <c r="Z27" i="47" s="1"/>
  <c r="W27" i="47" s="1"/>
  <c r="Z43" i="47"/>
  <c r="W43" i="47" s="1"/>
  <c r="AK25" i="47"/>
  <c r="AH25" i="47" s="1"/>
  <c r="G25" i="46"/>
  <c r="I25" i="46"/>
  <c r="J25" i="46" l="1"/>
  <c r="AR24" i="46"/>
  <c r="AW24" i="46"/>
  <c r="AX24" i="46" l="1"/>
  <c r="AJ24" i="46"/>
  <c r="AN24" i="46"/>
  <c r="AM24" i="46"/>
  <c r="AO24" i="46"/>
  <c r="AP24" i="46" l="1"/>
  <c r="CL24" i="47"/>
  <c r="CK24" i="47"/>
  <c r="AD24" i="46"/>
  <c r="AF24" i="46"/>
  <c r="AG24" i="46" l="1"/>
  <c r="Y24" i="46"/>
  <c r="AA24" i="46"/>
  <c r="AB24" i="46" l="1"/>
  <c r="T24" i="46"/>
  <c r="V24" i="46"/>
  <c r="W24" i="46" l="1"/>
  <c r="L24" i="46"/>
  <c r="Q24" i="46"/>
  <c r="R24" i="46" l="1"/>
  <c r="Z26" i="47" s="1"/>
  <c r="W26" i="47" s="1"/>
  <c r="Z42" i="47"/>
  <c r="W42" i="47" s="1"/>
  <c r="AK24" i="47"/>
  <c r="AH24" i="47" s="1"/>
  <c r="G24" i="46"/>
  <c r="I24" i="46"/>
  <c r="J24" i="46" l="1"/>
  <c r="AR23" i="46"/>
  <c r="AW23" i="46"/>
  <c r="AX23" i="46" l="1"/>
  <c r="AJ23" i="46"/>
  <c r="AM23" i="46"/>
  <c r="AN23" i="46"/>
  <c r="AO23" i="46"/>
  <c r="AP23" i="46" l="1"/>
  <c r="CL23" i="47"/>
  <c r="CK23" i="47"/>
  <c r="AD23" i="46"/>
  <c r="AF23" i="46"/>
  <c r="AG23" i="46" l="1"/>
  <c r="Y23" i="46"/>
  <c r="AA23" i="46"/>
  <c r="AB23" i="46" l="1"/>
  <c r="T23" i="46"/>
  <c r="V23" i="46"/>
  <c r="W23" i="46" l="1"/>
  <c r="L23" i="46"/>
  <c r="Q23" i="46"/>
  <c r="R23" i="46" l="1"/>
  <c r="Z25" i="47" s="1"/>
  <c r="W25" i="47" s="1"/>
  <c r="Z41" i="47"/>
  <c r="W41" i="47" s="1"/>
  <c r="AK23" i="47"/>
  <c r="AH23" i="47" s="1"/>
  <c r="G23" i="46"/>
  <c r="I23" i="46"/>
  <c r="J23" i="46" l="1"/>
  <c r="AR22" i="46"/>
  <c r="AW22" i="46"/>
  <c r="AX22" i="46" l="1"/>
  <c r="AJ22" i="46"/>
  <c r="AM22" i="46"/>
  <c r="AN22" i="46"/>
  <c r="AO22" i="46"/>
  <c r="AP22" i="46" l="1"/>
  <c r="CL22" i="47"/>
  <c r="CK22" i="47"/>
  <c r="AD22" i="46"/>
  <c r="AF22" i="46"/>
  <c r="AG22" i="46" l="1"/>
  <c r="Y22" i="46"/>
  <c r="AA22" i="46"/>
  <c r="AB22" i="46" l="1"/>
  <c r="T22" i="46"/>
  <c r="V22" i="46"/>
  <c r="W22" i="46" l="1"/>
  <c r="L22" i="46"/>
  <c r="Q22" i="46"/>
  <c r="R22" i="46" l="1"/>
  <c r="Z24" i="47" s="1"/>
  <c r="W24" i="47" s="1"/>
  <c r="Z40" i="47"/>
  <c r="W40" i="47" s="1"/>
  <c r="AK22" i="47"/>
  <c r="AH22" i="47" s="1"/>
  <c r="G22" i="46"/>
  <c r="I22" i="46"/>
  <c r="J22" i="46" l="1"/>
  <c r="AR21" i="46"/>
  <c r="AW21" i="46"/>
  <c r="AX21" i="46" l="1"/>
  <c r="CC20" i="47" s="1"/>
  <c r="BZ20" i="47" s="1"/>
  <c r="AJ21" i="46"/>
  <c r="AM21" i="46"/>
  <c r="AO21" i="46"/>
  <c r="AN21" i="46"/>
  <c r="AP21" i="46" l="1"/>
  <c r="CL21" i="47"/>
  <c r="CK21" i="47"/>
  <c r="AD21" i="46"/>
  <c r="AF21" i="46"/>
  <c r="AG21" i="46" l="1"/>
  <c r="Y21" i="46"/>
  <c r="AA21" i="46"/>
  <c r="AB21" i="46" l="1"/>
  <c r="T21" i="46"/>
  <c r="V21" i="46"/>
  <c r="W21" i="46" l="1"/>
  <c r="L21" i="46"/>
  <c r="Q21" i="46"/>
  <c r="R21" i="46" l="1"/>
  <c r="Z23" i="47" s="1"/>
  <c r="W23" i="47" s="1"/>
  <c r="Z39" i="47"/>
  <c r="W39" i="47" s="1"/>
  <c r="AK21" i="47"/>
  <c r="AH21" i="47" s="1"/>
  <c r="G21" i="46"/>
  <c r="I21" i="46"/>
  <c r="J21" i="46" l="1"/>
  <c r="AR20" i="46"/>
  <c r="AW20" i="46"/>
  <c r="AX20" i="46" l="1"/>
  <c r="CC19" i="47" s="1"/>
  <c r="BZ19" i="47" s="1"/>
  <c r="AJ20" i="46"/>
  <c r="AM20" i="46"/>
  <c r="AN20" i="46"/>
  <c r="AO20" i="46"/>
  <c r="AP20" i="46" l="1"/>
  <c r="CL20" i="47"/>
  <c r="CK20" i="47"/>
  <c r="AD20" i="46"/>
  <c r="AF20" i="46"/>
  <c r="AG20" i="46" l="1"/>
  <c r="Y20" i="46"/>
  <c r="AA20" i="46"/>
  <c r="AB20" i="46" l="1"/>
  <c r="T20" i="46"/>
  <c r="V20" i="46"/>
  <c r="W20" i="46" l="1"/>
  <c r="L20" i="46"/>
  <c r="Q20" i="46"/>
  <c r="R20" i="46" l="1"/>
  <c r="Z22" i="47" s="1"/>
  <c r="W22" i="47" s="1"/>
  <c r="Z38" i="47"/>
  <c r="W38" i="47" s="1"/>
  <c r="AK20" i="47"/>
  <c r="AH20" i="47" s="1"/>
  <c r="G20" i="46"/>
  <c r="I20" i="46"/>
  <c r="J20" i="46" l="1"/>
  <c r="AR19" i="46"/>
  <c r="AW19" i="46"/>
  <c r="AX19" i="46" l="1"/>
  <c r="CC18" i="47" s="1"/>
  <c r="BZ18" i="47" s="1"/>
  <c r="AJ19" i="46"/>
  <c r="AN19" i="46"/>
  <c r="AM19" i="46"/>
  <c r="AO19" i="46"/>
  <c r="AP19" i="46" l="1"/>
  <c r="CL19" i="47"/>
  <c r="CK19" i="47"/>
  <c r="AD19" i="46"/>
  <c r="AF19" i="46"/>
  <c r="AG19" i="46" l="1"/>
  <c r="Y19" i="46"/>
  <c r="AA19" i="46"/>
  <c r="AB19" i="46" l="1"/>
  <c r="T19" i="46"/>
  <c r="V19" i="46"/>
  <c r="W19" i="46" l="1"/>
  <c r="O19" i="46"/>
  <c r="L19" i="46"/>
  <c r="Q19" i="46"/>
  <c r="R19" i="46" l="1"/>
  <c r="Z21" i="47" s="1"/>
  <c r="W21" i="47" s="1"/>
  <c r="Z37" i="47"/>
  <c r="W37" i="47" s="1"/>
  <c r="AK19" i="47"/>
  <c r="AH19" i="47" s="1"/>
  <c r="G19" i="46"/>
  <c r="I19" i="46"/>
  <c r="J19" i="46" l="1"/>
  <c r="O19" i="47" s="1"/>
  <c r="L19" i="47" s="1"/>
  <c r="AR18" i="46"/>
  <c r="AW18" i="46"/>
  <c r="AX18" i="46" l="1"/>
  <c r="CC17" i="47" s="1"/>
  <c r="BZ17" i="47" s="1"/>
  <c r="AJ18" i="46"/>
  <c r="AN18" i="46"/>
  <c r="AM18" i="46"/>
  <c r="AO18" i="46"/>
  <c r="AP18" i="46" l="1"/>
  <c r="CL18" i="47"/>
  <c r="CK18" i="47"/>
  <c r="AD18" i="46"/>
  <c r="AF18" i="46"/>
  <c r="AG18" i="46" l="1"/>
  <c r="Y18" i="46"/>
  <c r="AA18" i="46"/>
  <c r="AB18" i="46" l="1"/>
  <c r="T18" i="46"/>
  <c r="V18" i="46"/>
  <c r="W18" i="46" l="1"/>
  <c r="L18" i="46"/>
  <c r="Q18" i="46"/>
  <c r="R18" i="46" l="1"/>
  <c r="Z20" i="47" s="1"/>
  <c r="W20" i="47" s="1"/>
  <c r="Z36" i="47"/>
  <c r="W36" i="47" s="1"/>
  <c r="AK18" i="47"/>
  <c r="AH18" i="47" s="1"/>
  <c r="G18" i="46"/>
  <c r="I18" i="46"/>
  <c r="J18" i="46" l="1"/>
  <c r="O18" i="47" s="1"/>
  <c r="L18" i="47" s="1"/>
  <c r="AR17" i="46"/>
  <c r="AW17" i="46"/>
  <c r="AX17" i="46" l="1"/>
  <c r="CC16" i="47" s="1"/>
  <c r="BZ16" i="47" s="1"/>
  <c r="AJ17" i="46"/>
  <c r="AN17" i="46"/>
  <c r="AM17" i="46"/>
  <c r="AO17" i="46"/>
  <c r="AP17" i="46" l="1"/>
  <c r="CL17" i="47"/>
  <c r="CK17" i="47"/>
  <c r="AD17" i="46"/>
  <c r="AF17" i="46"/>
  <c r="AG17" i="46" l="1"/>
  <c r="Y17" i="46"/>
  <c r="AA17" i="46"/>
  <c r="AB17" i="46" l="1"/>
  <c r="T17" i="46"/>
  <c r="V17" i="46"/>
  <c r="W17" i="46" l="1"/>
  <c r="L17" i="46"/>
  <c r="Q17" i="46"/>
  <c r="R17" i="46" l="1"/>
  <c r="Z19" i="47" s="1"/>
  <c r="W19" i="47" s="1"/>
  <c r="Z35" i="47"/>
  <c r="W35" i="47" s="1"/>
  <c r="AK17" i="47"/>
  <c r="AH17" i="47" s="1"/>
  <c r="G17" i="46"/>
  <c r="I17" i="46"/>
  <c r="J17" i="46" l="1"/>
  <c r="O17" i="47" s="1"/>
  <c r="L17" i="47" s="1"/>
  <c r="AR16" i="46"/>
  <c r="AW16" i="46"/>
  <c r="AX16" i="46" l="1"/>
  <c r="CC15" i="47" s="1"/>
  <c r="BZ15" i="47" s="1"/>
  <c r="AJ16" i="46"/>
  <c r="AN16" i="46"/>
  <c r="AM16" i="46"/>
  <c r="AO16" i="46"/>
  <c r="AP16" i="46" l="1"/>
  <c r="CL16" i="47"/>
  <c r="CK16" i="47"/>
  <c r="AD16" i="46"/>
  <c r="AF16" i="46"/>
  <c r="AG16" i="46" l="1"/>
  <c r="Y16" i="46"/>
  <c r="AA16" i="46"/>
  <c r="AB16" i="46" l="1"/>
  <c r="T16" i="46"/>
  <c r="V16" i="46"/>
  <c r="W16" i="46" l="1"/>
  <c r="L16" i="46"/>
  <c r="Q16" i="46"/>
  <c r="R16" i="46" l="1"/>
  <c r="Z18" i="47" s="1"/>
  <c r="W18" i="47" s="1"/>
  <c r="Z34" i="47"/>
  <c r="W34" i="47" s="1"/>
  <c r="AK16" i="47"/>
  <c r="AH16" i="47" s="1"/>
  <c r="G16" i="46"/>
  <c r="I16" i="46"/>
  <c r="J16" i="46" l="1"/>
  <c r="O16" i="47" s="1"/>
  <c r="L16" i="47" s="1"/>
  <c r="AR15" i="46"/>
  <c r="AW15" i="46"/>
  <c r="AX15" i="46" l="1"/>
  <c r="CC14" i="47" s="1"/>
  <c r="BZ14" i="47" s="1"/>
  <c r="AJ15" i="46"/>
  <c r="AO15" i="46"/>
  <c r="AM15" i="46"/>
  <c r="AN15" i="46"/>
  <c r="AP15" i="46" l="1"/>
  <c r="CL15" i="47"/>
  <c r="CK15" i="47"/>
  <c r="AD15" i="46"/>
  <c r="AF15" i="46"/>
  <c r="AG15" i="46" l="1"/>
  <c r="Y15" i="46"/>
  <c r="AA15" i="46"/>
  <c r="AB15" i="46" l="1"/>
  <c r="T15" i="46"/>
  <c r="V15" i="46"/>
  <c r="W15" i="46" l="1"/>
  <c r="L15" i="46"/>
  <c r="Q15" i="46"/>
  <c r="R15" i="46" l="1"/>
  <c r="Z17" i="47" s="1"/>
  <c r="W17" i="47" s="1"/>
  <c r="Z33" i="47"/>
  <c r="W33" i="47" s="1"/>
  <c r="AK15" i="47"/>
  <c r="AH15" i="47" s="1"/>
  <c r="G15" i="46"/>
  <c r="I15" i="46"/>
  <c r="J15" i="46" l="1"/>
  <c r="O15" i="47" s="1"/>
  <c r="L15" i="47" s="1"/>
  <c r="AR14" i="46"/>
  <c r="AW14" i="46"/>
  <c r="AX14" i="46" l="1"/>
  <c r="CC13" i="47" s="1"/>
  <c r="BZ13" i="47" s="1"/>
  <c r="AJ14" i="46"/>
  <c r="AN14" i="46"/>
  <c r="AM14" i="46"/>
  <c r="AO14" i="46"/>
  <c r="AP14" i="46" l="1"/>
  <c r="CL14" i="47"/>
  <c r="CK14" i="47"/>
  <c r="AD14" i="46"/>
  <c r="AF14" i="46"/>
  <c r="AG14" i="46" l="1"/>
  <c r="Y14" i="46"/>
  <c r="AA14" i="46"/>
  <c r="AB14" i="46" l="1"/>
  <c r="T14" i="46"/>
  <c r="V14" i="46"/>
  <c r="W14" i="46" l="1"/>
  <c r="L14" i="46"/>
  <c r="Q14" i="46"/>
  <c r="R14" i="46" l="1"/>
  <c r="Z16" i="47" s="1"/>
  <c r="W16" i="47" s="1"/>
  <c r="Z32" i="47"/>
  <c r="W32" i="47" s="1"/>
  <c r="AK14" i="47"/>
  <c r="AH14" i="47" s="1"/>
  <c r="G14" i="46"/>
  <c r="I14" i="46"/>
  <c r="J14" i="46" l="1"/>
  <c r="O14" i="47" s="1"/>
  <c r="L14" i="47" s="1"/>
  <c r="AR13" i="46"/>
  <c r="AW13" i="46"/>
  <c r="AX13" i="46" l="1"/>
  <c r="CC12" i="47" s="1"/>
  <c r="BZ12" i="47" s="1"/>
  <c r="AJ13" i="46"/>
  <c r="AN13" i="46"/>
  <c r="AM13" i="46"/>
  <c r="AO13" i="46"/>
  <c r="AP13" i="46" l="1"/>
  <c r="CL13" i="47"/>
  <c r="CK13" i="47"/>
  <c r="AD13" i="46"/>
  <c r="AF13" i="46"/>
  <c r="AG13" i="46" l="1"/>
  <c r="Y13" i="46"/>
  <c r="AA13" i="46"/>
  <c r="AB13" i="46" l="1"/>
  <c r="T13" i="46"/>
  <c r="V13" i="46"/>
  <c r="W13" i="46" l="1"/>
  <c r="AK13" i="47" s="1"/>
  <c r="AH13" i="47" s="1"/>
  <c r="L13" i="46"/>
  <c r="Q13" i="46"/>
  <c r="R13" i="46" l="1"/>
  <c r="Z15" i="47" s="1"/>
  <c r="W15" i="47" s="1"/>
  <c r="G13" i="46"/>
  <c r="I13" i="46"/>
  <c r="J13" i="46" l="1"/>
  <c r="O13" i="47" s="1"/>
  <c r="L13" i="47" s="1"/>
  <c r="AR12" i="46"/>
  <c r="AW12" i="46"/>
  <c r="AX12" i="46" l="1"/>
  <c r="AJ12" i="46"/>
  <c r="AN12" i="46"/>
  <c r="AM12" i="46"/>
  <c r="AO12" i="46"/>
  <c r="AP12" i="46" l="1"/>
  <c r="CL12" i="47"/>
  <c r="CK12" i="47"/>
  <c r="AD12" i="46"/>
  <c r="AF12" i="46"/>
  <c r="AG12" i="46" l="1"/>
  <c r="Y12" i="46"/>
  <c r="AA12" i="46"/>
  <c r="AB12" i="46" l="1"/>
  <c r="T12" i="46"/>
  <c r="V12" i="46"/>
  <c r="W12" i="46" l="1"/>
  <c r="AK12" i="47" s="1"/>
  <c r="AH12" i="47" s="1"/>
  <c r="L12" i="46"/>
  <c r="Q12" i="46"/>
  <c r="R12" i="46" l="1"/>
  <c r="Z14" i="47" s="1"/>
  <c r="W14" i="47" s="1"/>
  <c r="G12" i="46"/>
  <c r="I12" i="46"/>
  <c r="J12" i="46" l="1"/>
  <c r="O12" i="47" s="1"/>
  <c r="L12" i="47" s="1"/>
  <c r="AR11" i="46"/>
  <c r="AW11" i="46"/>
  <c r="AX11" i="46" l="1"/>
  <c r="CC11" i="47" s="1"/>
  <c r="BZ11" i="47" s="1"/>
  <c r="AJ11" i="46"/>
  <c r="AM11" i="46"/>
  <c r="AO11" i="46"/>
  <c r="AN11" i="46"/>
  <c r="AP11" i="46" l="1"/>
  <c r="CL11" i="47"/>
  <c r="CK11" i="47"/>
  <c r="AD11" i="46"/>
  <c r="AF11" i="46"/>
  <c r="AG11" i="46" l="1"/>
  <c r="C12" i="46"/>
  <c r="Y11" i="46"/>
  <c r="AA11" i="46"/>
  <c r="AB11" i="46" l="1"/>
  <c r="T11" i="46"/>
  <c r="V11" i="46"/>
  <c r="W11" i="46" l="1"/>
  <c r="AK11" i="47" s="1"/>
  <c r="AH11" i="47" s="1"/>
  <c r="L11" i="46"/>
  <c r="Q11" i="46"/>
  <c r="R11" i="46" l="1"/>
  <c r="Z13" i="47" s="1"/>
  <c r="W13" i="47" s="1"/>
  <c r="G11" i="46"/>
  <c r="I11" i="46"/>
  <c r="J11" i="46" l="1"/>
  <c r="O11" i="47" s="1"/>
  <c r="L11" i="47" s="1"/>
  <c r="AR10" i="46"/>
  <c r="AW10" i="46"/>
  <c r="AX10" i="46" l="1"/>
  <c r="CC10" i="47" s="1"/>
  <c r="BZ10" i="47" s="1"/>
  <c r="AJ10" i="46"/>
  <c r="AM10" i="46"/>
  <c r="AN10" i="46"/>
  <c r="AF10" i="46"/>
  <c r="AO10" i="46"/>
  <c r="AG10" i="46" l="1"/>
  <c r="AP10" i="46"/>
  <c r="CL10" i="47"/>
  <c r="CK10" i="47"/>
  <c r="Y10" i="46"/>
  <c r="AA10" i="46"/>
  <c r="AB10" i="46" l="1"/>
  <c r="T10" i="46"/>
  <c r="V10" i="46"/>
  <c r="W10" i="46" l="1"/>
  <c r="AK10" i="47" s="1"/>
  <c r="AH10" i="47" s="1"/>
  <c r="L10" i="46"/>
  <c r="Q10" i="46"/>
  <c r="R10" i="46" l="1"/>
  <c r="Z12" i="47" s="1"/>
  <c r="W12" i="47" s="1"/>
  <c r="G10" i="46"/>
  <c r="C10" i="46"/>
  <c r="I10" i="46"/>
  <c r="J10" i="46" l="1"/>
  <c r="O10" i="47" s="1"/>
  <c r="L10" i="47" s="1"/>
  <c r="AR9" i="46"/>
  <c r="AW9" i="46"/>
  <c r="AX9" i="46" l="1"/>
  <c r="CC9" i="47" s="1"/>
  <c r="BZ9" i="47" s="1"/>
  <c r="AJ9" i="46"/>
  <c r="AM9" i="46"/>
  <c r="AN9" i="46"/>
  <c r="AF9" i="46"/>
  <c r="AO9" i="46"/>
  <c r="AG9" i="46" l="1"/>
  <c r="AP9" i="46"/>
  <c r="CL9" i="47"/>
  <c r="CK9" i="47"/>
  <c r="Y9" i="46"/>
  <c r="V9" i="46"/>
  <c r="AA9" i="46"/>
  <c r="W9" i="46" l="1"/>
  <c r="AK9" i="47" s="1"/>
  <c r="AH9" i="47" s="1"/>
  <c r="AB9" i="46"/>
  <c r="L9" i="46"/>
  <c r="Q9" i="46"/>
  <c r="R9" i="46" l="1"/>
  <c r="Z11" i="47" s="1"/>
  <c r="W11" i="47" s="1"/>
  <c r="G9" i="46"/>
  <c r="D9" i="46"/>
  <c r="C9" i="46"/>
  <c r="I9" i="46"/>
  <c r="E9" i="46" l="1"/>
  <c r="J9" i="46"/>
  <c r="O9" i="47" s="1"/>
  <c r="L9" i="47" s="1"/>
  <c r="AR8" i="46"/>
  <c r="AV8" i="46"/>
  <c r="AU8" i="46"/>
  <c r="AW8" i="46"/>
  <c r="AX8" i="46" l="1"/>
  <c r="CC8" i="47" s="1"/>
  <c r="BZ8" i="47" s="1"/>
  <c r="AJ8" i="46"/>
  <c r="AM8" i="46"/>
  <c r="AN8" i="46"/>
  <c r="AO8" i="46"/>
  <c r="AF8" i="46"/>
  <c r="AG8" i="46" l="1"/>
  <c r="AP8" i="46"/>
  <c r="CL8" i="47"/>
  <c r="CK8" i="47"/>
  <c r="Y8" i="46"/>
  <c r="V8" i="46"/>
  <c r="AA8" i="46"/>
  <c r="W8" i="46" l="1"/>
  <c r="AB8" i="46"/>
  <c r="AK8" i="47" l="1"/>
  <c r="AH8" i="47" s="1"/>
  <c r="Z8" i="47"/>
  <c r="W8" i="47" s="1"/>
  <c r="L8" i="46"/>
  <c r="Q8" i="46"/>
  <c r="R8" i="46" l="1"/>
  <c r="Z10" i="47" s="1"/>
  <c r="W10" i="47" s="1"/>
  <c r="G8" i="46"/>
  <c r="I8" i="46"/>
  <c r="AM7" i="46"/>
  <c r="AW7" i="46"/>
  <c r="AN7" i="46"/>
  <c r="CK7" i="47" l="1"/>
  <c r="CL7" i="47"/>
  <c r="AX7" i="46"/>
  <c r="CC7" i="47" s="1"/>
  <c r="CA7" i="47" s="1"/>
  <c r="J8" i="46"/>
  <c r="O8" i="47" s="1"/>
  <c r="L8" i="47" s="1"/>
  <c r="BZ45" i="47"/>
  <c r="AF7" i="46"/>
  <c r="D12" i="46" l="1"/>
  <c r="E12" i="46" s="1"/>
  <c r="AG7" i="46"/>
  <c r="Y7" i="46"/>
  <c r="AA7" i="46"/>
  <c r="V7" i="46"/>
  <c r="D10" i="46" l="1"/>
  <c r="E10" i="46" s="1"/>
  <c r="W7" i="46"/>
  <c r="D11" i="46"/>
  <c r="AB7" i="46"/>
  <c r="C11" i="46"/>
  <c r="E11" i="46" l="1"/>
  <c r="AK7" i="47"/>
  <c r="AH7" i="47" s="1"/>
  <c r="Z7" i="47"/>
  <c r="W7" i="47" s="1"/>
  <c r="L7" i="46"/>
  <c r="AH45" i="47"/>
  <c r="Q7" i="46"/>
  <c r="D8" i="46" l="1"/>
  <c r="R7" i="46"/>
  <c r="Z9" i="47" s="1"/>
  <c r="W9" i="47" s="1"/>
  <c r="C8" i="46"/>
  <c r="G7" i="46"/>
  <c r="C7" i="46" s="1"/>
  <c r="W65" i="47"/>
  <c r="I7" i="46"/>
  <c r="E8" i="46" l="1"/>
  <c r="J7" i="46"/>
  <c r="O7" i="47" s="1"/>
  <c r="L7" i="47" s="1"/>
  <c r="D7" i="46"/>
  <c r="E7" i="46" s="1"/>
  <c r="G59" i="31"/>
  <c r="L59" i="31"/>
  <c r="L45" i="47"/>
  <c r="L54" i="47" a="1"/>
  <c r="E4" i="46" l="1"/>
  <c r="M59" i="31"/>
  <c r="L57" i="47"/>
  <c r="L56" i="47"/>
  <c r="L55" i="47"/>
  <c r="L54" i="47"/>
  <c r="B4" i="46"/>
  <c r="G58" i="31"/>
  <c r="I7" i="37"/>
  <c r="I14" i="37"/>
  <c r="L58" i="31"/>
  <c r="M58" i="31" l="1"/>
  <c r="G57" i="31"/>
  <c r="AH54" i="47" a="1"/>
  <c r="L57" i="31"/>
  <c r="M57" i="31" l="1"/>
  <c r="AH57" i="47"/>
  <c r="AH56" i="47"/>
  <c r="AH54" i="47"/>
  <c r="AH55" i="47"/>
  <c r="G56" i="31"/>
  <c r="I10" i="37"/>
  <c r="L56" i="31"/>
  <c r="M56" i="31" l="1"/>
  <c r="G55" i="31"/>
  <c r="W74" i="47" a="1"/>
  <c r="L55" i="31"/>
  <c r="M55" i="31" l="1"/>
  <c r="W77" i="47"/>
  <c r="W74" i="47"/>
  <c r="W75" i="47"/>
  <c r="W76" i="47"/>
  <c r="G54" i="31"/>
  <c r="L54" i="31"/>
  <c r="I9" i="37"/>
  <c r="M54" i="31" l="1"/>
  <c r="G53" i="31"/>
  <c r="L53" i="31"/>
  <c r="M53" i="31" l="1"/>
  <c r="G52" i="31"/>
  <c r="L52" i="31"/>
  <c r="M52" i="31" l="1"/>
  <c r="G51" i="31"/>
  <c r="L51" i="31"/>
  <c r="M51" i="31" l="1"/>
  <c r="G50" i="31"/>
  <c r="L50" i="31"/>
  <c r="M50" i="31" l="1"/>
  <c r="G49" i="31"/>
  <c r="AI48" i="31"/>
  <c r="AD48" i="31"/>
  <c r="L49" i="31"/>
  <c r="M49" i="31" l="1"/>
  <c r="G48" i="31"/>
  <c r="AI47" i="31"/>
  <c r="AD47" i="31"/>
  <c r="Y47" i="31"/>
  <c r="L48" i="31"/>
  <c r="M48" i="31" l="1"/>
  <c r="G47" i="31"/>
  <c r="AI46" i="31"/>
  <c r="AD46" i="31"/>
  <c r="Y46" i="31"/>
  <c r="L47" i="31"/>
  <c r="M47" i="31" l="1"/>
  <c r="G46" i="31"/>
  <c r="AI45" i="31"/>
  <c r="AD45" i="31"/>
  <c r="Y45" i="31"/>
  <c r="L46" i="31"/>
  <c r="M46" i="31" l="1"/>
  <c r="G45" i="31"/>
  <c r="AI44" i="31"/>
  <c r="AD44" i="31"/>
  <c r="Y44" i="31"/>
  <c r="L45" i="31"/>
  <c r="M45" i="31" l="1"/>
  <c r="G44" i="31"/>
  <c r="AI43" i="31"/>
  <c r="AD43" i="31"/>
  <c r="Y43" i="31"/>
  <c r="L44" i="31"/>
  <c r="M44" i="31" l="1"/>
  <c r="G43" i="31"/>
  <c r="AI42" i="31"/>
  <c r="AD42" i="31"/>
  <c r="Y42" i="31"/>
  <c r="L43" i="31"/>
  <c r="M43" i="31" l="1"/>
  <c r="G42" i="31"/>
  <c r="AI41" i="31"/>
  <c r="AD41" i="31"/>
  <c r="Y41" i="31"/>
  <c r="L42" i="31"/>
  <c r="M42" i="31" l="1"/>
  <c r="G41" i="31"/>
  <c r="AI40" i="31"/>
  <c r="AD40" i="31"/>
  <c r="Y40" i="31"/>
  <c r="L41" i="31"/>
  <c r="M41" i="31" l="1"/>
  <c r="O31" i="32"/>
  <c r="L31" i="32" s="1"/>
  <c r="G40" i="31"/>
  <c r="AI39" i="31"/>
  <c r="AD39" i="31"/>
  <c r="Y39" i="31"/>
  <c r="L40" i="31"/>
  <c r="M40" i="31" l="1"/>
  <c r="O30" i="32"/>
  <c r="L30" i="32" s="1"/>
  <c r="G39" i="31"/>
  <c r="L39" i="31"/>
  <c r="AZ38" i="31"/>
  <c r="BB38" i="31"/>
  <c r="BA38" i="31"/>
  <c r="BC38" i="31" l="1"/>
  <c r="M39" i="31"/>
  <c r="O29" i="32"/>
  <c r="L29" i="32" s="1"/>
  <c r="AI38" i="31"/>
  <c r="AD38" i="31"/>
  <c r="Y38" i="31"/>
  <c r="O28" i="32" l="1"/>
  <c r="L28" i="32" s="1"/>
  <c r="G38" i="31"/>
  <c r="AI37" i="31"/>
  <c r="AD37" i="31"/>
  <c r="L38" i="31"/>
  <c r="M38" i="31" l="1"/>
  <c r="W37" i="31"/>
  <c r="Y37" i="31"/>
  <c r="Z37" i="31" l="1"/>
  <c r="AK36" i="32" s="1"/>
  <c r="AH36" i="32" s="1"/>
  <c r="O27" i="32"/>
  <c r="L27" i="32" s="1"/>
  <c r="G37" i="31"/>
  <c r="L37" i="31"/>
  <c r="AZ36" i="31"/>
  <c r="BB36" i="31"/>
  <c r="BA36" i="31"/>
  <c r="CK32" i="32" l="1"/>
  <c r="CL32" i="32"/>
  <c r="BC36" i="31"/>
  <c r="M37" i="31"/>
  <c r="AI36" i="31"/>
  <c r="AD36" i="31"/>
  <c r="O26" i="32" l="1"/>
  <c r="L26" i="32" s="1"/>
  <c r="W36" i="31"/>
  <c r="Y36" i="31"/>
  <c r="Z36" i="31" l="1"/>
  <c r="AK35" i="32" s="1"/>
  <c r="AH35" i="32" s="1"/>
  <c r="G36" i="31"/>
  <c r="L36" i="31"/>
  <c r="AZ35" i="31"/>
  <c r="BB35" i="31"/>
  <c r="BA35" i="31"/>
  <c r="CK31" i="32" l="1"/>
  <c r="CL31" i="32"/>
  <c r="BC35" i="31"/>
  <c r="M36" i="31"/>
  <c r="AI35" i="31"/>
  <c r="AD35" i="31"/>
  <c r="O25" i="32" l="1"/>
  <c r="L25" i="32" s="1"/>
  <c r="W35" i="31"/>
  <c r="Y35" i="31"/>
  <c r="Z35" i="31" l="1"/>
  <c r="AK34" i="32" s="1"/>
  <c r="AH34" i="32" s="1"/>
  <c r="G35" i="31"/>
  <c r="BA34" i="31"/>
  <c r="L35" i="31"/>
  <c r="BB34" i="31"/>
  <c r="AZ34" i="31"/>
  <c r="CK30" i="32" l="1"/>
  <c r="CL30" i="32"/>
  <c r="BC34" i="31"/>
  <c r="M35" i="31"/>
  <c r="AI34" i="31"/>
  <c r="AD34" i="31"/>
  <c r="W34" i="31"/>
  <c r="Y34" i="31"/>
  <c r="Z34" i="31" l="1"/>
  <c r="AK33" i="32" s="1"/>
  <c r="AH33" i="32" s="1"/>
  <c r="O34" i="31"/>
  <c r="R34" i="31"/>
  <c r="S34" i="31"/>
  <c r="T34" i="31"/>
  <c r="U34" i="31" l="1"/>
  <c r="Z35" i="32" s="1"/>
  <c r="W35" i="32" s="1"/>
  <c r="G34" i="31"/>
  <c r="L34" i="31"/>
  <c r="AZ33" i="31"/>
  <c r="BB33" i="31"/>
  <c r="BA33" i="31"/>
  <c r="CK29" i="32" l="1"/>
  <c r="CL29" i="32"/>
  <c r="BC33" i="31"/>
  <c r="M34" i="31"/>
  <c r="AI33" i="31"/>
  <c r="AD33" i="31"/>
  <c r="W33" i="31"/>
  <c r="Y33" i="31"/>
  <c r="Z33" i="31" l="1"/>
  <c r="AK32" i="32" s="1"/>
  <c r="AH32" i="32" s="1"/>
  <c r="O33" i="31"/>
  <c r="R33" i="31"/>
  <c r="S33" i="31"/>
  <c r="T33" i="31"/>
  <c r="U33" i="31" l="1"/>
  <c r="Z34" i="32" s="1"/>
  <c r="W34" i="32" s="1"/>
  <c r="G33" i="31"/>
  <c r="L33" i="31"/>
  <c r="BB32" i="31"/>
  <c r="AZ32" i="31"/>
  <c r="BA32" i="31"/>
  <c r="CK28" i="32" l="1"/>
  <c r="CL28" i="32"/>
  <c r="BC32" i="31"/>
  <c r="M33" i="31"/>
  <c r="AI32" i="31"/>
  <c r="AD32" i="31"/>
  <c r="W32" i="31"/>
  <c r="Y32" i="31"/>
  <c r="Z32" i="31" l="1"/>
  <c r="AK31" i="32" s="1"/>
  <c r="AH31" i="32" s="1"/>
  <c r="O32" i="31"/>
  <c r="R32" i="31"/>
  <c r="S32" i="31"/>
  <c r="T32" i="31"/>
  <c r="U32" i="31" l="1"/>
  <c r="Z33" i="32" s="1"/>
  <c r="W33" i="32" s="1"/>
  <c r="G32" i="31"/>
  <c r="BB31" i="31"/>
  <c r="L32" i="31"/>
  <c r="AZ31" i="31"/>
  <c r="BA31" i="31"/>
  <c r="CK27" i="32" l="1"/>
  <c r="CL27" i="32"/>
  <c r="BC31" i="31"/>
  <c r="M32" i="31"/>
  <c r="AI31" i="31"/>
  <c r="AD31" i="31"/>
  <c r="W31" i="31"/>
  <c r="Y31" i="31"/>
  <c r="Z31" i="31" l="1"/>
  <c r="AK30" i="32" s="1"/>
  <c r="AH30" i="32" s="1"/>
  <c r="O31" i="31"/>
  <c r="R31" i="31"/>
  <c r="T31" i="31"/>
  <c r="S31" i="31"/>
  <c r="U31" i="31" l="1"/>
  <c r="Z32" i="32" s="1"/>
  <c r="W32" i="32" s="1"/>
  <c r="G31" i="31"/>
  <c r="BB30" i="31"/>
  <c r="L31" i="31"/>
  <c r="AZ30" i="31"/>
  <c r="BA30" i="31"/>
  <c r="CK26" i="32" l="1"/>
  <c r="CL26" i="32"/>
  <c r="BC30" i="31"/>
  <c r="M31" i="31"/>
  <c r="AI30" i="31"/>
  <c r="AD30" i="31"/>
  <c r="W30" i="31"/>
  <c r="Y30" i="31"/>
  <c r="Z30" i="31" l="1"/>
  <c r="AK29" i="32" s="1"/>
  <c r="AH29" i="32" s="1"/>
  <c r="O30" i="31"/>
  <c r="S30" i="31"/>
  <c r="R30" i="31"/>
  <c r="T30" i="31"/>
  <c r="U30" i="31" l="1"/>
  <c r="Z31" i="32" s="1"/>
  <c r="W31" i="32" s="1"/>
  <c r="G30" i="31"/>
  <c r="BB29" i="31"/>
  <c r="L30" i="31"/>
  <c r="BA29" i="31"/>
  <c r="AZ29" i="31"/>
  <c r="CK25" i="32" l="1"/>
  <c r="CL25" i="32"/>
  <c r="BC29" i="31"/>
  <c r="M30" i="31"/>
  <c r="AI29" i="31"/>
  <c r="AD29" i="31"/>
  <c r="W29" i="31"/>
  <c r="Y29" i="31"/>
  <c r="Z29" i="31" l="1"/>
  <c r="AK28" i="32" s="1"/>
  <c r="AH28" i="32" s="1"/>
  <c r="O29" i="31"/>
  <c r="S29" i="31"/>
  <c r="R29" i="31"/>
  <c r="T29" i="31"/>
  <c r="U29" i="31" l="1"/>
  <c r="Z30" i="32" s="1"/>
  <c r="W30" i="32" s="1"/>
  <c r="G29" i="31"/>
  <c r="BB28" i="31"/>
  <c r="L29" i="31"/>
  <c r="BA28" i="31"/>
  <c r="AZ28" i="31"/>
  <c r="CK24" i="32" l="1"/>
  <c r="CL24" i="32"/>
  <c r="BC28" i="31"/>
  <c r="M29" i="31"/>
  <c r="AI28" i="31"/>
  <c r="AD28" i="31"/>
  <c r="W28" i="31"/>
  <c r="Y28" i="31"/>
  <c r="Z28" i="31" l="1"/>
  <c r="AK27" i="32" s="1"/>
  <c r="AH27" i="32" s="1"/>
  <c r="O28" i="31"/>
  <c r="S28" i="31"/>
  <c r="R28" i="31"/>
  <c r="T28" i="31"/>
  <c r="U28" i="31" l="1"/>
  <c r="Z29" i="32" s="1"/>
  <c r="W29" i="32" s="1"/>
  <c r="G28" i="31"/>
  <c r="BB27" i="31"/>
  <c r="L28" i="31"/>
  <c r="AZ27" i="31"/>
  <c r="BA27" i="31"/>
  <c r="CK23" i="32" l="1"/>
  <c r="CL23" i="32"/>
  <c r="BC27" i="31"/>
  <c r="M28" i="31"/>
  <c r="AI27" i="31"/>
  <c r="AD27" i="31"/>
  <c r="AE27" i="31" l="1"/>
  <c r="BR24" i="32" s="1"/>
  <c r="BO24" i="32" s="1"/>
  <c r="W27" i="31"/>
  <c r="Y27" i="31"/>
  <c r="Z27" i="31" l="1"/>
  <c r="AK26" i="32" s="1"/>
  <c r="AH26" i="32" s="1"/>
  <c r="O27" i="31"/>
  <c r="S27" i="31"/>
  <c r="R27" i="31"/>
  <c r="T27" i="31"/>
  <c r="U27" i="31" l="1"/>
  <c r="Z28" i="32" s="1"/>
  <c r="W28" i="32" s="1"/>
  <c r="G27" i="31"/>
  <c r="BB26" i="31"/>
  <c r="L27" i="31"/>
  <c r="AZ26" i="31"/>
  <c r="BA26" i="31"/>
  <c r="CK22" i="32" l="1"/>
  <c r="CL22" i="32"/>
  <c r="BC26" i="31"/>
  <c r="M27" i="31"/>
  <c r="AI26" i="31"/>
  <c r="AD26" i="31"/>
  <c r="AE26" i="31" l="1"/>
  <c r="BR23" i="32" s="1"/>
  <c r="BO23" i="32" s="1"/>
  <c r="W26" i="31"/>
  <c r="Y26" i="31"/>
  <c r="Z26" i="31" l="1"/>
  <c r="AK25" i="32" s="1"/>
  <c r="AH25" i="32" s="1"/>
  <c r="O26" i="31"/>
  <c r="S26" i="31"/>
  <c r="R26" i="31"/>
  <c r="T26" i="31"/>
  <c r="U26" i="31" l="1"/>
  <c r="Z27" i="32" s="1"/>
  <c r="W27" i="32" s="1"/>
  <c r="G26" i="31"/>
  <c r="BB25" i="31"/>
  <c r="L26" i="31"/>
  <c r="BA25" i="31"/>
  <c r="AZ25" i="31"/>
  <c r="CK21" i="32" l="1"/>
  <c r="CL21" i="32"/>
  <c r="BC25" i="31"/>
  <c r="M26" i="31"/>
  <c r="AS25" i="31"/>
  <c r="AT25" i="31"/>
  <c r="AR25" i="31"/>
  <c r="AU25" i="31" l="1"/>
  <c r="AI25" i="31"/>
  <c r="AD25" i="31"/>
  <c r="AE25" i="31" l="1"/>
  <c r="BR22" i="32" s="1"/>
  <c r="BO22" i="32" s="1"/>
  <c r="W25" i="31"/>
  <c r="Y25" i="31"/>
  <c r="Z25" i="31" l="1"/>
  <c r="AK24" i="32" s="1"/>
  <c r="AH24" i="32" s="1"/>
  <c r="O25" i="31"/>
  <c r="R25" i="31"/>
  <c r="S25" i="31"/>
  <c r="T25" i="31"/>
  <c r="U25" i="31" l="1"/>
  <c r="Z26" i="32" s="1"/>
  <c r="W26" i="32" s="1"/>
  <c r="G25" i="31"/>
  <c r="AZ24" i="31"/>
  <c r="BB24" i="31"/>
  <c r="L25" i="31"/>
  <c r="BA24" i="31"/>
  <c r="CK20" i="32" l="1"/>
  <c r="CL20" i="32"/>
  <c r="BC24" i="31"/>
  <c r="M25" i="31"/>
  <c r="AT24" i="31"/>
  <c r="AS24" i="31"/>
  <c r="AR24" i="31"/>
  <c r="AU24" i="31" l="1"/>
  <c r="O24" i="32"/>
  <c r="L24" i="32" s="1"/>
  <c r="AI24" i="31"/>
  <c r="AD24" i="31"/>
  <c r="AE24" i="31" l="1"/>
  <c r="BR21" i="32" s="1"/>
  <c r="BO21" i="32" s="1"/>
  <c r="W24" i="31"/>
  <c r="Y24" i="31"/>
  <c r="Z24" i="31" l="1"/>
  <c r="AK23" i="32" s="1"/>
  <c r="AH23" i="32" s="1"/>
  <c r="O24" i="31"/>
  <c r="R24" i="31"/>
  <c r="S24" i="31"/>
  <c r="T24" i="31"/>
  <c r="U24" i="31" l="1"/>
  <c r="Z25" i="32" s="1"/>
  <c r="W25" i="32" s="1"/>
  <c r="G24" i="31"/>
  <c r="BA23" i="31"/>
  <c r="L24" i="31"/>
  <c r="BB23" i="31"/>
  <c r="AZ23" i="31"/>
  <c r="BC23" i="31" l="1"/>
  <c r="M24" i="31"/>
  <c r="AT23" i="31"/>
  <c r="AR23" i="31"/>
  <c r="AS23" i="31"/>
  <c r="AU23" i="31" l="1"/>
  <c r="CC30" i="32" s="1"/>
  <c r="BZ30" i="32" s="1"/>
  <c r="O23" i="32"/>
  <c r="L23" i="32" s="1"/>
  <c r="AI23" i="31"/>
  <c r="AD23" i="31"/>
  <c r="AE23" i="31" l="1"/>
  <c r="BR20" i="32" s="1"/>
  <c r="BO20" i="32" s="1"/>
  <c r="W23" i="31"/>
  <c r="Y23" i="31"/>
  <c r="Z23" i="31" l="1"/>
  <c r="AK22" i="32" s="1"/>
  <c r="AH22" i="32" s="1"/>
  <c r="O23" i="31"/>
  <c r="R23" i="31"/>
  <c r="S23" i="31"/>
  <c r="T23" i="31"/>
  <c r="U23" i="31" l="1"/>
  <c r="Z24" i="32" s="1"/>
  <c r="W24" i="32" s="1"/>
  <c r="G23" i="31"/>
  <c r="L23" i="31"/>
  <c r="BB22" i="31"/>
  <c r="BA22" i="31"/>
  <c r="AZ22" i="31"/>
  <c r="BC22" i="31" l="1"/>
  <c r="M23" i="31"/>
  <c r="AT22" i="31"/>
  <c r="AS22" i="31"/>
  <c r="AR22" i="31"/>
  <c r="AU22" i="31" l="1"/>
  <c r="CC29" i="32" s="1"/>
  <c r="BZ29" i="32" s="1"/>
  <c r="O22" i="32"/>
  <c r="L22" i="32" s="1"/>
  <c r="AI22" i="31"/>
  <c r="AD22" i="31"/>
  <c r="AE22" i="31" l="1"/>
  <c r="BR19" i="32" s="1"/>
  <c r="BO19" i="32" s="1"/>
  <c r="W22" i="31"/>
  <c r="Y22" i="31"/>
  <c r="Z22" i="31" l="1"/>
  <c r="AK21" i="32" s="1"/>
  <c r="AH21" i="32" s="1"/>
  <c r="O22" i="31"/>
  <c r="R22" i="31"/>
  <c r="S22" i="31"/>
  <c r="T22" i="31"/>
  <c r="U22" i="31" l="1"/>
  <c r="Z23" i="32" s="1"/>
  <c r="W23" i="32" s="1"/>
  <c r="G22" i="31"/>
  <c r="L22" i="31"/>
  <c r="BB21" i="31"/>
  <c r="BA21" i="31"/>
  <c r="AZ21" i="31"/>
  <c r="CK19" i="32" l="1"/>
  <c r="CL19" i="32"/>
  <c r="BC21" i="31"/>
  <c r="M22" i="31"/>
  <c r="AR21" i="31"/>
  <c r="AS21" i="31"/>
  <c r="AT21" i="31"/>
  <c r="AU21" i="31" l="1"/>
  <c r="CC28" i="32" s="1"/>
  <c r="BZ28" i="32" s="1"/>
  <c r="O21" i="32"/>
  <c r="L21" i="32" s="1"/>
  <c r="AI21" i="31"/>
  <c r="AJ21" i="31" l="1"/>
  <c r="AD21" i="31"/>
  <c r="AE21" i="31" l="1"/>
  <c r="BR18" i="32" s="1"/>
  <c r="BO18" i="32" s="1"/>
  <c r="W21" i="31"/>
  <c r="Y21" i="31"/>
  <c r="Z21" i="31" l="1"/>
  <c r="AK20" i="32" s="1"/>
  <c r="AH20" i="32" s="1"/>
  <c r="O21" i="31"/>
  <c r="T21" i="31"/>
  <c r="R21" i="31"/>
  <c r="S21" i="31"/>
  <c r="U21" i="31" l="1"/>
  <c r="Z22" i="32" s="1"/>
  <c r="W22" i="32" s="1"/>
  <c r="G21" i="31"/>
  <c r="BA20" i="31"/>
  <c r="L21" i="31"/>
  <c r="AZ20" i="31"/>
  <c r="BB20" i="31"/>
  <c r="BC20" i="31" l="1"/>
  <c r="M21" i="31"/>
  <c r="AT20" i="31"/>
  <c r="AS20" i="31"/>
  <c r="AR20" i="31"/>
  <c r="AU20" i="31" l="1"/>
  <c r="CC27" i="32" s="1"/>
  <c r="BZ27" i="32" s="1"/>
  <c r="O20" i="32"/>
  <c r="L20" i="32" s="1"/>
  <c r="AI20" i="31"/>
  <c r="AJ20" i="31" l="1"/>
  <c r="AD20" i="31"/>
  <c r="AE20" i="31" l="1"/>
  <c r="BR17" i="32" s="1"/>
  <c r="BO17" i="32" s="1"/>
  <c r="W20" i="31"/>
  <c r="Y20" i="31"/>
  <c r="Z20" i="31" l="1"/>
  <c r="AK19" i="32" s="1"/>
  <c r="AH19" i="32" s="1"/>
  <c r="O20" i="31"/>
  <c r="R20" i="31"/>
  <c r="T20" i="31"/>
  <c r="S20" i="31"/>
  <c r="U20" i="31" l="1"/>
  <c r="Z21" i="32" s="1"/>
  <c r="W21" i="32" s="1"/>
  <c r="G20" i="31"/>
  <c r="L20" i="31"/>
  <c r="BB19" i="31"/>
  <c r="BA19" i="31"/>
  <c r="AZ19" i="31"/>
  <c r="BC19" i="31" l="1"/>
  <c r="M20" i="31"/>
  <c r="AT19" i="31"/>
  <c r="AS19" i="31"/>
  <c r="AR19" i="31"/>
  <c r="AU19" i="31" l="1"/>
  <c r="CC26" i="32" s="1"/>
  <c r="BZ26" i="32" s="1"/>
  <c r="O19" i="32"/>
  <c r="L19" i="32" s="1"/>
  <c r="AI19" i="31"/>
  <c r="AJ19" i="31" l="1"/>
  <c r="AD19" i="31"/>
  <c r="AE19" i="31" l="1"/>
  <c r="BR16" i="32" s="1"/>
  <c r="BO16" i="32" s="1"/>
  <c r="W19" i="31"/>
  <c r="Y19" i="31"/>
  <c r="Z19" i="31" l="1"/>
  <c r="AK18" i="32" s="1"/>
  <c r="AH18" i="32" s="1"/>
  <c r="O19" i="31"/>
  <c r="S19" i="31"/>
  <c r="T19" i="31"/>
  <c r="R19" i="31"/>
  <c r="U19" i="31" l="1"/>
  <c r="Z20" i="32" s="1"/>
  <c r="W20" i="32" s="1"/>
  <c r="G19" i="31"/>
  <c r="L19" i="31"/>
  <c r="BB18" i="31"/>
  <c r="BA18" i="31"/>
  <c r="AZ18" i="31"/>
  <c r="CK18" i="32" l="1"/>
  <c r="CL18" i="32"/>
  <c r="BC18" i="31"/>
  <c r="M19" i="31"/>
  <c r="AS18" i="31"/>
  <c r="AT18" i="31"/>
  <c r="AR18" i="31"/>
  <c r="AU18" i="31" l="1"/>
  <c r="CC25" i="32" s="1"/>
  <c r="BZ25" i="32" s="1"/>
  <c r="O18" i="32"/>
  <c r="L18" i="32" s="1"/>
  <c r="AI18" i="31"/>
  <c r="AJ18" i="31" l="1"/>
  <c r="AD18" i="31"/>
  <c r="AE18" i="31" l="1"/>
  <c r="BR15" i="32" s="1"/>
  <c r="BO15" i="32" s="1"/>
  <c r="W18" i="31"/>
  <c r="R18" i="31"/>
  <c r="S18" i="31"/>
  <c r="Y18" i="31"/>
  <c r="T18" i="31"/>
  <c r="W19" i="32" l="1"/>
  <c r="X19" i="32"/>
  <c r="U18" i="31"/>
  <c r="Y19" i="32" s="1"/>
  <c r="Z18" i="31"/>
  <c r="AK17" i="32" s="1"/>
  <c r="AH17" i="32" s="1"/>
  <c r="G18" i="31"/>
  <c r="AZ17" i="31"/>
  <c r="BA17" i="31"/>
  <c r="L18" i="31"/>
  <c r="BB17" i="31"/>
  <c r="CK17" i="32" l="1"/>
  <c r="CL17" i="32"/>
  <c r="BC17" i="31"/>
  <c r="M18" i="31"/>
  <c r="AT17" i="31"/>
  <c r="AS17" i="31"/>
  <c r="AR17" i="31"/>
  <c r="AU17" i="31" l="1"/>
  <c r="CC24" i="32" s="1"/>
  <c r="BZ24" i="32" s="1"/>
  <c r="O17" i="32"/>
  <c r="L17" i="32" s="1"/>
  <c r="AI17" i="31"/>
  <c r="AJ17" i="31" l="1"/>
  <c r="AD17" i="31"/>
  <c r="AE17" i="31" l="1"/>
  <c r="BR14" i="32" s="1"/>
  <c r="BO14" i="32" s="1"/>
  <c r="W17" i="31"/>
  <c r="R17" i="31"/>
  <c r="S17" i="31"/>
  <c r="Y17" i="31"/>
  <c r="T17" i="31"/>
  <c r="W18" i="32" l="1"/>
  <c r="X18" i="32"/>
  <c r="U17" i="31"/>
  <c r="Y18" i="32" s="1"/>
  <c r="Z17" i="31"/>
  <c r="AK16" i="32" s="1"/>
  <c r="AH16" i="32" s="1"/>
  <c r="G17" i="31"/>
  <c r="AZ16" i="31"/>
  <c r="BB16" i="31"/>
  <c r="BA16" i="31"/>
  <c r="L17" i="31"/>
  <c r="CK16" i="32" l="1"/>
  <c r="CL16" i="32"/>
  <c r="BC16" i="31"/>
  <c r="M17" i="31"/>
  <c r="AT16" i="31"/>
  <c r="AS16" i="31"/>
  <c r="AR16" i="31"/>
  <c r="AU16" i="31" l="1"/>
  <c r="CC23" i="32" s="1"/>
  <c r="BZ23" i="32" s="1"/>
  <c r="O16" i="32"/>
  <c r="L16" i="32" s="1"/>
  <c r="AI16" i="31"/>
  <c r="AJ16" i="31" l="1"/>
  <c r="AD16" i="31"/>
  <c r="AE16" i="31" l="1"/>
  <c r="BR13" i="32" s="1"/>
  <c r="BO13" i="32" s="1"/>
  <c r="W16" i="31"/>
  <c r="R16" i="31"/>
  <c r="S16" i="31"/>
  <c r="Y16" i="31"/>
  <c r="T16" i="31"/>
  <c r="W17" i="32" l="1"/>
  <c r="X17" i="32"/>
  <c r="U16" i="31"/>
  <c r="Y17" i="32" s="1"/>
  <c r="Z16" i="31"/>
  <c r="AK15" i="32" s="1"/>
  <c r="AH15" i="32" s="1"/>
  <c r="G16" i="31"/>
  <c r="BA15" i="31"/>
  <c r="BB15" i="31"/>
  <c r="L16" i="31"/>
  <c r="AZ15" i="31"/>
  <c r="CK15" i="32" l="1"/>
  <c r="CL15" i="32"/>
  <c r="BC15" i="31"/>
  <c r="M16" i="31"/>
  <c r="O15" i="32" s="1"/>
  <c r="L15" i="32" s="1"/>
  <c r="AT15" i="31"/>
  <c r="AS15" i="31"/>
  <c r="AR15" i="31"/>
  <c r="AU15" i="31" l="1"/>
  <c r="CC22" i="32" s="1"/>
  <c r="BZ22" i="32" s="1"/>
  <c r="AI15" i="31"/>
  <c r="AJ15" i="31" l="1"/>
  <c r="AD15" i="31"/>
  <c r="AE15" i="31" l="1"/>
  <c r="BR12" i="32" s="1"/>
  <c r="BO12" i="32" s="1"/>
  <c r="W15" i="31"/>
  <c r="R15" i="31"/>
  <c r="S15" i="31"/>
  <c r="Y15" i="31"/>
  <c r="T15" i="31"/>
  <c r="W16" i="32" l="1"/>
  <c r="X16" i="32"/>
  <c r="U15" i="31"/>
  <c r="Y16" i="32" s="1"/>
  <c r="Z15" i="31"/>
  <c r="AK14" i="32" s="1"/>
  <c r="AH14" i="32" s="1"/>
  <c r="G15" i="31"/>
  <c r="BA14" i="31"/>
  <c r="L15" i="31"/>
  <c r="BB14" i="31"/>
  <c r="AZ14" i="31"/>
  <c r="CK14" i="32" l="1"/>
  <c r="CL14" i="32"/>
  <c r="BC14" i="31"/>
  <c r="CC13" i="32" s="1"/>
  <c r="BZ13" i="32" s="1"/>
  <c r="M15" i="31"/>
  <c r="AT14" i="31"/>
  <c r="AS14" i="31"/>
  <c r="AR14" i="31"/>
  <c r="AU14" i="31" l="1"/>
  <c r="CC21" i="32" s="1"/>
  <c r="BZ21" i="32" s="1"/>
  <c r="M16" i="12"/>
  <c r="M16" i="15"/>
  <c r="M16" i="14"/>
  <c r="AI14" i="31"/>
  <c r="AJ14" i="31" l="1"/>
  <c r="M32" i="14"/>
  <c r="O31" i="33" s="1"/>
  <c r="L31" i="33" s="1"/>
  <c r="M31" i="14"/>
  <c r="O30" i="33" s="1"/>
  <c r="L30" i="33" s="1"/>
  <c r="M30" i="14"/>
  <c r="O29" i="33" s="1"/>
  <c r="L29" i="33" s="1"/>
  <c r="M29" i="14"/>
  <c r="O28" i="33" s="1"/>
  <c r="L28" i="33" s="1"/>
  <c r="M28" i="14"/>
  <c r="O27" i="33" s="1"/>
  <c r="L27" i="33" s="1"/>
  <c r="M27" i="14"/>
  <c r="O26" i="33" s="1"/>
  <c r="L26" i="33" s="1"/>
  <c r="M26" i="14"/>
  <c r="O25" i="33" s="1"/>
  <c r="L25" i="33" s="1"/>
  <c r="M25" i="14"/>
  <c r="O24" i="33" s="1"/>
  <c r="L24" i="33" s="1"/>
  <c r="M24" i="14"/>
  <c r="O23" i="33" s="1"/>
  <c r="L23" i="33" s="1"/>
  <c r="M23" i="14"/>
  <c r="O22" i="33" s="1"/>
  <c r="L22" i="33" s="1"/>
  <c r="M22" i="14"/>
  <c r="O21" i="33" s="1"/>
  <c r="L21" i="33" s="1"/>
  <c r="M21" i="14"/>
  <c r="O20" i="33" s="1"/>
  <c r="L20" i="33" s="1"/>
  <c r="M20" i="14"/>
  <c r="O19" i="33" s="1"/>
  <c r="L19" i="33" s="1"/>
  <c r="M19" i="14"/>
  <c r="O18" i="33" s="1"/>
  <c r="L18" i="33" s="1"/>
  <c r="M18" i="14"/>
  <c r="O17" i="33" s="1"/>
  <c r="L17" i="33" s="1"/>
  <c r="M17" i="14"/>
  <c r="O16" i="33" s="1"/>
  <c r="L16" i="33" s="1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L45" i="33"/>
  <c r="L54" i="33" a="1"/>
  <c r="AD14" i="31"/>
  <c r="AE14" i="31" l="1"/>
  <c r="BR11" i="32" s="1"/>
  <c r="BO11" i="32" s="1"/>
  <c r="L57" i="33"/>
  <c r="L56" i="33"/>
  <c r="L54" i="33"/>
  <c r="L55" i="33"/>
  <c r="O18" i="34"/>
  <c r="L18" i="34" s="1"/>
  <c r="O18" i="35"/>
  <c r="L18" i="35" s="1"/>
  <c r="O19" i="34"/>
  <c r="L19" i="34" s="1"/>
  <c r="O19" i="35"/>
  <c r="L19" i="35" s="1"/>
  <c r="O17" i="34"/>
  <c r="L17" i="34" s="1"/>
  <c r="O17" i="35"/>
  <c r="L17" i="35" s="1"/>
  <c r="O21" i="34"/>
  <c r="L21" i="34" s="1"/>
  <c r="O21" i="35"/>
  <c r="L21" i="35" s="1"/>
  <c r="O25" i="34"/>
  <c r="L25" i="34" s="1"/>
  <c r="O25" i="35"/>
  <c r="L25" i="35" s="1"/>
  <c r="O27" i="34"/>
  <c r="L27" i="34" s="1"/>
  <c r="O27" i="35"/>
  <c r="L27" i="35" s="1"/>
  <c r="O29" i="34"/>
  <c r="L29" i="34" s="1"/>
  <c r="O29" i="35"/>
  <c r="L29" i="35" s="1"/>
  <c r="O22" i="34"/>
  <c r="L22" i="34" s="1"/>
  <c r="O22" i="35"/>
  <c r="L22" i="35" s="1"/>
  <c r="O30" i="34"/>
  <c r="L30" i="34" s="1"/>
  <c r="O30" i="35"/>
  <c r="L30" i="35" s="1"/>
  <c r="O20" i="34"/>
  <c r="L20" i="34" s="1"/>
  <c r="O20" i="35"/>
  <c r="L20" i="35" s="1"/>
  <c r="O31" i="34"/>
  <c r="L31" i="34" s="1"/>
  <c r="O31" i="35"/>
  <c r="L31" i="35" s="1"/>
  <c r="O26" i="34"/>
  <c r="L26" i="34" s="1"/>
  <c r="O26" i="35"/>
  <c r="L26" i="35" s="1"/>
  <c r="O28" i="34"/>
  <c r="L28" i="34" s="1"/>
  <c r="O28" i="35"/>
  <c r="L28" i="35" s="1"/>
  <c r="O23" i="34"/>
  <c r="L23" i="34" s="1"/>
  <c r="O23" i="35"/>
  <c r="L23" i="35" s="1"/>
  <c r="O16" i="34"/>
  <c r="L16" i="34" s="1"/>
  <c r="O16" i="35"/>
  <c r="L16" i="35" s="1"/>
  <c r="O24" i="34"/>
  <c r="L24" i="34" s="1"/>
  <c r="O24" i="35"/>
  <c r="L24" i="35" s="1"/>
  <c r="S7" i="37"/>
  <c r="L45" i="34"/>
  <c r="L54" i="34" s="1" a="1"/>
  <c r="L45" i="35"/>
  <c r="L54" i="35" s="1" a="1"/>
  <c r="L55" i="35" l="1"/>
  <c r="L57" i="35"/>
  <c r="L56" i="35"/>
  <c r="L54" i="35"/>
  <c r="L57" i="34"/>
  <c r="L56" i="34"/>
  <c r="L55" i="34"/>
  <c r="L54" i="34"/>
  <c r="W14" i="31"/>
  <c r="W66" i="33" a="1"/>
  <c r="S14" i="31"/>
  <c r="R14" i="31"/>
  <c r="W7" i="37"/>
  <c r="Y14" i="31"/>
  <c r="AC7" i="37"/>
  <c r="T14" i="31"/>
  <c r="W15" i="32" l="1"/>
  <c r="X15" i="32"/>
  <c r="U14" i="31"/>
  <c r="Y15" i="32" s="1"/>
  <c r="Z14" i="31"/>
  <c r="AK13" i="32" s="1"/>
  <c r="AH13" i="32" s="1"/>
  <c r="W68" i="33"/>
  <c r="W67" i="33"/>
  <c r="W69" i="33"/>
  <c r="W66" i="33"/>
  <c r="W66" i="34" a="1"/>
  <c r="W66" i="35" a="1"/>
  <c r="S10" i="37"/>
  <c r="W68" i="34" l="1"/>
  <c r="W67" i="34"/>
  <c r="W69" i="34"/>
  <c r="W66" i="34"/>
  <c r="W66" i="35"/>
  <c r="W69" i="35"/>
  <c r="W67" i="35"/>
  <c r="W68" i="35"/>
  <c r="G14" i="31"/>
  <c r="AH54" i="33" a="1"/>
  <c r="AC10" i="37"/>
  <c r="BB13" i="31"/>
  <c r="W10" i="37"/>
  <c r="AZ13" i="31"/>
  <c r="L14" i="31"/>
  <c r="BA13" i="31"/>
  <c r="CK13" i="32" l="1"/>
  <c r="CL13" i="32"/>
  <c r="BC13" i="31"/>
  <c r="CC12" i="32" s="1"/>
  <c r="BZ12" i="32" s="1"/>
  <c r="M14" i="31"/>
  <c r="AH57" i="33"/>
  <c r="AH56" i="33"/>
  <c r="AH55" i="33"/>
  <c r="AH54" i="33"/>
  <c r="AH54" i="35" a="1"/>
  <c r="AH54" i="34" a="1"/>
  <c r="S9" i="37"/>
  <c r="AT13" i="31"/>
  <c r="AS13" i="31"/>
  <c r="AR13" i="31"/>
  <c r="L14" i="32" l="1"/>
  <c r="AU13" i="31"/>
  <c r="CC20" i="32" s="1"/>
  <c r="BZ20" i="32" s="1"/>
  <c r="AH57" i="35"/>
  <c r="AH56" i="35"/>
  <c r="AH55" i="35"/>
  <c r="AH54" i="35"/>
  <c r="AH57" i="34"/>
  <c r="AH56" i="34"/>
  <c r="AH55" i="34"/>
  <c r="AH54" i="34"/>
  <c r="BD54" i="33" a="1"/>
  <c r="W9" i="37"/>
  <c r="AI13" i="31"/>
  <c r="AC9" i="37"/>
  <c r="AJ13" i="31" l="1"/>
  <c r="BD57" i="33"/>
  <c r="BD56" i="33"/>
  <c r="BD55" i="33"/>
  <c r="BD54" i="33"/>
  <c r="BD54" i="34" a="1"/>
  <c r="BD54" i="35" a="1"/>
  <c r="AD13" i="31"/>
  <c r="S8" i="37"/>
  <c r="AE13" i="31" l="1"/>
  <c r="BR10" i="32" s="1"/>
  <c r="BO10" i="32" s="1"/>
  <c r="BD57" i="35"/>
  <c r="BD56" i="35"/>
  <c r="BD55" i="35"/>
  <c r="BD54" i="35"/>
  <c r="BD57" i="34"/>
  <c r="BD56" i="34"/>
  <c r="BD54" i="34"/>
  <c r="BD55" i="34"/>
  <c r="W13" i="31"/>
  <c r="R13" i="31"/>
  <c r="S13" i="31"/>
  <c r="AC8" i="37"/>
  <c r="Y13" i="31"/>
  <c r="T13" i="31"/>
  <c r="W8" i="37"/>
  <c r="W14" i="32" l="1"/>
  <c r="X14" i="32"/>
  <c r="U13" i="31"/>
  <c r="Y14" i="32" s="1"/>
  <c r="Z13" i="31"/>
  <c r="AK12" i="32" s="1"/>
  <c r="AH12" i="32" s="1"/>
  <c r="G13" i="31"/>
  <c r="AZ12" i="31"/>
  <c r="BA12" i="31"/>
  <c r="L13" i="31"/>
  <c r="BB12" i="31"/>
  <c r="CK12" i="32" l="1"/>
  <c r="CL12" i="32"/>
  <c r="BC12" i="31"/>
  <c r="M13" i="31"/>
  <c r="AT12" i="31"/>
  <c r="AS12" i="31"/>
  <c r="AR12" i="31"/>
  <c r="L13" i="32" l="1"/>
  <c r="AU12" i="31"/>
  <c r="CC19" i="32" s="1"/>
  <c r="BZ19" i="32" s="1"/>
  <c r="AI12" i="31"/>
  <c r="AJ12" i="31" l="1"/>
  <c r="AD12" i="31"/>
  <c r="AE12" i="31" l="1"/>
  <c r="BR9" i="32" s="1"/>
  <c r="BO9" i="32" s="1"/>
  <c r="W12" i="31"/>
  <c r="S12" i="31"/>
  <c r="R12" i="31"/>
  <c r="Y12" i="31"/>
  <c r="T12" i="31"/>
  <c r="W13" i="32" l="1"/>
  <c r="X13" i="32"/>
  <c r="U12" i="31"/>
  <c r="Y13" i="32" s="1"/>
  <c r="Z12" i="31"/>
  <c r="AK11" i="32" s="1"/>
  <c r="AH11" i="32" s="1"/>
  <c r="G12" i="31"/>
  <c r="C12" i="31"/>
  <c r="AZ11" i="31"/>
  <c r="BA11" i="31"/>
  <c r="BB11" i="31"/>
  <c r="L12" i="31"/>
  <c r="CK11" i="32" l="1"/>
  <c r="CL11" i="32"/>
  <c r="BC11" i="31"/>
  <c r="CC11" i="32" s="1"/>
  <c r="BZ11" i="32" s="1"/>
  <c r="M12" i="31"/>
  <c r="AR11" i="31"/>
  <c r="AT11" i="31"/>
  <c r="AS11" i="31"/>
  <c r="L12" i="32" l="1"/>
  <c r="AU11" i="31"/>
  <c r="CC18" i="32" s="1"/>
  <c r="BZ18" i="32" s="1"/>
  <c r="AI11" i="31"/>
  <c r="AJ11" i="31" l="1"/>
  <c r="AD11" i="31"/>
  <c r="AE11" i="31" l="1"/>
  <c r="BR8" i="32" s="1"/>
  <c r="BO8" i="32" s="1"/>
  <c r="W11" i="31"/>
  <c r="R11" i="31"/>
  <c r="S11" i="31"/>
  <c r="Y11" i="31"/>
  <c r="T11" i="31"/>
  <c r="W12" i="32" l="1"/>
  <c r="X12" i="32"/>
  <c r="U11" i="31"/>
  <c r="Y12" i="32" s="1"/>
  <c r="Z11" i="31"/>
  <c r="AK10" i="32" s="1"/>
  <c r="AH10" i="32" s="1"/>
  <c r="G11" i="31"/>
  <c r="BB10" i="31"/>
  <c r="BA10" i="31"/>
  <c r="L11" i="31"/>
  <c r="AZ10" i="31"/>
  <c r="CK10" i="32" l="1"/>
  <c r="CL10" i="32"/>
  <c r="BC10" i="31"/>
  <c r="CC10" i="32" s="1"/>
  <c r="BZ10" i="32" s="1"/>
  <c r="M11" i="31"/>
  <c r="AR10" i="31"/>
  <c r="AT10" i="31"/>
  <c r="AS10" i="31"/>
  <c r="L11" i="32" l="1"/>
  <c r="AU10" i="31"/>
  <c r="CC17" i="32" s="1"/>
  <c r="BZ17" i="32" s="1"/>
  <c r="AI10" i="31"/>
  <c r="AJ10" i="31" l="1"/>
  <c r="AD10" i="31"/>
  <c r="Y10" i="31"/>
  <c r="Z10" i="31" l="1"/>
  <c r="T10" i="31"/>
  <c r="U10" i="31" l="1"/>
  <c r="Z11" i="32" s="1"/>
  <c r="W11" i="32" s="1"/>
  <c r="G10" i="31"/>
  <c r="C10" i="31"/>
  <c r="L10" i="31"/>
  <c r="BB9" i="31"/>
  <c r="BA9" i="31"/>
  <c r="AZ9" i="31"/>
  <c r="CK9" i="32" l="1"/>
  <c r="CL9" i="32"/>
  <c r="BC9" i="31"/>
  <c r="CC9" i="32" s="1"/>
  <c r="BZ9" i="32" s="1"/>
  <c r="M10" i="31"/>
  <c r="AT9" i="31"/>
  <c r="AS9" i="31"/>
  <c r="AR9" i="31"/>
  <c r="L10" i="32" l="1"/>
  <c r="AU9" i="31"/>
  <c r="CC16" i="32" s="1"/>
  <c r="BZ16" i="32" s="1"/>
  <c r="AI9" i="31"/>
  <c r="AJ9" i="31" l="1"/>
  <c r="AD9" i="31"/>
  <c r="Y9" i="31"/>
  <c r="Z9" i="31" l="1"/>
  <c r="AH9" i="32" s="1"/>
  <c r="T9" i="31"/>
  <c r="U9" i="31" l="1"/>
  <c r="Z10" i="32" s="1"/>
  <c r="W10" i="32" s="1"/>
  <c r="G9" i="31"/>
  <c r="D9" i="31"/>
  <c r="C9" i="31"/>
  <c r="L9" i="31"/>
  <c r="BB8" i="31"/>
  <c r="AZ8" i="31"/>
  <c r="BA8" i="31"/>
  <c r="E9" i="31" l="1"/>
  <c r="CK8" i="32"/>
  <c r="CL8" i="32"/>
  <c r="BC8" i="31"/>
  <c r="CC8" i="32" s="1"/>
  <c r="BZ8" i="32" s="1"/>
  <c r="M9" i="31"/>
  <c r="AR8" i="31"/>
  <c r="AS8" i="31"/>
  <c r="AT8" i="31"/>
  <c r="L9" i="32" l="1"/>
  <c r="AU8" i="31"/>
  <c r="CC15" i="32" s="1"/>
  <c r="BZ15" i="32" s="1"/>
  <c r="AD8" i="31"/>
  <c r="AI8" i="31"/>
  <c r="AJ8" i="31" l="1"/>
  <c r="Y8" i="31"/>
  <c r="Z8" i="31" l="1"/>
  <c r="AH8" i="32" s="1"/>
  <c r="T8" i="31"/>
  <c r="U8" i="31" l="1"/>
  <c r="Z9" i="32" s="1"/>
  <c r="W9" i="32" s="1"/>
  <c r="I8" i="31"/>
  <c r="J8" i="31"/>
  <c r="K8" i="31"/>
  <c r="I9" i="31"/>
  <c r="I10" i="31"/>
  <c r="J9" i="31"/>
  <c r="K9" i="31"/>
  <c r="I11" i="31"/>
  <c r="K10" i="31"/>
  <c r="J10" i="31"/>
  <c r="I12" i="31"/>
  <c r="K11" i="31"/>
  <c r="J11" i="31"/>
  <c r="J12" i="31"/>
  <c r="K12" i="31"/>
  <c r="I13" i="31"/>
  <c r="I14" i="31"/>
  <c r="K13" i="31"/>
  <c r="J13" i="31"/>
  <c r="K14" i="31"/>
  <c r="J14" i="31"/>
  <c r="N14" i="32" l="1"/>
  <c r="N13" i="32"/>
  <c r="N12" i="32"/>
  <c r="N11" i="32"/>
  <c r="N10" i="32"/>
  <c r="N9" i="32"/>
  <c r="N8" i="32"/>
  <c r="M8" i="32"/>
  <c r="G8" i="31"/>
  <c r="C8" i="31"/>
  <c r="M9" i="32"/>
  <c r="AZ7" i="31"/>
  <c r="BA7" i="31"/>
  <c r="L8" i="31"/>
  <c r="CK7" i="32" l="1"/>
  <c r="CL7" i="32"/>
  <c r="M8" i="31"/>
  <c r="M10" i="32"/>
  <c r="AS7" i="31"/>
  <c r="AT7" i="31"/>
  <c r="AR7" i="31"/>
  <c r="L8" i="32" l="1"/>
  <c r="AU7" i="31"/>
  <c r="CC14" i="32" s="1"/>
  <c r="BZ14" i="32" s="1"/>
  <c r="M11" i="32"/>
  <c r="BZ41" i="32"/>
  <c r="AI7" i="31"/>
  <c r="D12" i="31" l="1"/>
  <c r="E12" i="31" s="1"/>
  <c r="AJ7" i="31"/>
  <c r="AB7" i="31"/>
  <c r="C11" i="31" s="1"/>
  <c r="M12" i="32"/>
  <c r="Y7" i="31"/>
  <c r="D10" i="31" l="1"/>
  <c r="E10" i="31" s="1"/>
  <c r="Z7" i="31"/>
  <c r="AH7" i="32" s="1"/>
  <c r="AH45" i="32"/>
  <c r="T7" i="31"/>
  <c r="M13" i="32"/>
  <c r="D8" i="31" l="1"/>
  <c r="E8" i="31" s="1"/>
  <c r="AD7" i="31"/>
  <c r="U7" i="31"/>
  <c r="Z8" i="32" s="1"/>
  <c r="M14" i="32"/>
  <c r="W8" i="32" l="1"/>
  <c r="Z7" i="32"/>
  <c r="W7" i="32" s="1"/>
  <c r="D11" i="31"/>
  <c r="E11" i="31" s="1"/>
  <c r="AE7" i="31"/>
  <c r="G7" i="31"/>
  <c r="C7" i="31" s="1"/>
  <c r="W45" i="32"/>
  <c r="L7" i="31"/>
  <c r="M7" i="31" l="1"/>
  <c r="O7" i="32" s="1"/>
  <c r="L7" i="32" s="1"/>
  <c r="D7" i="31"/>
  <c r="B4" i="31" s="1"/>
  <c r="AK8" i="32"/>
  <c r="AK7" i="32" s="1"/>
  <c r="BR7" i="32"/>
  <c r="BO7" i="32" s="1"/>
  <c r="L45" i="32"/>
  <c r="BO45" i="32"/>
  <c r="L54" i="32" a="1"/>
  <c r="L56" i="32" l="1"/>
  <c r="L57" i="32"/>
  <c r="L55" i="32"/>
  <c r="L54" i="32"/>
  <c r="E7" i="31"/>
  <c r="E4" i="31" s="1"/>
  <c r="G7" i="37"/>
  <c r="G13" i="37"/>
  <c r="AD17" i="3" l="1"/>
  <c r="AD18" i="3" s="1"/>
  <c r="AD19" i="3" s="1"/>
  <c r="W54" i="32" a="1"/>
  <c r="W57" i="32" l="1"/>
  <c r="W56" i="32"/>
  <c r="W55" i="32"/>
  <c r="W54" i="32"/>
  <c r="AD16" i="3"/>
  <c r="G9" i="37"/>
  <c r="AD15" i="3" l="1"/>
  <c r="AH54" i="32" a="1"/>
  <c r="BO54" i="32" a="1"/>
  <c r="BO55" i="32" l="1"/>
  <c r="BO56" i="32"/>
  <c r="BO57" i="32"/>
  <c r="BO54" i="32"/>
  <c r="AH56" i="32"/>
  <c r="AH55" i="32"/>
  <c r="AH54" i="32"/>
  <c r="AH57" i="32"/>
  <c r="AD14" i="3"/>
  <c r="G10" i="37"/>
  <c r="G8" i="37"/>
  <c r="AD13" i="3" l="1"/>
  <c r="AD12" i="3" l="1"/>
  <c r="AD11" i="3" l="1"/>
  <c r="AD10" i="3" l="1"/>
  <c r="AD9" i="3" l="1"/>
  <c r="AD8" i="3" l="1"/>
  <c r="AD7" i="3" l="1"/>
  <c r="AD6" i="3" l="1"/>
  <c r="AA17" i="3" l="1"/>
  <c r="AA18" i="3" s="1"/>
  <c r="AA19" i="3" s="1"/>
  <c r="AA16" i="3" l="1"/>
  <c r="AA15" i="3" l="1"/>
  <c r="AA14" i="3" l="1"/>
  <c r="AA13" i="3" l="1"/>
  <c r="AA12" i="3" l="1"/>
  <c r="AA11" i="3" l="1"/>
  <c r="AA10" i="3" l="1"/>
  <c r="AU18" i="3"/>
  <c r="AU19" i="3" s="1"/>
  <c r="AU20" i="3" s="1"/>
  <c r="AA9" i="3" l="1"/>
  <c r="AU17" i="3"/>
  <c r="AA8" i="3" l="1"/>
  <c r="AU16" i="3"/>
  <c r="AA7" i="3" l="1"/>
  <c r="AU15" i="3"/>
  <c r="AA6" i="3" l="1"/>
  <c r="AU14" i="3"/>
  <c r="AU13" i="3" l="1"/>
  <c r="U25" i="3" l="1"/>
  <c r="AU12" i="3" l="1"/>
  <c r="U24" i="3" l="1"/>
  <c r="AU11" i="3" l="1"/>
  <c r="U23" i="3" l="1"/>
  <c r="AU10" i="3" l="1"/>
  <c r="U22" i="3" l="1"/>
  <c r="AU9" i="3" l="1"/>
  <c r="BM20" i="3" l="1"/>
  <c r="BM21" i="3" s="1"/>
  <c r="BM22" i="3" s="1"/>
  <c r="U21" i="3"/>
  <c r="BD20" i="3" l="1"/>
  <c r="BD21" i="3" s="1"/>
  <c r="BD22" i="3" s="1"/>
  <c r="AU8" i="3" l="1"/>
  <c r="BM19" i="3" l="1"/>
  <c r="U20" i="3"/>
  <c r="BD19" i="3" l="1"/>
  <c r="AU7" i="3" l="1"/>
  <c r="BM18" i="3" l="1"/>
  <c r="U19" i="3"/>
  <c r="BD18" i="3" l="1"/>
  <c r="AU6" i="3" l="1"/>
  <c r="U18" i="3" l="1"/>
  <c r="BM17" i="3" l="1"/>
  <c r="BD17" i="3" l="1"/>
  <c r="AQ13" i="3" l="1"/>
  <c r="AP13" i="3" l="1"/>
  <c r="AO13" i="3"/>
  <c r="AN13" i="3"/>
  <c r="U17" i="3" l="1"/>
  <c r="M16" i="58"/>
  <c r="M16" i="48"/>
  <c r="BM16" i="3" l="1"/>
  <c r="M27" i="58"/>
  <c r="M26" i="58"/>
  <c r="M25" i="58"/>
  <c r="M22" i="58"/>
  <c r="M20" i="58"/>
  <c r="M19" i="58"/>
  <c r="M18" i="58"/>
  <c r="M17" i="58"/>
  <c r="O16" i="49"/>
  <c r="L16" i="49" s="1"/>
  <c r="M27" i="48"/>
  <c r="M26" i="48"/>
  <c r="O26" i="49" s="1"/>
  <c r="L26" i="49" s="1"/>
  <c r="M25" i="48"/>
  <c r="O25" i="49" s="1"/>
  <c r="L25" i="49" s="1"/>
  <c r="M22" i="48"/>
  <c r="M20" i="48"/>
  <c r="M19" i="48"/>
  <c r="O19" i="49" s="1"/>
  <c r="L19" i="49" s="1"/>
  <c r="M18" i="48"/>
  <c r="O18" i="49" s="1"/>
  <c r="L18" i="49" s="1"/>
  <c r="M17" i="48"/>
  <c r="O17" i="49" s="1"/>
  <c r="L17" i="49" s="1"/>
  <c r="M21" i="58" l="1"/>
  <c r="BD16" i="3"/>
  <c r="O20" i="49"/>
  <c r="L20" i="49" s="1"/>
  <c r="M21" i="48"/>
  <c r="O21" i="49" s="1"/>
  <c r="L21" i="49" s="1"/>
  <c r="O22" i="49"/>
  <c r="L22" i="49" s="1"/>
  <c r="M24" i="48"/>
  <c r="O24" i="49" s="1"/>
  <c r="L24" i="49" s="1"/>
  <c r="M23" i="48"/>
  <c r="O23" i="49" s="1"/>
  <c r="L23" i="49" s="1"/>
  <c r="M24" i="58"/>
  <c r="M23" i="58"/>
  <c r="L45" i="49"/>
  <c r="L54" i="49" s="1" a="1"/>
  <c r="AQ12" i="3" l="1"/>
  <c r="L56" i="49"/>
  <c r="L57" i="49"/>
  <c r="L54" i="49"/>
  <c r="L55" i="49"/>
  <c r="O7" i="37"/>
  <c r="U16" i="3" l="1"/>
  <c r="AP12" i="3"/>
  <c r="AO12" i="3"/>
  <c r="AN12" i="3"/>
  <c r="W54" i="49" a="1"/>
  <c r="W57" i="49" l="1"/>
  <c r="W56" i="49"/>
  <c r="W54" i="49"/>
  <c r="W55" i="49"/>
  <c r="O9" i="37"/>
  <c r="BM15" i="3" l="1"/>
  <c r="BD54" i="49" a="1"/>
  <c r="AH54" i="49" a="1"/>
  <c r="BD15" i="3" l="1"/>
  <c r="AH57" i="49"/>
  <c r="AH56" i="49"/>
  <c r="AH55" i="49"/>
  <c r="AH54" i="49"/>
  <c r="BD57" i="49"/>
  <c r="BD56" i="49"/>
  <c r="BD54" i="49"/>
  <c r="BD55" i="49"/>
  <c r="O10" i="37"/>
  <c r="O8" i="37"/>
  <c r="AQ11" i="3" l="1"/>
  <c r="U15" i="3" l="1"/>
  <c r="AP11" i="3"/>
  <c r="AO11" i="3"/>
  <c r="AN11" i="3"/>
  <c r="BM14" i="3" l="1"/>
  <c r="BD14" i="3" l="1"/>
  <c r="AQ10" i="3" l="1"/>
  <c r="U14" i="3" l="1"/>
  <c r="AP10" i="3"/>
  <c r="AO10" i="3"/>
  <c r="AN10" i="3"/>
  <c r="BM13" i="3" l="1"/>
  <c r="BD13" i="3" l="1"/>
  <c r="AQ9" i="3" l="1"/>
  <c r="U13" i="3" l="1"/>
  <c r="AP9" i="3"/>
  <c r="AO9" i="3"/>
  <c r="AN9" i="3"/>
  <c r="BM12" i="3" l="1"/>
  <c r="BD12" i="3" l="1"/>
  <c r="AQ8" i="3" l="1"/>
  <c r="U12" i="3" l="1"/>
  <c r="AP8" i="3"/>
  <c r="AO8" i="3"/>
  <c r="AN8" i="3"/>
  <c r="BM11" i="3" l="1"/>
  <c r="BD11" i="3" l="1"/>
  <c r="AQ7" i="3" l="1"/>
  <c r="U11" i="3" l="1"/>
  <c r="AP7" i="3"/>
  <c r="AO7" i="3"/>
  <c r="AN7" i="3"/>
  <c r="BM10" i="3" l="1"/>
  <c r="BD10" i="3" l="1"/>
  <c r="AQ6" i="3" l="1"/>
  <c r="U10" i="3" l="1"/>
  <c r="AP6" i="3"/>
  <c r="AO6" i="3"/>
  <c r="AN6" i="3"/>
  <c r="BM9" i="3" l="1"/>
  <c r="BD9" i="3" l="1"/>
  <c r="AL9" i="3" l="1"/>
  <c r="U9" i="3" l="1"/>
  <c r="BM8" i="3" l="1"/>
  <c r="BD8" i="3" l="1"/>
  <c r="AL8" i="3" l="1"/>
  <c r="U8" i="3" l="1"/>
  <c r="BM7" i="3" l="1"/>
  <c r="BD7" i="3" l="1"/>
  <c r="AL7" i="3" l="1"/>
  <c r="U7" i="3" l="1"/>
  <c r="BM6" i="3" l="1"/>
  <c r="BJ12" i="3"/>
  <c r="BD6" i="3" l="1"/>
  <c r="BA12" i="3"/>
  <c r="AL6" i="3" l="1"/>
  <c r="BA22" i="3" a="1"/>
  <c r="AI14" i="3"/>
  <c r="BA23" i="3" l="1"/>
  <c r="BP42" i="3" s="1"/>
  <c r="BA25" i="3"/>
  <c r="BA22" i="3"/>
  <c r="BA24" i="3"/>
  <c r="U6" i="3"/>
  <c r="E10" i="37"/>
  <c r="R14" i="3"/>
  <c r="BO54" i="56" a="1"/>
  <c r="R28" i="3" a="1"/>
  <c r="BO54" i="56" l="1"/>
  <c r="R30" i="3"/>
  <c r="R28" i="3"/>
  <c r="R31" i="3"/>
  <c r="R29" i="3"/>
  <c r="BO57" i="56"/>
  <c r="BO56" i="56"/>
  <c r="BO55" i="56"/>
  <c r="E7" i="37"/>
  <c r="E12" i="37"/>
  <c r="AA12" i="37"/>
  <c r="AI28" i="3" a="1"/>
  <c r="BZ45" i="53"/>
  <c r="CK45" i="32"/>
  <c r="BZ45" i="39"/>
  <c r="CK45" i="47"/>
  <c r="BZ55" i="53"/>
  <c r="CK55" i="32"/>
  <c r="CA29" i="19"/>
  <c r="CB23" i="19"/>
  <c r="CA21" i="19"/>
  <c r="CB15" i="19"/>
  <c r="CA13" i="19"/>
  <c r="CB17" i="19"/>
  <c r="BZ44" i="35"/>
  <c r="CB19" i="19"/>
  <c r="BZ54" i="35"/>
  <c r="CA22" i="19"/>
  <c r="BZ45" i="29"/>
  <c r="BZ55" i="29" s="1"/>
  <c r="CB26" i="19"/>
  <c r="BZ55" i="39"/>
  <c r="CK55" i="47"/>
  <c r="BZ45" i="36"/>
  <c r="BZ45" i="34"/>
  <c r="BZ55" i="34" s="1"/>
  <c r="BZ45" i="30"/>
  <c r="BZ55" i="30" s="1"/>
  <c r="CB28" i="19"/>
  <c r="CA26" i="19"/>
  <c r="CB20" i="19"/>
  <c r="CA18" i="19"/>
  <c r="CB12" i="19"/>
  <c r="BZ45" i="40"/>
  <c r="BZ55" i="36"/>
  <c r="BZ45" i="51"/>
  <c r="CA23" i="19"/>
  <c r="CA15" i="19"/>
  <c r="CB11" i="19"/>
  <c r="CB16" i="19"/>
  <c r="CB21" i="19"/>
  <c r="CA24" i="19"/>
  <c r="CB25" i="19"/>
  <c r="CA25" i="19"/>
  <c r="BZ45" i="38"/>
  <c r="BZ55" i="38" s="1"/>
  <c r="CA16" i="19"/>
  <c r="BZ55" i="40"/>
  <c r="BZ55" i="51"/>
  <c r="CA28" i="19"/>
  <c r="CB22" i="19"/>
  <c r="CA20" i="19"/>
  <c r="CB14" i="19"/>
  <c r="CA12" i="19"/>
  <c r="BZ45" i="49"/>
  <c r="BZ55" i="49" s="1"/>
  <c r="BZ45" i="33"/>
  <c r="CB30" i="19"/>
  <c r="CB27" i="19"/>
  <c r="CA17" i="19"/>
  <c r="CA30" i="19"/>
  <c r="CA14" i="19"/>
  <c r="CA19" i="19"/>
  <c r="CB18" i="19"/>
  <c r="BZ55" i="33"/>
  <c r="CB24" i="19"/>
  <c r="CB29" i="19"/>
  <c r="CA27" i="19"/>
  <c r="CA11" i="19"/>
  <c r="BZ45" i="9"/>
  <c r="BZ55" i="9" s="1"/>
  <c r="BZ45" i="60"/>
  <c r="BZ55" i="60" s="1"/>
  <c r="CB13" i="19"/>
  <c r="CC14" i="19" l="1"/>
  <c r="L16" i="37"/>
  <c r="AL16" i="37"/>
  <c r="CC30" i="19"/>
  <c r="CC25" i="19"/>
  <c r="R16" i="37"/>
  <c r="CC19" i="19"/>
  <c r="CC28" i="19"/>
  <c r="N16" i="37"/>
  <c r="CC15" i="19"/>
  <c r="CC23" i="19"/>
  <c r="Q16" i="37"/>
  <c r="P16" i="37"/>
  <c r="J16" i="37"/>
  <c r="CC26" i="19"/>
  <c r="CC22" i="19"/>
  <c r="CC17" i="19"/>
  <c r="CC12" i="19"/>
  <c r="CC11" i="19"/>
  <c r="CC10" i="19" s="1"/>
  <c r="AH16" i="37"/>
  <c r="CC13" i="19"/>
  <c r="CC21" i="19"/>
  <c r="CC29" i="19"/>
  <c r="AJ16" i="37"/>
  <c r="AB16" i="37"/>
  <c r="H16" i="37"/>
  <c r="CC27" i="19"/>
  <c r="AF16" i="37"/>
  <c r="V16" i="37"/>
  <c r="CC20" i="19"/>
  <c r="CC18" i="19"/>
  <c r="CC16" i="19"/>
  <c r="CD22" i="19" s="1"/>
  <c r="CC24" i="19"/>
  <c r="F16" i="37"/>
  <c r="AI30" i="3"/>
  <c r="AI31" i="3"/>
  <c r="AI29" i="3"/>
  <c r="AI28" i="3"/>
  <c r="E9" i="37"/>
  <c r="CD13" i="19" l="1"/>
  <c r="CD12" i="19"/>
  <c r="CD26" i="19"/>
  <c r="CD29" i="19"/>
  <c r="CD18" i="19"/>
  <c r="CD23" i="19"/>
  <c r="CD30" i="19"/>
  <c r="CD28" i="19"/>
  <c r="CD20" i="19"/>
  <c r="CD21" i="19"/>
  <c r="CD15" i="19"/>
  <c r="CD16" i="19"/>
  <c r="CD17" i="19"/>
  <c r="CD27" i="19"/>
  <c r="CD11" i="19"/>
  <c r="CD24" i="19"/>
  <c r="CD14" i="19"/>
  <c r="CD19" i="19"/>
  <c r="CD25" i="19"/>
  <c r="BO54" i="34" a="1"/>
  <c r="BO54" i="51" a="1"/>
  <c r="BO54" i="30" a="1"/>
  <c r="BO54" i="33" a="1"/>
  <c r="BO54" i="29" a="1"/>
  <c r="BO54" i="49" a="1"/>
  <c r="BO54" i="38" a="1"/>
  <c r="BZ54" i="47" a="1"/>
  <c r="BO54" i="40" a="1"/>
  <c r="BO54" i="36" a="1"/>
  <c r="BO54" i="53" a="1"/>
  <c r="BZ50" i="32" a="1"/>
  <c r="BO54" i="9" a="1"/>
  <c r="BO50" i="35" a="1"/>
  <c r="BJ22" i="3" a="1"/>
  <c r="BO57" i="30" l="1"/>
  <c r="BO56" i="30"/>
  <c r="BO54" i="30"/>
  <c r="BO55" i="30"/>
  <c r="BO57" i="34"/>
  <c r="BO56" i="34"/>
  <c r="BO54" i="34"/>
  <c r="BO55" i="34"/>
  <c r="BO57" i="38"/>
  <c r="BO56" i="38"/>
  <c r="BO55" i="38"/>
  <c r="BO54" i="38"/>
  <c r="BO56" i="53"/>
  <c r="BO57" i="53"/>
  <c r="BO55" i="53"/>
  <c r="BO54" i="53"/>
  <c r="BO52" i="35"/>
  <c r="BO50" i="35"/>
  <c r="BO53" i="35"/>
  <c r="BO51" i="35"/>
  <c r="BO56" i="49"/>
  <c r="BO57" i="49"/>
  <c r="BO55" i="49"/>
  <c r="BO54" i="49"/>
  <c r="BO57" i="9"/>
  <c r="BO56" i="9"/>
  <c r="BO54" i="9"/>
  <c r="BO55" i="9"/>
  <c r="BZ52" i="32"/>
  <c r="BZ51" i="32"/>
  <c r="BZ50" i="32"/>
  <c r="BZ53" i="32"/>
  <c r="BO56" i="36"/>
  <c r="BO57" i="36"/>
  <c r="BO54" i="36"/>
  <c r="BO55" i="36"/>
  <c r="BO56" i="40"/>
  <c r="BO57" i="40"/>
  <c r="BO54" i="40"/>
  <c r="BO55" i="40"/>
  <c r="BO57" i="33"/>
  <c r="BO56" i="33"/>
  <c r="BO55" i="33"/>
  <c r="BO54" i="33"/>
  <c r="BZ56" i="47"/>
  <c r="BZ57" i="47"/>
  <c r="BZ54" i="47"/>
  <c r="BZ55" i="47"/>
  <c r="BO57" i="29"/>
  <c r="BO56" i="29"/>
  <c r="BO55" i="29"/>
  <c r="BO54" i="29"/>
  <c r="BO57" i="51"/>
  <c r="BO56" i="51"/>
  <c r="BO54" i="51"/>
  <c r="BO55" i="51"/>
  <c r="BJ24" i="3"/>
  <c r="BJ25" i="3"/>
  <c r="BJ22" i="3"/>
  <c r="BJ23" i="3"/>
  <c r="E8" i="37"/>
  <c r="AK12" i="37"/>
  <c r="AM12" i="37"/>
  <c r="AI12" i="37"/>
  <c r="AG12" i="37"/>
  <c r="AC12" i="37"/>
  <c r="Y12" i="37"/>
  <c r="U12" i="37"/>
  <c r="K12" i="37"/>
  <c r="S12" i="37"/>
  <c r="G12" i="37"/>
  <c r="I12" i="37"/>
  <c r="O12" i="37"/>
  <c r="Q12" i="37"/>
  <c r="W13" i="37"/>
  <c r="CK54" i="35" a="1"/>
  <c r="CE54" i="35" a="1"/>
  <c r="CE54" i="33" a="1"/>
  <c r="CK54" i="33" a="1"/>
  <c r="CK54" i="34" a="1"/>
  <c r="CE54" i="34" a="1"/>
  <c r="CK54" i="56" a="1"/>
  <c r="CK54" i="38" a="1"/>
  <c r="CE54" i="29" a="1"/>
  <c r="CK54" i="30" a="1"/>
  <c r="BT46" i="3" a="1"/>
  <c r="CE54" i="38" a="1"/>
  <c r="CK54" i="29" a="1"/>
  <c r="CE54" i="51" a="1"/>
  <c r="BO54" i="39" a="1"/>
  <c r="CK54" i="53" a="1"/>
  <c r="CE54" i="36" a="1"/>
  <c r="CK54" i="49" a="1"/>
  <c r="CP54" i="47" a="1"/>
  <c r="CK54" i="51" a="1"/>
  <c r="CP54" i="32" a="1"/>
  <c r="CE54" i="53" a="1"/>
  <c r="CK54" i="36" a="1"/>
  <c r="BX46" i="3" a="1"/>
  <c r="CE54" i="56" a="1"/>
  <c r="CE54" i="40" a="1"/>
  <c r="CE54" i="9" a="1"/>
  <c r="CE54" i="49" a="1"/>
  <c r="BP46" i="3" a="1"/>
  <c r="CK54" i="40" a="1"/>
  <c r="CK54" i="9" a="1"/>
  <c r="CE54" i="30" a="1"/>
  <c r="CK57" i="30" l="1"/>
  <c r="CK56" i="30"/>
  <c r="CK55" i="30"/>
  <c r="CK54" i="30"/>
  <c r="CE57" i="30"/>
  <c r="CE56" i="30"/>
  <c r="CE55" i="30"/>
  <c r="CE54" i="30"/>
  <c r="CK57" i="34"/>
  <c r="CK56" i="34"/>
  <c r="CK55" i="34"/>
  <c r="CK54" i="34"/>
  <c r="CE57" i="33"/>
  <c r="CE56" i="33"/>
  <c r="CE55" i="33"/>
  <c r="CE54" i="33"/>
  <c r="CK56" i="49"/>
  <c r="CK57" i="49"/>
  <c r="CK55" i="49"/>
  <c r="CK54" i="49"/>
  <c r="CK57" i="9"/>
  <c r="CK56" i="9"/>
  <c r="CK55" i="9"/>
  <c r="CK54" i="9"/>
  <c r="CK56" i="40"/>
  <c r="CK57" i="40"/>
  <c r="CK55" i="40"/>
  <c r="CK54" i="40"/>
  <c r="BP48" i="3"/>
  <c r="BP46" i="3"/>
  <c r="BP47" i="3"/>
  <c r="BP49" i="3"/>
  <c r="CE56" i="49"/>
  <c r="CE55" i="49"/>
  <c r="CE57" i="49"/>
  <c r="CE54" i="49"/>
  <c r="CE55" i="9"/>
  <c r="CE57" i="9"/>
  <c r="CE56" i="9"/>
  <c r="CE54" i="9"/>
  <c r="CE55" i="40"/>
  <c r="CE57" i="40"/>
  <c r="CE54" i="40"/>
  <c r="CE56" i="40"/>
  <c r="CE57" i="56"/>
  <c r="CE55" i="56"/>
  <c r="CE56" i="56"/>
  <c r="CE54" i="56"/>
  <c r="BX48" i="3"/>
  <c r="BX47" i="3"/>
  <c r="BX46" i="3"/>
  <c r="BX49" i="3"/>
  <c r="CE57" i="34"/>
  <c r="CE56" i="34"/>
  <c r="CE55" i="34"/>
  <c r="CE54" i="34"/>
  <c r="CK55" i="36"/>
  <c r="CK56" i="36"/>
  <c r="CK54" i="36"/>
  <c r="CK57" i="36"/>
  <c r="CE55" i="53"/>
  <c r="CE56" i="53"/>
  <c r="CE57" i="53"/>
  <c r="CE54" i="53"/>
  <c r="CP56" i="32"/>
  <c r="CP55" i="32"/>
  <c r="CP57" i="32"/>
  <c r="CP54" i="32"/>
  <c r="CK57" i="51"/>
  <c r="CK56" i="51"/>
  <c r="CK55" i="51"/>
  <c r="CK54" i="51"/>
  <c r="CP56" i="47"/>
  <c r="CP55" i="47"/>
  <c r="CP57" i="47"/>
  <c r="CP54" i="47"/>
  <c r="CE55" i="36"/>
  <c r="CE56" i="36"/>
  <c r="CE54" i="36"/>
  <c r="CE57" i="36"/>
  <c r="CK57" i="53"/>
  <c r="CK55" i="53"/>
  <c r="CK54" i="53"/>
  <c r="CK56" i="53"/>
  <c r="BO57" i="39"/>
  <c r="BO56" i="39"/>
  <c r="BO54" i="39"/>
  <c r="BO55" i="39"/>
  <c r="CE57" i="51"/>
  <c r="CE56" i="51"/>
  <c r="CE55" i="51"/>
  <c r="CE54" i="51"/>
  <c r="CK56" i="29"/>
  <c r="CK55" i="29"/>
  <c r="CK57" i="29"/>
  <c r="CK54" i="29"/>
  <c r="CE55" i="38"/>
  <c r="CE57" i="38"/>
  <c r="CE56" i="38"/>
  <c r="CE54" i="38"/>
  <c r="BT46" i="3"/>
  <c r="BT48" i="3"/>
  <c r="BT47" i="3"/>
  <c r="BT49" i="3"/>
  <c r="CE57" i="35"/>
  <c r="CE56" i="35"/>
  <c r="CE55" i="35"/>
  <c r="CE54" i="35"/>
  <c r="CK57" i="33"/>
  <c r="CK55" i="33"/>
  <c r="CK56" i="33"/>
  <c r="CK54" i="33"/>
  <c r="CE57" i="29"/>
  <c r="CE56" i="29"/>
  <c r="CE54" i="29"/>
  <c r="CE55" i="29"/>
  <c r="CK55" i="38"/>
  <c r="CK57" i="38"/>
  <c r="CK56" i="38"/>
  <c r="CK54" i="38"/>
  <c r="CK56" i="56"/>
  <c r="CK57" i="56"/>
  <c r="CK55" i="56"/>
  <c r="CK54" i="56"/>
  <c r="CK57" i="35"/>
  <c r="CK54" i="35"/>
  <c r="CK56" i="35"/>
  <c r="CK55" i="35"/>
  <c r="E13" i="37"/>
  <c r="E14" i="37"/>
  <c r="Y13" i="37"/>
  <c r="AI14" i="37"/>
  <c r="U14" i="37"/>
  <c r="AG13" i="37"/>
  <c r="O13" i="37"/>
  <c r="I13" i="37"/>
  <c r="Q13" i="37"/>
  <c r="K13" i="37"/>
  <c r="AA14" i="37"/>
  <c r="AK13" i="37"/>
  <c r="AC13" i="37"/>
  <c r="S13" i="37"/>
  <c r="AG14" i="37"/>
  <c r="W14" i="37"/>
  <c r="AM14" i="37"/>
  <c r="AK14" i="37"/>
  <c r="AC14" i="37"/>
  <c r="O14" i="37"/>
  <c r="Y14" i="37"/>
  <c r="G14" i="37"/>
  <c r="Q14" i="37"/>
  <c r="K14" i="37"/>
  <c r="AI13" i="37"/>
  <c r="AM13" i="37"/>
  <c r="AA13" i="37"/>
  <c r="AE13" i="37"/>
  <c r="U13" i="37"/>
  <c r="S14" i="37"/>
</calcChain>
</file>

<file path=xl/sharedStrings.xml><?xml version="1.0" encoding="utf-8"?>
<sst xmlns="http://schemas.openxmlformats.org/spreadsheetml/2006/main" count="22598" uniqueCount="1715">
  <si>
    <t>Today</t>
  </si>
  <si>
    <t>Static Data</t>
  </si>
  <si>
    <t>USD</t>
  </si>
  <si>
    <t>EUR</t>
  </si>
  <si>
    <t>SWAP_SPOT_OFFSET</t>
  </si>
  <si>
    <t>2D</t>
  </si>
  <si>
    <t>SWAP_SPOT_CAL</t>
  </si>
  <si>
    <t>SWAP_SPOT</t>
  </si>
  <si>
    <t>SWAP_SEC_CAL</t>
  </si>
  <si>
    <t>SWAP_SEC_SPOT_OFFSET</t>
  </si>
  <si>
    <t>SWAP_SEC_SPOT</t>
  </si>
  <si>
    <t>OIS_SPOT_OFFSET</t>
  </si>
  <si>
    <t>OIS_SPOT_CAL</t>
  </si>
  <si>
    <t>OIS_SPOT</t>
  </si>
  <si>
    <t>FX_SPOT_OFFSET</t>
  </si>
  <si>
    <t>FX_SPOT_CAL</t>
  </si>
  <si>
    <t>FX_SPOT</t>
  </si>
  <si>
    <t>FX_TOM</t>
  </si>
  <si>
    <t>NDF_SPOT_OFFSET</t>
  </si>
  <si>
    <t>NDF_SPOT_CAL</t>
  </si>
  <si>
    <t>NDF_TOM</t>
  </si>
  <si>
    <t>NDF_SPOT</t>
  </si>
  <si>
    <t>CRS_SPOT_OFFSET</t>
  </si>
  <si>
    <t>CRS_SPOT_CAL</t>
  </si>
  <si>
    <t>CRS_SPOT</t>
  </si>
  <si>
    <t>TSY_STL_OFFSET</t>
  </si>
  <si>
    <t>TSY_STL_CAL</t>
  </si>
  <si>
    <t>TSY_STL</t>
  </si>
  <si>
    <t>1D</t>
  </si>
  <si>
    <t>SWAP CALENDARS</t>
  </si>
  <si>
    <t>SWAP_FIX_CAL</t>
  </si>
  <si>
    <t>SWAP_PAY_CAL</t>
  </si>
  <si>
    <t>OIS CALENDARS</t>
  </si>
  <si>
    <t>OIS_FIX_CAL</t>
  </si>
  <si>
    <t>OIS_PAY_CAL</t>
  </si>
  <si>
    <t>IS_RECIPRO?</t>
  </si>
  <si>
    <t>IS_DELIV?</t>
  </si>
  <si>
    <t>SCALING_FACTOR</t>
  </si>
  <si>
    <t>DECIMAL_PREC</t>
  </si>
  <si>
    <t>FX BASICS</t>
  </si>
  <si>
    <t>SWAP BASICS</t>
  </si>
  <si>
    <t>SWAP_FIX_BASIS</t>
  </si>
  <si>
    <t>SWAP_FIX_FREQ</t>
  </si>
  <si>
    <t>SWAP_FLOAT_BASIS</t>
  </si>
  <si>
    <t>SWAP_FLOAT_FREQ</t>
  </si>
  <si>
    <t>30/360</t>
  </si>
  <si>
    <t>6M</t>
  </si>
  <si>
    <t>1Y</t>
  </si>
  <si>
    <t>ACT/360</t>
  </si>
  <si>
    <t>3M</t>
  </si>
  <si>
    <t>OIS_FIX_BASIS</t>
  </si>
  <si>
    <t>OIS_FIX_FREQ</t>
  </si>
  <si>
    <t>OIS_FLOAT_BASIS</t>
  </si>
  <si>
    <t>OIS_FLOAT_FREQ</t>
  </si>
  <si>
    <t>SWAP_SEC_FIX_BASIS</t>
  </si>
  <si>
    <t>SWAP_SEC_FIX_FREQ</t>
  </si>
  <si>
    <t>CCS_FIX_BASIS</t>
  </si>
  <si>
    <t>CCS_FIX_FREQ</t>
  </si>
  <si>
    <t>COLLAT BASICS</t>
  </si>
  <si>
    <t>SWAP_BASE_COLLAT</t>
  </si>
  <si>
    <t>USD_1D</t>
  </si>
  <si>
    <t>EUR_1D</t>
  </si>
  <si>
    <t>ND_SWAP_BASE_COLLAT</t>
  </si>
  <si>
    <t>OIS_BASE_COLLAT</t>
  </si>
  <si>
    <t>CRS_BASE_COLLAT</t>
  </si>
  <si>
    <t>SWAP_BASE_NONCOLLAT</t>
  </si>
  <si>
    <t>USD_3M</t>
  </si>
  <si>
    <t>EUR_3M</t>
  </si>
  <si>
    <t>MMREF</t>
  </si>
  <si>
    <t>MM_1D</t>
  </si>
  <si>
    <t>MM_1M</t>
  </si>
  <si>
    <t>MM_3M</t>
  </si>
  <si>
    <t>MM_6M</t>
  </si>
  <si>
    <t>MM_12M</t>
  </si>
  <si>
    <t>MM_SEC_1D</t>
  </si>
  <si>
    <t>MM_SEC_1M</t>
  </si>
  <si>
    <t>MM_SEC_3M</t>
  </si>
  <si>
    <t>MM_SEC_6M</t>
  </si>
  <si>
    <t>MM_SEC_12M</t>
  </si>
  <si>
    <t>LIBOR_USD_ON</t>
  </si>
  <si>
    <t>EONIA</t>
  </si>
  <si>
    <t>LIBOR_USD_1M</t>
  </si>
  <si>
    <t>LIBOR_USD_3M</t>
  </si>
  <si>
    <t>LIBOR_USD_6M</t>
  </si>
  <si>
    <t>CP_USD_1M</t>
  </si>
  <si>
    <t>EURIBOR_1M</t>
  </si>
  <si>
    <t>EURIBOR_3M</t>
  </si>
  <si>
    <t>EURIBOR_6M</t>
  </si>
  <si>
    <t>EUROLIBOR_1M</t>
  </si>
  <si>
    <t>EUROLIBOR_3M</t>
  </si>
  <si>
    <t>EUROLIBOR_6M</t>
  </si>
  <si>
    <t>AUD</t>
  </si>
  <si>
    <t>AUSY</t>
  </si>
  <si>
    <t>ACT/365.FIXED</t>
  </si>
  <si>
    <t>AUD_1D</t>
  </si>
  <si>
    <t>AUD_3M</t>
  </si>
  <si>
    <t>CAD</t>
  </si>
  <si>
    <t>0D</t>
  </si>
  <si>
    <t>3D</t>
  </si>
  <si>
    <t>Act/360</t>
  </si>
  <si>
    <t>CAD_1D</t>
  </si>
  <si>
    <t>CAD_3M</t>
  </si>
  <si>
    <t>BA_CAD_1M</t>
  </si>
  <si>
    <t>BA_CAD_3M</t>
  </si>
  <si>
    <t>BA_CAD_6M</t>
  </si>
  <si>
    <t>LIBOR_USD_1Y</t>
  </si>
  <si>
    <t>EURIBOR_1Y</t>
  </si>
  <si>
    <t>BA_CAD_1Y</t>
  </si>
  <si>
    <t>BBSY_AUD_1M</t>
  </si>
  <si>
    <t>BBSY_AUD_3M</t>
  </si>
  <si>
    <t>BBSY_AUD_6M</t>
  </si>
  <si>
    <t>EUROLIBOR_1Y</t>
  </si>
  <si>
    <t>CHF</t>
  </si>
  <si>
    <t>CHF_1D</t>
  </si>
  <si>
    <t>CHF_3M</t>
  </si>
  <si>
    <t>LIBOR_CHF_ON</t>
  </si>
  <si>
    <t>LIBOR_CHF_1M</t>
  </si>
  <si>
    <t>LIBOR_CHF_3M</t>
  </si>
  <si>
    <t>LIBOR_CHF_6M</t>
  </si>
  <si>
    <t>LIBOR_CHF_1Y</t>
  </si>
  <si>
    <t>GBP</t>
  </si>
  <si>
    <t>GBP_1D</t>
  </si>
  <si>
    <t>GBP_3M</t>
  </si>
  <si>
    <t>SONIA</t>
  </si>
  <si>
    <t>LIBOR_GBP_1M</t>
  </si>
  <si>
    <t>LIBOR_GBP_3M</t>
  </si>
  <si>
    <t>LIBOR_GBP_6M</t>
  </si>
  <si>
    <t>LIBOR_GBP_1Y</t>
  </si>
  <si>
    <t>JPY</t>
  </si>
  <si>
    <t>JPY_1D</t>
  </si>
  <si>
    <t>JPY_3M</t>
  </si>
  <si>
    <t>LIBOR_JPY_ON</t>
  </si>
  <si>
    <t>LIBOR_JPY_1M</t>
  </si>
  <si>
    <t>LIBOR_JPY_3M</t>
  </si>
  <si>
    <t>LIBOR_JPY_6M</t>
  </si>
  <si>
    <t>LIBOR_JPY_1Y</t>
  </si>
  <si>
    <t>TIBOR_1M</t>
  </si>
  <si>
    <t>TIBOR_3M</t>
  </si>
  <si>
    <t>TIBOR_6M</t>
  </si>
  <si>
    <t>TIBOR_1Y</t>
  </si>
  <si>
    <t>NZD</t>
  </si>
  <si>
    <t>NZD_1D</t>
  </si>
  <si>
    <t>NZD_3M</t>
  </si>
  <si>
    <t>BKBM_NZD_1M</t>
  </si>
  <si>
    <t>BKBM_NZD_3M</t>
  </si>
  <si>
    <t>BKBM_NZD_6M</t>
  </si>
  <si>
    <t>BKBM_NZD_1Y</t>
  </si>
  <si>
    <t>AED</t>
  </si>
  <si>
    <t>AED_3M</t>
  </si>
  <si>
    <t>EBOR_1M</t>
  </si>
  <si>
    <t>EBOR_3M</t>
  </si>
  <si>
    <t>EBOR_6M</t>
  </si>
  <si>
    <t>EBOR_1Y</t>
  </si>
  <si>
    <t>CZK_CURVES</t>
  </si>
  <si>
    <t>CZK_DATA</t>
  </si>
  <si>
    <t>CZK</t>
  </si>
  <si>
    <t>CZK_6M</t>
  </si>
  <si>
    <t>CZK_1D</t>
  </si>
  <si>
    <t>HUF_CURVES</t>
  </si>
  <si>
    <t>HUF_DATA</t>
  </si>
  <si>
    <t>HUF</t>
  </si>
  <si>
    <t>HUF_6M</t>
  </si>
  <si>
    <t>BUBOR_1M</t>
  </si>
  <si>
    <t>BUBOR_3M</t>
  </si>
  <si>
    <t>BUBOR_6M</t>
  </si>
  <si>
    <t>BUBOR_1Y</t>
  </si>
  <si>
    <t>PRIBOR_1M</t>
  </si>
  <si>
    <t>PRIBOR_3M</t>
  </si>
  <si>
    <t>PRIBOR_6M</t>
  </si>
  <si>
    <t>PRIBOR_1Y</t>
  </si>
  <si>
    <t>PLN_CURVES</t>
  </si>
  <si>
    <t>PLN_DATA</t>
  </si>
  <si>
    <t>PLN</t>
  </si>
  <si>
    <t>ACT/ACT</t>
  </si>
  <si>
    <t>PLN_6M</t>
  </si>
  <si>
    <t>POLONIA</t>
  </si>
  <si>
    <t>WIBOR_1M</t>
  </si>
  <si>
    <t>WIBOR_3M</t>
  </si>
  <si>
    <t>WIBOR_6M</t>
  </si>
  <si>
    <t>WIBOR_1Y</t>
  </si>
  <si>
    <t>RON_CURVES</t>
  </si>
  <si>
    <t>RON_DATA</t>
  </si>
  <si>
    <t>RON</t>
  </si>
  <si>
    <t>BUCIBOR_1M</t>
  </si>
  <si>
    <t>BUCIBOR_3M</t>
  </si>
  <si>
    <t>BUCIBOR_6M</t>
  </si>
  <si>
    <t>BUCIBOR_1Y</t>
  </si>
  <si>
    <t>ILS_CURVES</t>
  </si>
  <si>
    <t>ILS_DATA</t>
  </si>
  <si>
    <t>ILS</t>
  </si>
  <si>
    <t>ILS_3M</t>
  </si>
  <si>
    <t>TELEBOR_1M</t>
  </si>
  <si>
    <t>TELEBOR_3M</t>
  </si>
  <si>
    <t>TELEBOR_6M</t>
  </si>
  <si>
    <t>TELEBOR_1Y</t>
  </si>
  <si>
    <t>USD_CURVES</t>
  </si>
  <si>
    <t>USD_DATA</t>
  </si>
  <si>
    <t>EUR_DATA</t>
  </si>
  <si>
    <t>CAD_DATA</t>
  </si>
  <si>
    <t>CHF_DATA</t>
  </si>
  <si>
    <t>GBP_DATA</t>
  </si>
  <si>
    <t>JPY_DATA</t>
  </si>
  <si>
    <t>AUD_DATA</t>
  </si>
  <si>
    <t>NZD_DATA</t>
  </si>
  <si>
    <t>EUR_CURVES</t>
  </si>
  <si>
    <t>CAD_CURVES</t>
  </si>
  <si>
    <t>CHF_CURVES</t>
  </si>
  <si>
    <t>GBP_CURVES</t>
  </si>
  <si>
    <t>JPY_CURVES</t>
  </si>
  <si>
    <t>DKK_CURVES</t>
  </si>
  <si>
    <t>AUD_CURVES</t>
  </si>
  <si>
    <t>NZD_CURVES</t>
  </si>
  <si>
    <t>AED_DATA</t>
  </si>
  <si>
    <t>AED_CURVES</t>
  </si>
  <si>
    <t>SAR_CURVES</t>
  </si>
  <si>
    <t>SAR_DATA</t>
  </si>
  <si>
    <t>NOK_CURVES</t>
  </si>
  <si>
    <t>SEK_CURVES</t>
  </si>
  <si>
    <t>DKK_DATA</t>
  </si>
  <si>
    <t>NOK_DATA</t>
  </si>
  <si>
    <t>SEK_DATA</t>
  </si>
  <si>
    <t>DKK</t>
  </si>
  <si>
    <t>NOK</t>
  </si>
  <si>
    <t>SEK</t>
  </si>
  <si>
    <t>DKCO</t>
  </si>
  <si>
    <t>NOOS</t>
  </si>
  <si>
    <t>SEST</t>
  </si>
  <si>
    <t>DKK_1D</t>
  </si>
  <si>
    <t>NOK_3M</t>
  </si>
  <si>
    <t>SEK_1D</t>
  </si>
  <si>
    <t>DKK_3M</t>
  </si>
  <si>
    <t>SEK_3M</t>
  </si>
  <si>
    <t>CITA</t>
  </si>
  <si>
    <t>STINA</t>
  </si>
  <si>
    <t>CIBOR_DKK_1M</t>
  </si>
  <si>
    <t>CIBOR_DKK_3M</t>
  </si>
  <si>
    <t>CIBOR_DKK_6M</t>
  </si>
  <si>
    <t>CIBOR_DKK_1Y</t>
  </si>
  <si>
    <t>OIBOR_NOK_1M</t>
  </si>
  <si>
    <t>OIBOR_NOK_3M</t>
  </si>
  <si>
    <t>OIBOR_NOK_6M</t>
  </si>
  <si>
    <t>OIBOR_NOK_1Y</t>
  </si>
  <si>
    <t>STIBOR_SEK_1M</t>
  </si>
  <si>
    <t>STIBOR_SEK_3M</t>
  </si>
  <si>
    <t>STIBOR_SEK_6M</t>
  </si>
  <si>
    <t>STIBOR_SEK_1Y</t>
  </si>
  <si>
    <t>SAR</t>
  </si>
  <si>
    <t>SAR_3M</t>
  </si>
  <si>
    <t>SIBOR_1M</t>
  </si>
  <si>
    <t>SIBOR_3M</t>
  </si>
  <si>
    <t>SIBOR_6M</t>
  </si>
  <si>
    <t>SIBOR_1Y</t>
  </si>
  <si>
    <t>RUB_CURVES</t>
  </si>
  <si>
    <t>RUB_DATA</t>
  </si>
  <si>
    <t>RUB</t>
  </si>
  <si>
    <t>RUB_1D</t>
  </si>
  <si>
    <t>RUB_3M</t>
  </si>
  <si>
    <t>RUONIA</t>
  </si>
  <si>
    <t>MOSIBOR_1M</t>
  </si>
  <si>
    <t>MOSIBOR_3M</t>
  </si>
  <si>
    <t>MOSIBOR_6M</t>
  </si>
  <si>
    <t>MOSIBOR_1Y</t>
  </si>
  <si>
    <t>TRY_CURVES</t>
  </si>
  <si>
    <t>TRY_DATA</t>
  </si>
  <si>
    <t>TRY</t>
  </si>
  <si>
    <t>TRY_3M</t>
  </si>
  <si>
    <t>TRLIBOR_1M</t>
  </si>
  <si>
    <t>TRLIBOR_3M</t>
  </si>
  <si>
    <t>TRLIBOR_6M</t>
  </si>
  <si>
    <t>TRLIBOR_1Y</t>
  </si>
  <si>
    <t>ZAR_CURVES</t>
  </si>
  <si>
    <t>ZAR_DATA</t>
  </si>
  <si>
    <t>ZAR</t>
  </si>
  <si>
    <t>ZAR3M</t>
  </si>
  <si>
    <t>JIBAR_ZAR_1M</t>
  </si>
  <si>
    <t>JIBAR_ZAR_3M</t>
  </si>
  <si>
    <t>JIBAR_ZAR_6M</t>
  </si>
  <si>
    <t>JIBAR_ZAR_1Y</t>
  </si>
  <si>
    <t>ALL MKT DATA LOADED</t>
  </si>
  <si>
    <t>TOTAL</t>
  </si>
  <si>
    <t>USD OIS</t>
  </si>
  <si>
    <t>USD SWAP 3ML</t>
  </si>
  <si>
    <t>Data Loaded</t>
  </si>
  <si>
    <t>USD BASIS 6ML</t>
  </si>
  <si>
    <t>USD BASIS 1ML</t>
  </si>
  <si>
    <t>USD BASIS 12ML</t>
  </si>
  <si>
    <t>INSTRUMENT</t>
  </si>
  <si>
    <t>DATA POINTS</t>
  </si>
  <si>
    <t>LOADED</t>
  </si>
  <si>
    <t>MISSING</t>
  </si>
  <si>
    <t>TICKER</t>
  </si>
  <si>
    <t>TERM</t>
  </si>
  <si>
    <t>BBG</t>
  </si>
  <si>
    <t>Used %</t>
  </si>
  <si>
    <t>START_DT</t>
  </si>
  <si>
    <t>END_DT</t>
  </si>
  <si>
    <t>USDOIS</t>
  </si>
  <si>
    <t>FEDL01 Index</t>
  </si>
  <si>
    <t>ON</t>
  </si>
  <si>
    <t>US0001M Index</t>
  </si>
  <si>
    <t>1M</t>
  </si>
  <si>
    <t>USBC1 ICPL Curncy</t>
  </si>
  <si>
    <t>USBA1 ICPL Curncy</t>
  </si>
  <si>
    <t>USBL1 PREB Curncy</t>
  </si>
  <si>
    <t>USSO1Z CMPN Curncy</t>
  </si>
  <si>
    <t>1W</t>
  </si>
  <si>
    <t>US0003M Index</t>
  </si>
  <si>
    <t>USBC2 ICPL Curncy</t>
  </si>
  <si>
    <t>2Y</t>
  </si>
  <si>
    <t>USBA2 ICPL Curncy</t>
  </si>
  <si>
    <t>USBL2 PREB Curncy</t>
  </si>
  <si>
    <t>Futures Dates</t>
  </si>
  <si>
    <t>USSO2Z CMPN Curncy</t>
  </si>
  <si>
    <t>2W</t>
  </si>
  <si>
    <t>US0006M Index</t>
  </si>
  <si>
    <t>USBC3 ICPL Curncy</t>
  </si>
  <si>
    <t>3Y</t>
  </si>
  <si>
    <t>USBA3 ICPL Curncy</t>
  </si>
  <si>
    <t>USBL3 PREB Curncy</t>
  </si>
  <si>
    <t>USSO3Z CMPN Curncy</t>
  </si>
  <si>
    <t>3W</t>
  </si>
  <si>
    <t>US0012M Index</t>
  </si>
  <si>
    <t>12M</t>
  </si>
  <si>
    <t>USBC4 ICPL Curncy</t>
  </si>
  <si>
    <t>4Y</t>
  </si>
  <si>
    <t>USBA4 ICPL Curncy</t>
  </si>
  <si>
    <t>USBL4 PREB Curncy</t>
  </si>
  <si>
    <t>USSOA CMPN Curncy</t>
  </si>
  <si>
    <t>ED1 Comdty</t>
  </si>
  <si>
    <t>ED1</t>
  </si>
  <si>
    <t>USBC5 ICPL Curncy</t>
  </si>
  <si>
    <t>5Y</t>
  </si>
  <si>
    <t>USBA5 ICPL Curncy</t>
  </si>
  <si>
    <t>USBL5 PREB Curncy</t>
  </si>
  <si>
    <t>USSOB CMPN Curncy</t>
  </si>
  <si>
    <t>2M</t>
  </si>
  <si>
    <t>ED2 Comdty</t>
  </si>
  <si>
    <t>ED2</t>
  </si>
  <si>
    <t>USBC6 ICPL Curncy</t>
  </si>
  <si>
    <t>6Y</t>
  </si>
  <si>
    <t>USBA6 ICPL Curncy</t>
  </si>
  <si>
    <t>USBL7 PREB Curncy</t>
  </si>
  <si>
    <t>7Y</t>
  </si>
  <si>
    <t>USSOC CMPN Curncy</t>
  </si>
  <si>
    <t>ED3 Comdty</t>
  </si>
  <si>
    <t>ED3</t>
  </si>
  <si>
    <t>USBC7 ICPL Curncy</t>
  </si>
  <si>
    <t>USBA7 ICPL Curncy</t>
  </si>
  <si>
    <t>USBL10 PREB Curncy</t>
  </si>
  <si>
    <t>10Y</t>
  </si>
  <si>
    <t>USSOD CMPN Curncy</t>
  </si>
  <si>
    <t>4M</t>
  </si>
  <si>
    <t>ED4 Comdty</t>
  </si>
  <si>
    <t>ED4</t>
  </si>
  <si>
    <t>USBC8 ICPL Curncy</t>
  </si>
  <si>
    <t>8Y</t>
  </si>
  <si>
    <t>USBA8 ICPL Curncy</t>
  </si>
  <si>
    <t>USBL12 PREB Curncy</t>
  </si>
  <si>
    <t>12Y</t>
  </si>
  <si>
    <t>USSOE CMPN Curncy</t>
  </si>
  <si>
    <t>5M</t>
  </si>
  <si>
    <t>ED5 Comdty</t>
  </si>
  <si>
    <t>ED5</t>
  </si>
  <si>
    <t>USBC9 ICPL Curncy</t>
  </si>
  <si>
    <t>9Y</t>
  </si>
  <si>
    <t>USBA9 ICPL Curncy</t>
  </si>
  <si>
    <t>USBL15 PREB Curncy</t>
  </si>
  <si>
    <t>15Y</t>
  </si>
  <si>
    <t>USSOF CMPN Curncy</t>
  </si>
  <si>
    <t>ED6 Comdty</t>
  </si>
  <si>
    <t>ED6</t>
  </si>
  <si>
    <t>USBC10 ICPL Curncy</t>
  </si>
  <si>
    <t>USBA10 ICPL Curncy</t>
  </si>
  <si>
    <t>USBL20 PREB Curncy</t>
  </si>
  <si>
    <t>20Y</t>
  </si>
  <si>
    <t>USSOI CMPN Curncy</t>
  </si>
  <si>
    <t>9M</t>
  </si>
  <si>
    <t>ED7 Comdty</t>
  </si>
  <si>
    <t>ED7</t>
  </si>
  <si>
    <t>USBC12 ICPL Curncy</t>
  </si>
  <si>
    <t>USBA12 ICPL Curncy</t>
  </si>
  <si>
    <t>USBL25 PREB Curncy</t>
  </si>
  <si>
    <t>25Y</t>
  </si>
  <si>
    <t>USSO1 CMPN  Curncy</t>
  </si>
  <si>
    <t>ED8 Comdty</t>
  </si>
  <si>
    <t>ED8</t>
  </si>
  <si>
    <t>USBC15 ICPL Curncy</t>
  </si>
  <si>
    <t>USBA15 ICPL Curncy</t>
  </si>
  <si>
    <t>USBL30 PREB Curncy</t>
  </si>
  <si>
    <t>30Y</t>
  </si>
  <si>
    <t>USSO2 CMPN  Curncy</t>
  </si>
  <si>
    <t>USSWAP3 CMPN Curncy</t>
  </si>
  <si>
    <t>USBC20 ICPL Curncy</t>
  </si>
  <si>
    <t>USBA20 ICPL Curncy</t>
  </si>
  <si>
    <t>USSO3 CMPN  Curncy</t>
  </si>
  <si>
    <t>USSWAP4 CMPN Curncy</t>
  </si>
  <si>
    <t>USBC25 ICPL Curncy</t>
  </si>
  <si>
    <t>USBA25 ICPL Curncy</t>
  </si>
  <si>
    <t>USSO4 CMPN  Curncy</t>
  </si>
  <si>
    <t>USSWAP5 CMPN Curncy</t>
  </si>
  <si>
    <t>USBC30 ICPL Curncy</t>
  </si>
  <si>
    <t>USBA30 ICPL Curncy</t>
  </si>
  <si>
    <t>USSO5 CMPN  Curncy</t>
  </si>
  <si>
    <t>USSWAP7 CMPN Curncy</t>
  </si>
  <si>
    <t>USBG1 CMPN Curncy</t>
  </si>
  <si>
    <t>USBG2 CMPN Curncy</t>
  </si>
  <si>
    <t>USBG3 CMPN Curncy</t>
  </si>
  <si>
    <t>USSWAP10 CMPN Curncy</t>
  </si>
  <si>
    <t>USBG4 CMPN Curncy</t>
  </si>
  <si>
    <t>USSWAP12 CMPN Curncy</t>
  </si>
  <si>
    <t>USBG5 CMPN Curncy</t>
  </si>
  <si>
    <t>USSWAP15 CMPN Curncy</t>
  </si>
  <si>
    <t>USBG7 CMPN Curncy</t>
  </si>
  <si>
    <t>USSWAP20 CMPN Curncy</t>
  </si>
  <si>
    <t>USBG10 CMPN Curncy</t>
  </si>
  <si>
    <t>USSWAP25 CMPN Curncy</t>
  </si>
  <si>
    <t>USBG12 CMPN Curncy</t>
  </si>
  <si>
    <t>USSWAP30 CMPN Curncy</t>
  </si>
  <si>
    <t>USBG15 CMPN Curncy</t>
  </si>
  <si>
    <t>USBG20 CMPN Curncy</t>
  </si>
  <si>
    <t>USBG25 CMPN Curncy</t>
  </si>
  <si>
    <t>USBG30 CMPN Curncy</t>
  </si>
  <si>
    <t>USSWAP1 CMPN Curncy</t>
  </si>
  <si>
    <t>USSWAP2 CMPN Curncy</t>
  </si>
  <si>
    <t xml:space="preserve"> </t>
  </si>
  <si>
    <t>MARKETDATAPROPERTIES</t>
  </si>
  <si>
    <t>OIS</t>
  </si>
  <si>
    <t>LIBOROISBASISSPREADS</t>
  </si>
  <si>
    <t>SWAPS</t>
  </si>
  <si>
    <t>Term</t>
  </si>
  <si>
    <t>Rate</t>
  </si>
  <si>
    <t>StartDate</t>
  </si>
  <si>
    <t>EndDate</t>
  </si>
  <si>
    <t>Use</t>
  </si>
  <si>
    <t>Currency</t>
  </si>
  <si>
    <t>CurveType</t>
  </si>
  <si>
    <t>CurveCollection</t>
  </si>
  <si>
    <t>USDYC</t>
  </si>
  <si>
    <t>CurveIndexFrequency</t>
  </si>
  <si>
    <t>DAILY</t>
  </si>
  <si>
    <t>AsOfDate</t>
  </si>
  <si>
    <t>Create Market Data Handle</t>
  </si>
  <si>
    <t>Handle Name</t>
  </si>
  <si>
    <t>USD_OIS_CURVE_MARKETDATA</t>
  </si>
  <si>
    <t>Market Data Handle</t>
  </si>
  <si>
    <t>40Y</t>
  </si>
  <si>
    <t>Extrapolated</t>
  </si>
  <si>
    <t>Curve Dictionary</t>
  </si>
  <si>
    <t>50Y</t>
  </si>
  <si>
    <t>USD_OIS_CURVE</t>
  </si>
  <si>
    <t>Curve Generator</t>
  </si>
  <si>
    <t>USD_OIS</t>
  </si>
  <si>
    <t>Domestic Curve Collection</t>
  </si>
  <si>
    <t>Foreign Curve Collection</t>
  </si>
  <si>
    <t>Curve Build</t>
  </si>
  <si>
    <t>Curve Collection</t>
  </si>
  <si>
    <t>Curve Index</t>
  </si>
  <si>
    <t>Calibration Time Taken</t>
  </si>
  <si>
    <t>QUARTERLY</t>
  </si>
  <si>
    <t>SEMI-ANNUAL</t>
  </si>
  <si>
    <t>LIBORFIXINGS</t>
  </si>
  <si>
    <t>FUTURES</t>
  </si>
  <si>
    <t>Volatility</t>
  </si>
  <si>
    <t>SWAP</t>
  </si>
  <si>
    <t>USD_SWAP_3M_CURVE_MARKETDATA</t>
  </si>
  <si>
    <t>USD_SWAP_3M_CURVE</t>
  </si>
  <si>
    <t>USD_SWAP_3M</t>
  </si>
  <si>
    <t>BASISSWAPS</t>
  </si>
  <si>
    <t>TENORBASIS</t>
  </si>
  <si>
    <t>CREATE MARKET DATA HANDLE</t>
  </si>
  <si>
    <t>USD_BASIS_3X6_MARKETDATA</t>
  </si>
  <si>
    <t>CURVE DICTIONARY</t>
  </si>
  <si>
    <t>HandleName</t>
  </si>
  <si>
    <t>USD_BASIS_6M_CURVE</t>
  </si>
  <si>
    <t>CurveGenerator</t>
  </si>
  <si>
    <t>USD_BASIS_3X6</t>
  </si>
  <si>
    <t>DomesticCurve</t>
  </si>
  <si>
    <t>ForeignCurve</t>
  </si>
  <si>
    <t>CREATE CURVE HANDLE</t>
  </si>
  <si>
    <t>USD3ML</t>
  </si>
  <si>
    <t>USD_BASIS_6M</t>
  </si>
  <si>
    <t>TODO: Complete Me - Hard-Coded</t>
  </si>
  <si>
    <t>USD6ML</t>
  </si>
  <si>
    <t>CurveIndex</t>
  </si>
  <si>
    <t>USSO10 CMPN  Curncy</t>
  </si>
  <si>
    <t>USSO30 CMPN  Curncy</t>
  </si>
  <si>
    <t>USSO7 CMPN  Curncy</t>
  </si>
  <si>
    <t>USSO20 CMPN  Curncy</t>
  </si>
  <si>
    <t>RUONIA Index</t>
  </si>
  <si>
    <t>MOSKP3 Index</t>
  </si>
  <si>
    <t>MOSKP6 Index</t>
  </si>
  <si>
    <t>MOSKP1 Index</t>
  </si>
  <si>
    <t>MOSKON Index</t>
  </si>
  <si>
    <t>0x3</t>
  </si>
  <si>
    <t>1x4</t>
  </si>
  <si>
    <t>2x5</t>
  </si>
  <si>
    <t>3x6</t>
  </si>
  <si>
    <t>6x9</t>
  </si>
  <si>
    <t>9x12</t>
  </si>
  <si>
    <t>15x18</t>
  </si>
  <si>
    <t>Contributors</t>
  </si>
  <si>
    <t>18M</t>
  </si>
  <si>
    <t>Bid</t>
  </si>
  <si>
    <t>Ask</t>
  </si>
  <si>
    <t xml:space="preserve"> TRSU</t>
  </si>
  <si>
    <t xml:space="preserve"> ICAP</t>
  </si>
  <si>
    <t>TN</t>
  </si>
  <si>
    <t>LAST</t>
  </si>
  <si>
    <t xml:space="preserve"> BGN</t>
  </si>
  <si>
    <t xml:space="preserve"> GFUN</t>
  </si>
  <si>
    <t xml:space="preserve"> TRPU</t>
  </si>
  <si>
    <t>Fra Dates</t>
  </si>
  <si>
    <t>00C</t>
  </si>
  <si>
    <t>0AD</t>
  </si>
  <si>
    <t>0BE</t>
  </si>
  <si>
    <t>0CF</t>
  </si>
  <si>
    <t>0FI</t>
  </si>
  <si>
    <t>0I1</t>
  </si>
  <si>
    <t>1C1F</t>
  </si>
  <si>
    <t>1Z</t>
  </si>
  <si>
    <t>2Z</t>
  </si>
  <si>
    <t>A</t>
  </si>
  <si>
    <t>B</t>
  </si>
  <si>
    <t>C</t>
  </si>
  <si>
    <t>F</t>
  </si>
  <si>
    <t>I</t>
  </si>
  <si>
    <t xml:space="preserve"> MICE</t>
  </si>
  <si>
    <t xml:space="preserve"> TPSF</t>
  </si>
  <si>
    <t xml:space="preserve"> ICPL</t>
  </si>
  <si>
    <t xml:space="preserve"> TPRA</t>
  </si>
  <si>
    <t xml:space="preserve"> GFSA</t>
  </si>
  <si>
    <t xml:space="preserve"> ABSA</t>
  </si>
  <si>
    <t>JIBA1M Index</t>
  </si>
  <si>
    <t>JIBA3M Index</t>
  </si>
  <si>
    <t>JIBA6M Index</t>
  </si>
  <si>
    <t>JIBA12M Index</t>
  </si>
  <si>
    <t>011C</t>
  </si>
  <si>
    <t>12x15</t>
  </si>
  <si>
    <t>USBGC CMPN Curncy</t>
  </si>
  <si>
    <t>USBGI CMPN Curncy</t>
  </si>
  <si>
    <t>USBGF CMPN Curncy</t>
  </si>
  <si>
    <t>TRYOIS</t>
  </si>
  <si>
    <t xml:space="preserve"> CCMK</t>
  </si>
  <si>
    <t xml:space="preserve"> CTSD</t>
  </si>
  <si>
    <t xml:space="preserve"> PREB</t>
  </si>
  <si>
    <t xml:space="preserve"> BLC3</t>
  </si>
  <si>
    <t xml:space="preserve"> FMDR</t>
  </si>
  <si>
    <t>PZCFPLNI Index</t>
  </si>
  <si>
    <t>WIBRON Index</t>
  </si>
  <si>
    <t>WIBR1M Index</t>
  </si>
  <si>
    <t>WIBR3M Index</t>
  </si>
  <si>
    <t>WIBR6M Index</t>
  </si>
  <si>
    <t xml:space="preserve"> OTP</t>
  </si>
  <si>
    <t>CZEONIA</t>
  </si>
  <si>
    <t>CZEOINDX Index</t>
  </si>
  <si>
    <t>PRIB01M Index</t>
  </si>
  <si>
    <t>PRIB03M Index</t>
  </si>
  <si>
    <t>PRIB06M Index</t>
  </si>
  <si>
    <t>PRIBOVN Index</t>
  </si>
  <si>
    <t>HUFONIA</t>
  </si>
  <si>
    <t>HFDRO/N Index</t>
  </si>
  <si>
    <t>BUBORON Index</t>
  </si>
  <si>
    <t>BUBOR01M Index</t>
  </si>
  <si>
    <t>BUBOR03M Index</t>
  </si>
  <si>
    <t>BUBOR06M Index</t>
  </si>
  <si>
    <t>AD</t>
  </si>
  <si>
    <t>BE</t>
  </si>
  <si>
    <t>Note 3M</t>
  </si>
  <si>
    <t xml:space="preserve"> UCBH</t>
  </si>
  <si>
    <t xml:space="preserve"> ERST</t>
  </si>
  <si>
    <t xml:space="preserve"> BGSS</t>
  </si>
  <si>
    <t>RONIA</t>
  </si>
  <si>
    <t>BUBRON Index</t>
  </si>
  <si>
    <t>BUBR1M Index</t>
  </si>
  <si>
    <t>BUBR3M Index</t>
  </si>
  <si>
    <t>BUBR6M Index</t>
  </si>
  <si>
    <t>BUBR12M Index</t>
  </si>
  <si>
    <t xml:space="preserve"> BLLI</t>
  </si>
  <si>
    <t>TELBORON Index</t>
  </si>
  <si>
    <t>TELBOR01 Index</t>
  </si>
  <si>
    <t>TELBOR03 Index</t>
  </si>
  <si>
    <t>TELBOR06 Index</t>
  </si>
  <si>
    <t>TELBOR09 Index</t>
  </si>
  <si>
    <t>TELBOR12 Index</t>
  </si>
  <si>
    <t>TELONIA</t>
  </si>
  <si>
    <t>DIEONIA</t>
  </si>
  <si>
    <t xml:space="preserve"> GMGM</t>
  </si>
  <si>
    <t xml:space="preserve"> GFID</t>
  </si>
  <si>
    <t xml:space="preserve"> NBAD</t>
  </si>
  <si>
    <t>EIBO1M Index</t>
  </si>
  <si>
    <t>EIBO3M Index</t>
  </si>
  <si>
    <t>EIBO6M Index</t>
  </si>
  <si>
    <t>EIBOON Index</t>
  </si>
  <si>
    <t>EIBO12M Index</t>
  </si>
  <si>
    <t>I1</t>
  </si>
  <si>
    <t>FI</t>
  </si>
  <si>
    <t>CF</t>
  </si>
  <si>
    <t>SARONIA</t>
  </si>
  <si>
    <t xml:space="preserve"> SABK</t>
  </si>
  <si>
    <t>SAIBON Index</t>
  </si>
  <si>
    <t>SAIB1M Index</t>
  </si>
  <si>
    <t>SAIB3M Index</t>
  </si>
  <si>
    <t>SAIB6M Index</t>
  </si>
  <si>
    <t>SAIB12M Index</t>
  </si>
  <si>
    <t>Short Term</t>
  </si>
  <si>
    <t>Long Term</t>
  </si>
  <si>
    <t>NYB</t>
  </si>
  <si>
    <t>LNB</t>
  </si>
  <si>
    <t>JOB</t>
  </si>
  <si>
    <t>NYB:LNB</t>
  </si>
  <si>
    <t>JOB:NYB</t>
  </si>
  <si>
    <t>ZAR_USD_1d</t>
  </si>
  <si>
    <t>TGT</t>
  </si>
  <si>
    <t>TGT:NYB</t>
  </si>
  <si>
    <t>TKB</t>
  </si>
  <si>
    <t>TKB:NYB</t>
  </si>
  <si>
    <t>LNB:NYB</t>
  </si>
  <si>
    <t>TKB:NYB:LNB</t>
  </si>
  <si>
    <t>TGT:NYB:LNB</t>
  </si>
  <si>
    <t>LNB:TKB</t>
  </si>
  <si>
    <t>TODAY</t>
  </si>
  <si>
    <t>2d</t>
  </si>
  <si>
    <t>TKB:LNB</t>
  </si>
  <si>
    <t>MOB</t>
  </si>
  <si>
    <t>MOB:NYB</t>
  </si>
  <si>
    <t>MOB:NYB:LNB</t>
  </si>
  <si>
    <t>ZUB:LNB</t>
  </si>
  <si>
    <t>ZUB:NYB</t>
  </si>
  <si>
    <t>ZUB</t>
  </si>
  <si>
    <t>ZUB:LNB:NYB</t>
  </si>
  <si>
    <t>COB</t>
  </si>
  <si>
    <t>COB:NYB</t>
  </si>
  <si>
    <t>COB:NYB:LNB</t>
  </si>
  <si>
    <t>OSB</t>
  </si>
  <si>
    <t>OSB:NYB</t>
  </si>
  <si>
    <t>OSB:NYB:LNB</t>
  </si>
  <si>
    <t>STB</t>
  </si>
  <si>
    <t>STB:NYB</t>
  </si>
  <si>
    <t>STB:NYB:LNB</t>
  </si>
  <si>
    <t>SYB</t>
  </si>
  <si>
    <t>SYB:NYB</t>
  </si>
  <si>
    <t>SYB:NYB:LNB</t>
  </si>
  <si>
    <t>AUB</t>
  </si>
  <si>
    <t>1d</t>
  </si>
  <si>
    <t>AUB:NYB</t>
  </si>
  <si>
    <t>AUB:NYB:LNB</t>
  </si>
  <si>
    <t>PRB</t>
  </si>
  <si>
    <t>PRB:TGT</t>
  </si>
  <si>
    <t>WAB</t>
  </si>
  <si>
    <t>WAB:TGT</t>
  </si>
  <si>
    <t>BDB</t>
  </si>
  <si>
    <t>BDB:TGT</t>
  </si>
  <si>
    <t>BCB</t>
  </si>
  <si>
    <t>BCB:TGT</t>
  </si>
  <si>
    <t>AEB</t>
  </si>
  <si>
    <t>AEB:NYB</t>
  </si>
  <si>
    <t>RIB</t>
  </si>
  <si>
    <t>RIB:NYB</t>
  </si>
  <si>
    <t>MWB</t>
  </si>
  <si>
    <t>MWB:NYB</t>
  </si>
  <si>
    <t>ISB</t>
  </si>
  <si>
    <t>ISB:NYB</t>
  </si>
  <si>
    <t>MarketDataProperties</t>
  </si>
  <si>
    <t>18x21</t>
  </si>
  <si>
    <t>Time Taken</t>
  </si>
  <si>
    <t>Spread</t>
  </si>
  <si>
    <t>Mkt Value</t>
  </si>
  <si>
    <t>ZAR_OIS</t>
  </si>
  <si>
    <t>N/A</t>
  </si>
  <si>
    <t>XCCYBASIS</t>
  </si>
  <si>
    <t>Create Curve Generator</t>
  </si>
  <si>
    <t>CURVEPROPERTIES</t>
  </si>
  <si>
    <t>StaticDataTable</t>
  </si>
  <si>
    <t>IndexName</t>
  </si>
  <si>
    <t>interpolation</t>
  </si>
  <si>
    <t>FN_SPLINEINTERPOLATION</t>
  </si>
  <si>
    <t>yieldgen.interpolation</t>
  </si>
  <si>
    <t>calendar</t>
  </si>
  <si>
    <t>daycount</t>
  </si>
  <si>
    <t>frequency</t>
  </si>
  <si>
    <t>ANNUAL</t>
  </si>
  <si>
    <t>generatemethod</t>
  </si>
  <si>
    <t>DAILYCOMPOUNDING</t>
  </si>
  <si>
    <t>resetlag</t>
  </si>
  <si>
    <t>firstrate</t>
  </si>
  <si>
    <t>SHORTMARKET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</si>
  <si>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</si>
  <si>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</si>
  <si>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</si>
  <si>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</si>
  <si>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</si>
  <si>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</si>
  <si>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</si>
  <si>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LOBASIS</t>
  </si>
  <si>
    <t>longterm</t>
  </si>
  <si>
    <t>longterm.generatemethod</t>
  </si>
  <si>
    <t>NONE</t>
  </si>
  <si>
    <t>Epsilon</t>
  </si>
  <si>
    <t>MaxLoop</t>
  </si>
  <si>
    <t>CompoundingMethod</t>
  </si>
  <si>
    <t>ARITHMETIC</t>
  </si>
  <si>
    <t>SmoothShortEnd</t>
  </si>
  <si>
    <t>LIBOROISBASIS</t>
  </si>
  <si>
    <t>OIS FLOAT LEG CONVENTIONS</t>
  </si>
  <si>
    <t>Calendar</t>
  </si>
  <si>
    <t>Daycount</t>
  </si>
  <si>
    <t>Frequency</t>
  </si>
  <si>
    <t>SlidingRule</t>
  </si>
  <si>
    <t>LIBOR SWAP CONVENTIONS - FIXED LEG</t>
  </si>
  <si>
    <t>daycountfix</t>
  </si>
  <si>
    <t>frequencyfix</t>
  </si>
  <si>
    <t>Generator Name</t>
  </si>
  <si>
    <t>CREATE CURVE GENERATOR</t>
  </si>
  <si>
    <t/>
  </si>
  <si>
    <t>STD</t>
  </si>
  <si>
    <t>FN_LINEARSPLINEINTERPOLATION</t>
  </si>
  <si>
    <t>future.interpolation</t>
  </si>
  <si>
    <t>isfrause</t>
  </si>
  <si>
    <t>TRUE</t>
  </si>
  <si>
    <t>isfutureuse</t>
  </si>
  <si>
    <t>FALSE</t>
  </si>
  <si>
    <t>SIMPLE</t>
  </si>
  <si>
    <t>AlwaysCalcJoinDate</t>
  </si>
  <si>
    <t>FastRebuild</t>
  </si>
  <si>
    <t>DfCurveName</t>
  </si>
  <si>
    <t>ITSELF</t>
  </si>
  <si>
    <t>MONEYMARKET</t>
  </si>
  <si>
    <t>ACT/365</t>
  </si>
  <si>
    <t>FOLLOWING</t>
  </si>
  <si>
    <t>simple</t>
  </si>
  <si>
    <t>FRAS</t>
  </si>
  <si>
    <t>DayCount</t>
  </si>
  <si>
    <t>ResetLag</t>
  </si>
  <si>
    <t>MeanReversion</t>
  </si>
  <si>
    <t>DayCountFloat</t>
  </si>
  <si>
    <t>FrequencyFloat</t>
  </si>
  <si>
    <t>IsEomRoll</t>
  </si>
  <si>
    <t>EomDay</t>
  </si>
  <si>
    <t>IsNewtonraphson</t>
  </si>
  <si>
    <t>Resetlag</t>
  </si>
  <si>
    <t>issimultaneouseq</t>
  </si>
  <si>
    <t>SWAP CURVE</t>
  </si>
  <si>
    <t>OIS CURVE</t>
  </si>
  <si>
    <t>Enable: CreateCurveGenerator</t>
  </si>
  <si>
    <t>TENOR BASIS CURVE</t>
  </si>
  <si>
    <t>3M6MBasis</t>
  </si>
  <si>
    <t>basis.interpolation</t>
  </si>
  <si>
    <t>isFwdBasis</t>
  </si>
  <si>
    <t>dfCurveName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</si>
  <si>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</si>
  <si>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</si>
  <si>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</si>
  <si>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</si>
  <si>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</si>
  <si>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</si>
  <si>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</si>
  <si>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Leg1forecast</t>
  </si>
  <si>
    <t>Leg1discount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</si>
  <si>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</si>
  <si>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</si>
  <si>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</si>
  <si>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</si>
  <si>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</si>
  <si>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</si>
  <si>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</si>
  <si>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</si>
  <si>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</si>
  <si>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</si>
  <si>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Leg2cashlet.frequencycompound</t>
  </si>
  <si>
    <t>Leg2cashlet.slidingrule</t>
  </si>
  <si>
    <t>Leg2cashlet.spotlag</t>
  </si>
  <si>
    <t>Leg2forecast</t>
  </si>
  <si>
    <t>Leg2discount</t>
  </si>
  <si>
    <t>AGAINST:OIS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</si>
  <si>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</si>
  <si>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</si>
  <si>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</si>
  <si>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</si>
  <si>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</si>
  <si>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</si>
  <si>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</si>
  <si>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</si>
  <si>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Leg1Forecast</t>
  </si>
  <si>
    <t>isSimultaneousEq</t>
  </si>
  <si>
    <t>fwdinterpolation</t>
  </si>
  <si>
    <t>isSameGridIndex</t>
  </si>
  <si>
    <t>SpotRateTerm</t>
  </si>
  <si>
    <t>isYieldSpreadCalc</t>
  </si>
  <si>
    <t>isFwdInter</t>
  </si>
  <si>
    <t>IsEOMRoll</t>
  </si>
  <si>
    <t>ZAR3MJ</t>
  </si>
  <si>
    <t>Leg2Forecast</t>
  </si>
  <si>
    <t>AGAINST:ZAR3MJ</t>
  </si>
  <si>
    <t>3M6MBasis:ZAR6MJ</t>
  </si>
  <si>
    <t>MONTHLY</t>
  </si>
  <si>
    <t>1M3MBasis</t>
  </si>
  <si>
    <t>1M3MBasis:ZAR1MJ</t>
  </si>
  <si>
    <t>AGAINST:ZAR3ML</t>
  </si>
  <si>
    <t>3M12MBasis</t>
  </si>
  <si>
    <t>3M12MBasis:ZAR12MJ</t>
  </si>
  <si>
    <t>ZAR12MJ</t>
  </si>
  <si>
    <t>&lt;-- Initial Guess</t>
  </si>
  <si>
    <t>XCCY BASIS CURVE</t>
  </si>
  <si>
    <t>XccyBasis</t>
  </si>
  <si>
    <t>XccyBasis:ZARDF_USDCSA</t>
  </si>
  <si>
    <t>isRenotionalAdjust</t>
  </si>
  <si>
    <t>isFwdFX</t>
  </si>
  <si>
    <t>XCCYSWAPS</t>
  </si>
  <si>
    <t>JOB:NYB:LNB</t>
  </si>
  <si>
    <t>AGAINST:STD</t>
  </si>
  <si>
    <t>Leg2Discount</t>
  </si>
  <si>
    <t>isfwdinter</t>
  </si>
  <si>
    <t>issamegridindex</t>
  </si>
  <si>
    <t>isyieldspreadcalc</t>
  </si>
  <si>
    <t>FXFWDS</t>
  </si>
  <si>
    <t>JOB:LNB:NYB</t>
  </si>
  <si>
    <t>mod_following</t>
  </si>
  <si>
    <t>Pipsize</t>
  </si>
  <si>
    <t>isDomesticCurrency</t>
  </si>
  <si>
    <t>isFXOutright</t>
  </si>
  <si>
    <t>FX</t>
  </si>
  <si>
    <t>PipSize</t>
  </si>
  <si>
    <t>FXSPOTS</t>
  </si>
  <si>
    <t>15M</t>
  </si>
  <si>
    <t>MARKETDATA</t>
  </si>
  <si>
    <t>Foreign/Domestic</t>
  </si>
  <si>
    <t>Interpolation</t>
  </si>
  <si>
    <t>ZARDF_USDCSA</t>
  </si>
  <si>
    <t>LINEAR</t>
  </si>
  <si>
    <t>CREATE FX CURVE</t>
  </si>
  <si>
    <t>GeneratorName</t>
  </si>
  <si>
    <t>CurveName</t>
  </si>
  <si>
    <t>TODO: Link Red Data Cells to Xccy Curve</t>
  </si>
  <si>
    <t>Removed Since not Using Libor-OIS Swaps In this Instance</t>
  </si>
  <si>
    <t>21M</t>
  </si>
  <si>
    <t>FXCURVEGENERATOR</t>
  </si>
  <si>
    <t>Spot</t>
  </si>
  <si>
    <t xml:space="preserve"> GFSN</t>
  </si>
  <si>
    <t>MWB:NYB:LNB</t>
  </si>
  <si>
    <t>XccyBasis:RUBDF_USDCSA</t>
  </si>
  <si>
    <t>3M6MBasis:TRY6M</t>
  </si>
  <si>
    <t>XccyBasis:TRYDF_USDCSA</t>
  </si>
  <si>
    <t>FIXEDRATE</t>
  </si>
  <si>
    <t>?????</t>
  </si>
  <si>
    <t>ECB1</t>
  </si>
  <si>
    <t>ECB2</t>
  </si>
  <si>
    <t>ECB3</t>
  </si>
  <si>
    <t>ECB4</t>
  </si>
  <si>
    <t xml:space="preserve"> LAST</t>
  </si>
  <si>
    <t xml:space="preserve"> CMPN</t>
  </si>
  <si>
    <t>EUR SWAP 3ML</t>
  </si>
  <si>
    <t>EE0001M Index</t>
  </si>
  <si>
    <t>EE0003M Index</t>
  </si>
  <si>
    <t>EE0006M Index</t>
  </si>
  <si>
    <t>EE0012M Index</t>
  </si>
  <si>
    <t>ER1 Comdty</t>
  </si>
  <si>
    <t>ER2 Comdty</t>
  </si>
  <si>
    <t>ER3 Comdty</t>
  </si>
  <si>
    <t>ER4 Comdty</t>
  </si>
  <si>
    <t>ER5 Comdty</t>
  </si>
  <si>
    <t>ER6 Comdty</t>
  </si>
  <si>
    <t>ER7 Comdty</t>
  </si>
  <si>
    <t>ER8 Comdty</t>
  </si>
  <si>
    <t>ER1</t>
  </si>
  <si>
    <t>ER2</t>
  </si>
  <si>
    <t>ER3</t>
  </si>
  <si>
    <t>ER4</t>
  </si>
  <si>
    <t>ER5</t>
  </si>
  <si>
    <t>ER6</t>
  </si>
  <si>
    <t>ER7</t>
  </si>
  <si>
    <t>ER8</t>
  </si>
  <si>
    <t>EUR SWAP 6ML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</si>
  <si>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</si>
  <si>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</si>
  <si>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</si>
  <si>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</si>
  <si>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</si>
  <si>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</si>
  <si>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</si>
  <si>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</si>
  <si>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</si>
  <si>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</si>
  <si>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</si>
  <si>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XccyBasis:EURDF_USDCSA</t>
  </si>
  <si>
    <t>USDYC:OIS</t>
  </si>
  <si>
    <t>USDYC:USD3ML</t>
  </si>
  <si>
    <t>Leg1Discount</t>
  </si>
  <si>
    <t>?</t>
  </si>
  <si>
    <t>EURON Curncy</t>
  </si>
  <si>
    <t>EURTN Curncy</t>
  </si>
  <si>
    <t>EUR1W Curncy</t>
  </si>
  <si>
    <t>EUR2W Curncy</t>
  </si>
  <si>
    <t>EUR3W Curncy</t>
  </si>
  <si>
    <t>EUR1M Curncy</t>
  </si>
  <si>
    <t>EUR2M Curncy</t>
  </si>
  <si>
    <t>EUR3M Curncy</t>
  </si>
  <si>
    <t>EUR4M Curncy</t>
  </si>
  <si>
    <t>EUR5M Curncy</t>
  </si>
  <si>
    <t>EUR6M Curncy</t>
  </si>
  <si>
    <t>EUR9M Curncy</t>
  </si>
  <si>
    <t>EUBSC ICPL Curncy</t>
  </si>
  <si>
    <t>EUBSF ICPL Curncy</t>
  </si>
  <si>
    <t>EUBSI ICPL Curncy</t>
  </si>
  <si>
    <t>EUBS1 ICPL Curncy</t>
  </si>
  <si>
    <t>EUBS2 ICPL Curncy</t>
  </si>
  <si>
    <t>EUBS3 ICPL Curncy</t>
  </si>
  <si>
    <t>EUBS4 ICPL Curncy</t>
  </si>
  <si>
    <t>EUBS5 ICPL Curncy</t>
  </si>
  <si>
    <t>EUBS6 ICPL Curncy</t>
  </si>
  <si>
    <t>EUBS7 ICPL Curncy</t>
  </si>
  <si>
    <t>EUBS8 ICPL Curncy</t>
  </si>
  <si>
    <t>EUBS9 ICPL Curncy</t>
  </si>
  <si>
    <t>EUBS10 ICPL Curncy</t>
  </si>
  <si>
    <t>EUBS12 ICPL Curncy</t>
  </si>
  <si>
    <t>EUBS15 ICPL Curncy</t>
  </si>
  <si>
    <t>EUBS20 ICPL Curncy</t>
  </si>
  <si>
    <t>EUBS25 ICPL Curncy</t>
  </si>
  <si>
    <t>EUBS30 ICPL Curncy</t>
  </si>
  <si>
    <t>EUR Curncy</t>
  </si>
  <si>
    <t>ERM0</t>
  </si>
  <si>
    <t>ERU0</t>
  </si>
  <si>
    <t>ERZ0</t>
  </si>
  <si>
    <t>ERH1</t>
  </si>
  <si>
    <t>ERM1</t>
  </si>
  <si>
    <t>ERU1</t>
  </si>
  <si>
    <t>ERZ1</t>
  </si>
  <si>
    <t>ERH2</t>
  </si>
  <si>
    <t>spread to EUR</t>
  </si>
  <si>
    <t>"</t>
  </si>
  <si>
    <t>EURYC</t>
  </si>
  <si>
    <t>CZKDF_EURCSA</t>
  </si>
  <si>
    <t>HUFDF_EURCSA</t>
  </si>
  <si>
    <t>FX Fwds</t>
  </si>
  <si>
    <t>XccyBasis:SARDF_USDCSA</t>
  </si>
  <si>
    <t>SAR Curncy</t>
  </si>
  <si>
    <t>MKTDATA_USDSAR</t>
  </si>
  <si>
    <t>FX_CURVE_USDSAR</t>
  </si>
  <si>
    <t>Semi-Annual</t>
  </si>
  <si>
    <t>USD/RUB</t>
  </si>
  <si>
    <t>SAR3M</t>
  </si>
  <si>
    <t>AGAINST:SAR3M</t>
  </si>
  <si>
    <t>3M6MBasis:SAR6M</t>
  </si>
  <si>
    <t>DUMMY12y</t>
  </si>
  <si>
    <t>PRB6M</t>
  </si>
  <si>
    <t>PRB3M</t>
  </si>
  <si>
    <t>3M6MBasis:PRB3M</t>
  </si>
  <si>
    <t>AED3M</t>
  </si>
  <si>
    <t>XccyBasis:AEDDF_USDCSA</t>
  </si>
  <si>
    <t>AED Curncy</t>
  </si>
  <si>
    <t>USD/SAR</t>
  </si>
  <si>
    <t>USD/AED</t>
  </si>
  <si>
    <t>MKTDATA_USDAED</t>
  </si>
  <si>
    <t>FX_CURVE_USDAED</t>
  </si>
  <si>
    <t>3M6MBasis:BUB3M</t>
  </si>
  <si>
    <t>BUB6M</t>
  </si>
  <si>
    <t>BUB3M</t>
  </si>
  <si>
    <t>1M3MBasis:PRB1M</t>
  </si>
  <si>
    <t>WIB6M</t>
  </si>
  <si>
    <t>3M6MBasis:WIB3M</t>
  </si>
  <si>
    <t>1M3MBasis:WIB1M</t>
  </si>
  <si>
    <t>WIB3M</t>
  </si>
  <si>
    <t>MOS3M</t>
  </si>
  <si>
    <t>3M6MBasis:MOS6M</t>
  </si>
  <si>
    <t>MKTDATA_USDRUB</t>
  </si>
  <si>
    <t>FX_CURVE_USDRUB</t>
  </si>
  <si>
    <t>TRY3M</t>
  </si>
  <si>
    <t>AGAINST:TRY3M</t>
  </si>
  <si>
    <t>USD/TRY</t>
  </si>
  <si>
    <t>MKTDATA_USDTRY</t>
  </si>
  <si>
    <t>FX_CURVE_USDTRY</t>
  </si>
  <si>
    <t>STD:JIB3M</t>
  </si>
  <si>
    <t>JIB3M</t>
  </si>
  <si>
    <t>3M6MBasis:JIB6M</t>
  </si>
  <si>
    <t>AGAINST:JIB3M</t>
  </si>
  <si>
    <t>USD/ZAR</t>
  </si>
  <si>
    <t>MKTDATA_USDZAR</t>
  </si>
  <si>
    <t>FX_CURVE_USDZAR</t>
  </si>
  <si>
    <t>3M6MBasis:RON6M</t>
  </si>
  <si>
    <t>RON3M</t>
  </si>
  <si>
    <t>XccyBasis:RONDF_EURCSA</t>
  </si>
  <si>
    <t>EURRON Curncy</t>
  </si>
  <si>
    <t>EUR/RON</t>
  </si>
  <si>
    <t>MKTDATA_EURRON</t>
  </si>
  <si>
    <t>FX_CURVE_EURRON</t>
  </si>
  <si>
    <t>STD:TEL3M</t>
  </si>
  <si>
    <t>USD/ILS</t>
  </si>
  <si>
    <t>ILS Curncy</t>
  </si>
  <si>
    <t>MKTDATA_USDILS</t>
  </si>
  <si>
    <t>FX_CURVE_USDILS</t>
  </si>
  <si>
    <t>(Offshore)</t>
  </si>
  <si>
    <t>XccyBasis:ILSDF_USDCSA</t>
  </si>
  <si>
    <t>TEL3M</t>
  </si>
  <si>
    <t>ZARYC</t>
  </si>
  <si>
    <t>Leg1:Float</t>
  </si>
  <si>
    <t>FXSPOT</t>
  </si>
  <si>
    <t>NATURAL</t>
  </si>
  <si>
    <t>NORMAL</t>
  </si>
  <si>
    <t>0d</t>
  </si>
  <si>
    <t>CurveSet</t>
  </si>
  <si>
    <t>TRYYC</t>
  </si>
  <si>
    <t>TRYDF_USDCSA</t>
  </si>
  <si>
    <t>JIB6M</t>
  </si>
  <si>
    <t>1m</t>
  </si>
  <si>
    <t>3m</t>
  </si>
  <si>
    <t>6m</t>
  </si>
  <si>
    <t>12m</t>
  </si>
  <si>
    <t>EUROIS</t>
  </si>
  <si>
    <t>RUBYC</t>
  </si>
  <si>
    <t>ZAROIS</t>
  </si>
  <si>
    <t>RUBOIS</t>
  </si>
  <si>
    <t>MOS6M</t>
  </si>
  <si>
    <t>RUBDF_USDCSA</t>
  </si>
  <si>
    <t>CZKYC</t>
  </si>
  <si>
    <t>CZKOIS</t>
  </si>
  <si>
    <t>PRB1M</t>
  </si>
  <si>
    <t>PRB12M</t>
  </si>
  <si>
    <t>HUFYC</t>
  </si>
  <si>
    <t>HUFOIS</t>
  </si>
  <si>
    <t>BUB1M</t>
  </si>
  <si>
    <t>BUB12M</t>
  </si>
  <si>
    <t>PLNYC</t>
  </si>
  <si>
    <t>PLNOIS</t>
  </si>
  <si>
    <t>WIB1M</t>
  </si>
  <si>
    <t>WIB12M</t>
  </si>
  <si>
    <t>PLNDF_EURCSA</t>
  </si>
  <si>
    <t>RONYC</t>
  </si>
  <si>
    <t>RONOIS</t>
  </si>
  <si>
    <t>RONDF_EURCSA</t>
  </si>
  <si>
    <t>ILSYC</t>
  </si>
  <si>
    <t>ILSOIS</t>
  </si>
  <si>
    <t>ILS3M</t>
  </si>
  <si>
    <t>ILS6M</t>
  </si>
  <si>
    <t>ILSDF_USDCSA</t>
  </si>
  <si>
    <t>SARYC</t>
  </si>
  <si>
    <t>SAROIS</t>
  </si>
  <si>
    <t>SAR1M</t>
  </si>
  <si>
    <t>SAR6M</t>
  </si>
  <si>
    <t>SARDF_USDCSA</t>
  </si>
  <si>
    <t>AEDYC</t>
  </si>
  <si>
    <t>AEDOIS</t>
  </si>
  <si>
    <t>AED1M</t>
  </si>
  <si>
    <t>AED6M</t>
  </si>
  <si>
    <t>AEDDF_USDCSA</t>
  </si>
  <si>
    <t>EURUSD BASIS</t>
  </si>
  <si>
    <t>EUR BASIS 1M</t>
  </si>
  <si>
    <t>EURUSD_1D</t>
  </si>
  <si>
    <t>EUR12M Curncy</t>
  </si>
  <si>
    <t>EUR15M Curncy</t>
  </si>
  <si>
    <t>EUR18M Curncy</t>
  </si>
  <si>
    <t>EUR21M Curncy</t>
  </si>
  <si>
    <t>EUR2Y Curncy</t>
  </si>
  <si>
    <t>EUR3Y Curncy</t>
  </si>
  <si>
    <t>AGAINST:TEL3M</t>
  </si>
  <si>
    <t>3M6MBasis:TEL6M</t>
  </si>
  <si>
    <t>EUR4Y Curncy</t>
  </si>
  <si>
    <t>EUR5Y Curncy</t>
  </si>
  <si>
    <t>EUR6Y Curncy</t>
  </si>
  <si>
    <t>EUR7Y Curncy</t>
  </si>
  <si>
    <t>EUR8Y Curncy</t>
  </si>
  <si>
    <t>EUR9Y Curncy</t>
  </si>
  <si>
    <t>EUR10Y Curncy</t>
  </si>
  <si>
    <t>1F1I</t>
  </si>
  <si>
    <t xml:space="preserve"> IBFX</t>
  </si>
  <si>
    <t>3M6MBasis:AED6M</t>
  </si>
  <si>
    <t>AGAINST:AED3M</t>
  </si>
  <si>
    <t>MKTDATA_EURUSD</t>
  </si>
  <si>
    <t>EURDF_USDCSA</t>
  </si>
  <si>
    <t>FX_CURVE_EURUSD</t>
  </si>
  <si>
    <t>4x7</t>
  </si>
  <si>
    <t>5x8</t>
  </si>
  <si>
    <t>1x7</t>
  </si>
  <si>
    <t>2x8</t>
  </si>
  <si>
    <t>3x9</t>
  </si>
  <si>
    <t>4x10</t>
  </si>
  <si>
    <t>5x11</t>
  </si>
  <si>
    <t>6x12</t>
  </si>
  <si>
    <t>9X12</t>
  </si>
  <si>
    <t>Annual</t>
  </si>
  <si>
    <t>HUF_SWAP_6M</t>
  </si>
  <si>
    <t>EUR3ML</t>
  </si>
  <si>
    <t>USDDF</t>
  </si>
  <si>
    <t>EUR6ML</t>
  </si>
  <si>
    <t>RUBDF_EURCSA</t>
  </si>
  <si>
    <t>RUB_EURCSA_CURVE</t>
  </si>
  <si>
    <t>FWDFXCONST</t>
  </si>
  <si>
    <t>leg1forecast</t>
  </si>
  <si>
    <t>leg1discount</t>
  </si>
  <si>
    <t>leg2forecast</t>
  </si>
  <si>
    <t>leg2Discount</t>
  </si>
  <si>
    <t>AGAINST:EUROIS</t>
  </si>
  <si>
    <t>TARGET:RUBDF_USDCSA</t>
  </si>
  <si>
    <t>RUB_EURCSA Curve Generator</t>
  </si>
  <si>
    <t>FwdFXConstEUR</t>
  </si>
  <si>
    <t>AGAINST:EURDF_USDCSA</t>
  </si>
  <si>
    <t>USDDF_EURCSA</t>
  </si>
  <si>
    <t>EUR Collat</t>
  </si>
  <si>
    <t>USD Collat</t>
  </si>
  <si>
    <t>JPY Collat</t>
  </si>
  <si>
    <t>USDDF_JPYCSA</t>
  </si>
  <si>
    <t>USD_EURCSA</t>
  </si>
  <si>
    <t>USD_FXFWD_MARKET_DATA</t>
  </si>
  <si>
    <t>TARGET:OIS</t>
  </si>
  <si>
    <t>USD_EURCSA_CURVE</t>
  </si>
  <si>
    <t>JPY OIS</t>
  </si>
  <si>
    <t xml:space="preserve"> MTRT</t>
  </si>
  <si>
    <t xml:space="preserve"> JSCA</t>
  </si>
  <si>
    <t xml:space="preserve"> JSPA</t>
  </si>
  <si>
    <t>35Y</t>
  </si>
  <si>
    <t>JY0001M Index</t>
  </si>
  <si>
    <t>JY0003M Index</t>
  </si>
  <si>
    <t>JY0006M Index</t>
  </si>
  <si>
    <t>JPY Basis 3M (LCH)</t>
  </si>
  <si>
    <t>JPYUSD BASIS</t>
  </si>
  <si>
    <t>JPY Curncy</t>
  </si>
  <si>
    <t>OIS:JPYOIS:JPYDF:JPYDF_JPYCSA:JPYDF_NOCSA</t>
  </si>
  <si>
    <t>Longterm</t>
  </si>
  <si>
    <t>removed</t>
  </si>
  <si>
    <t>JPY Swap 6M (JSCC)</t>
  </si>
  <si>
    <t>JPY BASIS 6M (LCH)</t>
  </si>
  <si>
    <t>JY0012M Index</t>
  </si>
  <si>
    <t>Quarterly</t>
  </si>
  <si>
    <t>3M6MBasis:JPY3M</t>
  </si>
  <si>
    <t>JPY6M</t>
  </si>
  <si>
    <t>JPY3M</t>
  </si>
  <si>
    <t>XccyBasis:JPYDF_USDCSA</t>
  </si>
  <si>
    <t>JPYDF_USDCSA</t>
  </si>
  <si>
    <t>USD_JPYCSA</t>
  </si>
  <si>
    <t>FwdFXConstJPY</t>
  </si>
  <si>
    <t>AGAINST:JPYDF_USDCSA</t>
  </si>
  <si>
    <t>AGAINST:JPYOIS</t>
  </si>
  <si>
    <t>USD_JPYCSA_CURVE</t>
  </si>
  <si>
    <t>JPYYC</t>
  </si>
  <si>
    <t>RUBDF_JPYCSA</t>
  </si>
  <si>
    <t>RUB_JPYCSA_CURVE</t>
  </si>
  <si>
    <t>ZAR_EURCSA Curve Generator</t>
  </si>
  <si>
    <t>TARGET:ZARDF_USDCSA</t>
  </si>
  <si>
    <t>ZARDF_EURCSA</t>
  </si>
  <si>
    <t>ZAR_EURCSA_CURVE</t>
  </si>
  <si>
    <t>ZARDF_JPYCSA</t>
  </si>
  <si>
    <t>ZAR_JPYCSA_CURVE</t>
  </si>
  <si>
    <t>TRY_EURCSA Curve Generator</t>
  </si>
  <si>
    <t>TRYDF_EURCSA</t>
  </si>
  <si>
    <t>TARGET:TRYDF_USDCSA</t>
  </si>
  <si>
    <t>TRY_EURCSA_CURVE</t>
  </si>
  <si>
    <t>TRYDF_JPYCSA</t>
  </si>
  <si>
    <t>TRY_JPYCSA_CURVE</t>
  </si>
  <si>
    <t>IsSwapTenorAdjust</t>
  </si>
  <si>
    <t>TenorSwapName</t>
  </si>
  <si>
    <t>DayCountFix</t>
  </si>
  <si>
    <t>FrequencyFix.1y</t>
  </si>
  <si>
    <t>FrequencyFloat.1Y</t>
  </si>
  <si>
    <t>1x3</t>
  </si>
  <si>
    <t>BaseFrequencyFloat</t>
  </si>
  <si>
    <t>FrequencyFix.1Y</t>
  </si>
  <si>
    <t>FrequencyFloat.1y</t>
  </si>
  <si>
    <t>AG</t>
  </si>
  <si>
    <t>BH</t>
  </si>
  <si>
    <t>CI</t>
  </si>
  <si>
    <t>DJ</t>
  </si>
  <si>
    <t>EK</t>
  </si>
  <si>
    <t>F1</t>
  </si>
  <si>
    <t>ECB Date</t>
  </si>
  <si>
    <t>Swap Start</t>
  </si>
  <si>
    <t>Swap End</t>
  </si>
  <si>
    <t>USOIS</t>
  </si>
  <si>
    <t>USD1ML</t>
  </si>
  <si>
    <t>USD12ML</t>
  </si>
  <si>
    <t>EUR1ML</t>
  </si>
  <si>
    <t>EUR12ML</t>
  </si>
  <si>
    <t>RON1M</t>
  </si>
  <si>
    <t>RON6M</t>
  </si>
  <si>
    <t>RON12M</t>
  </si>
  <si>
    <t>ILS1M</t>
  </si>
  <si>
    <t>ILS12M</t>
  </si>
  <si>
    <t>TRY1M</t>
  </si>
  <si>
    <t>TRY6M</t>
  </si>
  <si>
    <t>TRY12M</t>
  </si>
  <si>
    <t>JIB1M</t>
  </si>
  <si>
    <t>JIB12M</t>
  </si>
  <si>
    <t>JPYOIS</t>
  </si>
  <si>
    <t>JPY1M</t>
  </si>
  <si>
    <t>JPY12M</t>
  </si>
  <si>
    <t>MOS1M</t>
  </si>
  <si>
    <t>MOS12M</t>
  </si>
  <si>
    <t>Central Bank Meetings</t>
  </si>
  <si>
    <t>TRY Curncy</t>
  </si>
  <si>
    <t>CZKDF_USDCSA</t>
  </si>
  <si>
    <t>CZKDF_JPYCSA</t>
  </si>
  <si>
    <t>EURDF_JPYCSA</t>
  </si>
  <si>
    <t>Following</t>
  </si>
  <si>
    <t>CAONREPO Index</t>
  </si>
  <si>
    <t>CDOR01 Index</t>
  </si>
  <si>
    <t>CDOR03 Index</t>
  </si>
  <si>
    <t>CDOR06 Index</t>
  </si>
  <si>
    <t>USDCAD Curncy</t>
  </si>
  <si>
    <t>TRB</t>
  </si>
  <si>
    <t>STD:CAD3M</t>
  </si>
  <si>
    <t>XccyBasis:CADDF_USDCSA</t>
  </si>
  <si>
    <t>TRB:NYB:LNB</t>
  </si>
  <si>
    <t>CAD3M</t>
  </si>
  <si>
    <t>SARDF_EURCSA</t>
  </si>
  <si>
    <t>TARGET:SARDF_USDCSA</t>
  </si>
  <si>
    <t>SAR_EURCSA_CURVE</t>
  </si>
  <si>
    <t>SARDF_JPYCSA</t>
  </si>
  <si>
    <t>SAR_JPYCSA_CURVE</t>
  </si>
  <si>
    <t>XccyCURVE</t>
  </si>
  <si>
    <t>1X4</t>
  </si>
  <si>
    <t>2X5</t>
  </si>
  <si>
    <t>3X6</t>
  </si>
  <si>
    <t>6X9</t>
  </si>
  <si>
    <t>21Y</t>
  </si>
  <si>
    <t>CNH</t>
  </si>
  <si>
    <t>CADYC</t>
  </si>
  <si>
    <t>CADOIS</t>
  </si>
  <si>
    <t>CADDF_USDCSA</t>
  </si>
  <si>
    <t>CAD6M</t>
  </si>
  <si>
    <t>CADDF_EURCSA</t>
  </si>
  <si>
    <t>TARGET:CADDF_USDCSA</t>
  </si>
  <si>
    <t>CAD_EURCSA_CURVE</t>
  </si>
  <si>
    <t>CADDF_JPYCSA</t>
  </si>
  <si>
    <t>CAD_JPYCSA_CURVE</t>
  </si>
  <si>
    <t>3M6MBasis:CAD6M</t>
  </si>
  <si>
    <t>isFRAUse</t>
  </si>
  <si>
    <t>CNH_CURVES</t>
  </si>
  <si>
    <t>CNH_DATA</t>
  </si>
  <si>
    <t>BEB:HKB</t>
  </si>
  <si>
    <t>BEB</t>
  </si>
  <si>
    <t>HKD_CURVES</t>
  </si>
  <si>
    <t>HKD_DATA</t>
  </si>
  <si>
    <t>HKD</t>
  </si>
  <si>
    <t>HKB</t>
  </si>
  <si>
    <t>BEB:HKB:NYB</t>
  </si>
  <si>
    <t>HKB:NYB</t>
  </si>
  <si>
    <t>BEB:NYB:LNB</t>
  </si>
  <si>
    <t>HKB:NYB:LNB</t>
  </si>
  <si>
    <t>HKD_3M</t>
  </si>
  <si>
    <t>HIBOR_HKD_1D</t>
  </si>
  <si>
    <t>HIBOR_CNH_1M</t>
  </si>
  <si>
    <t>HIBOR_CNH_3M</t>
  </si>
  <si>
    <t>HIBOR_CNH_6M</t>
  </si>
  <si>
    <t>HIBOR_HKD_1M</t>
  </si>
  <si>
    <t>HIBOR_HKD_3M</t>
  </si>
  <si>
    <t>HIBOR_HKD_6M</t>
  </si>
  <si>
    <t>USDCNH Curncy</t>
  </si>
  <si>
    <t>HICNH1M Index</t>
  </si>
  <si>
    <t>HICNHON Index</t>
  </si>
  <si>
    <t>HICNH3M Index</t>
  </si>
  <si>
    <t>HICNH6M Index</t>
  </si>
  <si>
    <t>3M6MBasis:CNH6M</t>
  </si>
  <si>
    <t>XccyBasis:CNHDF_USDCSA</t>
  </si>
  <si>
    <t>CNH3M</t>
  </si>
  <si>
    <t>MKTDATA_USDCNH</t>
  </si>
  <si>
    <t>CNHDF_EURCSA</t>
  </si>
  <si>
    <t>TARGET:CNHDF_USDCSA</t>
  </si>
  <si>
    <t>CNH_EURCSA_CURVE</t>
  </si>
  <si>
    <t>CNHYC</t>
  </si>
  <si>
    <t>CNHDF_JPYCSA</t>
  </si>
  <si>
    <t>CNH_JPYCSA_CURVE</t>
  </si>
  <si>
    <t>USD/CNH</t>
  </si>
  <si>
    <t>CNHDF_USDCSA</t>
  </si>
  <si>
    <t>CNHOIS</t>
  </si>
  <si>
    <t>CNH OIS</t>
  </si>
  <si>
    <t>HKD OIS</t>
  </si>
  <si>
    <t>USDHKD Curncy</t>
  </si>
  <si>
    <t xml:space="preserve"> ICHK</t>
  </si>
  <si>
    <t>HIHDO/N Index</t>
  </si>
  <si>
    <t>HIHD01M Index</t>
  </si>
  <si>
    <t>HIHD03M Index</t>
  </si>
  <si>
    <t>HIHD06M Index</t>
  </si>
  <si>
    <t xml:space="preserve">  TPRA</t>
  </si>
  <si>
    <t xml:space="preserve"> TRHK</t>
  </si>
  <si>
    <t>HOISHKD Index</t>
  </si>
  <si>
    <t>HKD3M</t>
  </si>
  <si>
    <t>3M6MBasis:HKD6M</t>
  </si>
  <si>
    <t>XccyBasis:HKDDF_USDCSA</t>
  </si>
  <si>
    <t>USD/HKD</t>
  </si>
  <si>
    <t>MKTDATA_USDHKD</t>
  </si>
  <si>
    <t>HKD_EURCSA Curve Generator</t>
  </si>
  <si>
    <t>TARGET:HKDDF_USDCSA</t>
  </si>
  <si>
    <t>HKD_EURCSA_CURVE</t>
  </si>
  <si>
    <t>HKDYC</t>
  </si>
  <si>
    <t>HKD_JPYCSA Curve Generator</t>
  </si>
  <si>
    <t>HKDDF_EURCSA</t>
  </si>
  <si>
    <t>HKDDF_JPYCSA</t>
  </si>
  <si>
    <t>HKD_JPYCSA_CURVE</t>
  </si>
  <si>
    <t>CNH_EURCSA Curve Generator</t>
  </si>
  <si>
    <t>CNH_JPYCSA Curve Generator</t>
  </si>
  <si>
    <t>HKD1M</t>
  </si>
  <si>
    <t>HKD6M</t>
  </si>
  <si>
    <t>HKDDF_USDCSA</t>
  </si>
  <si>
    <t>3M6MBasis:EUR6M</t>
  </si>
  <si>
    <t>CZK_JPYCSA_CURVE</t>
  </si>
  <si>
    <t>EUR_JPYCSA</t>
  </si>
  <si>
    <t>EUR_FXFWD_MARKET_DATA</t>
  </si>
  <si>
    <t>EUR_JPYCSA_CURVE</t>
  </si>
  <si>
    <t>HKDOIS</t>
  </si>
  <si>
    <t>INR</t>
  </si>
  <si>
    <t>INR Curncy</t>
  </si>
  <si>
    <t>INR_DATA</t>
  </si>
  <si>
    <t>BMB</t>
  </si>
  <si>
    <t>BMB:NYB</t>
  </si>
  <si>
    <t>BMB:NYB:LNB</t>
  </si>
  <si>
    <t>OIS_INR</t>
  </si>
  <si>
    <t>MIFOR_1M</t>
  </si>
  <si>
    <t>MIFOR_3M</t>
  </si>
  <si>
    <t>MIFOR_6M</t>
  </si>
  <si>
    <t>MIFOR_12M</t>
  </si>
  <si>
    <t xml:space="preserve"> BGCA</t>
  </si>
  <si>
    <t>XccyBasis:INRDF_USDCSA</t>
  </si>
  <si>
    <t>XccyBASIS</t>
  </si>
  <si>
    <t>AGAINST:USD6ML</t>
  </si>
  <si>
    <t>USD/INR</t>
  </si>
  <si>
    <t>INRDF_USDCSA</t>
  </si>
  <si>
    <t>INRYC</t>
  </si>
  <si>
    <t>INR_EURCSA Curve Generator</t>
  </si>
  <si>
    <t>INRDF_EURCSA</t>
  </si>
  <si>
    <t>TARGET:INRDF_USDCSA</t>
  </si>
  <si>
    <t>INR_EURCSA_CURVE</t>
  </si>
  <si>
    <t>GEOMETRIC</t>
  </si>
  <si>
    <t>ECB6</t>
  </si>
  <si>
    <t>ECB7</t>
  </si>
  <si>
    <t>ECB8</t>
  </si>
  <si>
    <t>Foreign</t>
  </si>
  <si>
    <t>DOMESTIC</t>
  </si>
  <si>
    <t>FOREIGN</t>
  </si>
  <si>
    <t>Domestic</t>
  </si>
  <si>
    <t>JPYDF_EURCSA</t>
  </si>
  <si>
    <t>PLN_USDCSA</t>
  </si>
  <si>
    <t>PLNDF_USDCSA</t>
  </si>
  <si>
    <t>PLN_JPYCSA Curve Generator</t>
  </si>
  <si>
    <t>PLNDF_JPYCSA</t>
  </si>
  <si>
    <t>PLN_JPYCSA_CURVE</t>
  </si>
  <si>
    <t>FN_LINEARINTERPOLATION</t>
  </si>
  <si>
    <t>USDCZK Curncy</t>
  </si>
  <si>
    <t>XccyBasis:CZKDF_USDCSA</t>
  </si>
  <si>
    <t>CZK/USD</t>
  </si>
  <si>
    <t>MKTDATA_CZKUSD</t>
  </si>
  <si>
    <t>CZK_EURCSA</t>
  </si>
  <si>
    <t>TARGET:CZKDF_USDCSA</t>
  </si>
  <si>
    <t>FX_CURVE_USDCZK</t>
  </si>
  <si>
    <t>USDPLN Curncy</t>
  </si>
  <si>
    <t>XccyBasis:PLNDF_USDCSA</t>
  </si>
  <si>
    <t>PLN/USD</t>
  </si>
  <si>
    <t>MKTDATA_USDPLN</t>
  </si>
  <si>
    <t>FX_CURVE_USDPLN</t>
  </si>
  <si>
    <t>PLN_EURCSA Curve Generator</t>
  </si>
  <si>
    <t>PLN_EURCSA_CURVE</t>
  </si>
  <si>
    <t>TARGET:PLNDF_USDCSA</t>
  </si>
  <si>
    <t>SPOT</t>
  </si>
  <si>
    <t>24M</t>
  </si>
  <si>
    <t>30M</t>
  </si>
  <si>
    <t>36M</t>
  </si>
  <si>
    <t>42M</t>
  </si>
  <si>
    <t>48M</t>
  </si>
  <si>
    <t>54M</t>
  </si>
  <si>
    <t>60M</t>
  </si>
  <si>
    <t>66M</t>
  </si>
  <si>
    <t>72M</t>
  </si>
  <si>
    <t>78m</t>
  </si>
  <si>
    <t>84M</t>
  </si>
  <si>
    <t>90M</t>
  </si>
  <si>
    <t>96M</t>
  </si>
  <si>
    <t>102M</t>
  </si>
  <si>
    <t>108M</t>
  </si>
  <si>
    <t>114M</t>
  </si>
  <si>
    <t>120M</t>
  </si>
  <si>
    <t>126M</t>
  </si>
  <si>
    <t>132M</t>
  </si>
  <si>
    <t>138M</t>
  </si>
  <si>
    <t>144M</t>
  </si>
  <si>
    <t>150M</t>
  </si>
  <si>
    <t>156M</t>
  </si>
  <si>
    <t>162M</t>
  </si>
  <si>
    <t>168M</t>
  </si>
  <si>
    <t>174M</t>
  </si>
  <si>
    <t>180M</t>
  </si>
  <si>
    <t>186M</t>
  </si>
  <si>
    <t>192M</t>
  </si>
  <si>
    <t>198M</t>
  </si>
  <si>
    <t>204M</t>
  </si>
  <si>
    <t>210M</t>
  </si>
  <si>
    <t>216M</t>
  </si>
  <si>
    <t>222M</t>
  </si>
  <si>
    <t>228M</t>
  </si>
  <si>
    <t>234M</t>
  </si>
  <si>
    <t>240M</t>
  </si>
  <si>
    <t>Leg2:Float</t>
  </si>
  <si>
    <t>PVEUR</t>
  </si>
  <si>
    <t>DF EUR</t>
  </si>
  <si>
    <t>DF CZK</t>
  </si>
  <si>
    <t>PVCZK</t>
  </si>
  <si>
    <t>USDCZK BS</t>
  </si>
  <si>
    <t>EURCZK BS</t>
  </si>
  <si>
    <t>EURUSD BS</t>
  </si>
  <si>
    <t>C BS EURUSD</t>
  </si>
  <si>
    <t>DF HUF</t>
  </si>
  <si>
    <t>PV HUF</t>
  </si>
  <si>
    <t>BS EURUSD</t>
  </si>
  <si>
    <t>EURHUF BS</t>
  </si>
  <si>
    <t>OUTPUT</t>
  </si>
  <si>
    <t>USDHUF BS</t>
  </si>
  <si>
    <t>DF PLN</t>
  </si>
  <si>
    <t>PV PLN</t>
  </si>
  <si>
    <t>USDPLN BS</t>
  </si>
  <si>
    <t>PNLUSD 1</t>
  </si>
  <si>
    <t>PNLUSD 2</t>
  </si>
  <si>
    <t>PNLUSD 3</t>
  </si>
  <si>
    <t>PNLUSD 4</t>
  </si>
  <si>
    <t>PNLUSD 5</t>
  </si>
  <si>
    <t>PNLUSD 6</t>
  </si>
  <si>
    <t>PNLUSD 7</t>
  </si>
  <si>
    <t>PNLUSD 8</t>
  </si>
  <si>
    <t>PNLUSD 9</t>
  </si>
  <si>
    <t>PNLUSD 10</t>
  </si>
  <si>
    <t>PNLUSD 12</t>
  </si>
  <si>
    <t>PNLUSD 15</t>
  </si>
  <si>
    <t>PNLUSD 20</t>
  </si>
  <si>
    <t>USDHUF BS1</t>
  </si>
  <si>
    <t>USDHUF BS2</t>
  </si>
  <si>
    <t>USDHUF BS3</t>
  </si>
  <si>
    <t>USDHUF BS4</t>
  </si>
  <si>
    <t>USDHUF BS5</t>
  </si>
  <si>
    <t>USDHUF BS6</t>
  </si>
  <si>
    <t>USDHUF BS7</t>
  </si>
  <si>
    <t>USDHUF BS8</t>
  </si>
  <si>
    <t>USDHUF BS9</t>
  </si>
  <si>
    <t>USDHUF BS10</t>
  </si>
  <si>
    <t>USDHUF BS12</t>
  </si>
  <si>
    <t>USDHUF BS15</t>
  </si>
  <si>
    <t>USDHUF BS20</t>
  </si>
  <si>
    <t>USDCZK BS1</t>
  </si>
  <si>
    <t>USDCZK BS2</t>
  </si>
  <si>
    <t>USDCZK BS3</t>
  </si>
  <si>
    <t>USDCZK BS4</t>
  </si>
  <si>
    <t>USDCZK BS5</t>
  </si>
  <si>
    <t>USDCZK BS6</t>
  </si>
  <si>
    <t>USDCZK BS7</t>
  </si>
  <si>
    <t>USDCZK BS8</t>
  </si>
  <si>
    <t>USDCZK BS9</t>
  </si>
  <si>
    <t>USDCZK BS10</t>
  </si>
  <si>
    <t>USDCZK BS12</t>
  </si>
  <si>
    <t>USDCZK BS15</t>
  </si>
  <si>
    <t>USDCZK BS20</t>
  </si>
  <si>
    <t>PRB:TGT:LNB</t>
  </si>
  <si>
    <t>BDB:TGT:LNB</t>
  </si>
  <si>
    <t>WAB:TGT:LNB</t>
  </si>
  <si>
    <t>USDHUF Curncy</t>
  </si>
  <si>
    <t>HUF/USD</t>
  </si>
  <si>
    <t>MKTDATA_HUFUSD</t>
  </si>
  <si>
    <t>FX_CURVE_USDHUF</t>
  </si>
  <si>
    <t>HUFDFX_USDCSA</t>
  </si>
  <si>
    <t>CZKDFX_USDCSA</t>
  </si>
  <si>
    <t>CZK_EURCSA Curve Generator</t>
  </si>
  <si>
    <t>CZK_JPYCSA Curve Generator</t>
  </si>
  <si>
    <t>HUF_EURCSA</t>
  </si>
  <si>
    <t>HUF_USDCSA_CURVE</t>
  </si>
  <si>
    <t>TARGET:HUFDF_USDCSA</t>
  </si>
  <si>
    <t>HUFDF_JPYCSA</t>
  </si>
  <si>
    <t>HUF_JPYCSA_CURVE</t>
  </si>
  <si>
    <t>PLNDFX_USDCSA</t>
  </si>
  <si>
    <t>EURPLN BS</t>
  </si>
  <si>
    <t>HUFDF_USDCSA</t>
  </si>
  <si>
    <t>JPYDFX_USDCSA</t>
  </si>
  <si>
    <t>CZK_EURCSA_CURVE</t>
  </si>
  <si>
    <t>EURDFX_USDCSA</t>
  </si>
  <si>
    <t>TARGET:EURDF_USDCSA</t>
  </si>
  <si>
    <t>Basis Calculator</t>
  </si>
  <si>
    <t>Year</t>
  </si>
  <si>
    <t>Date</t>
  </si>
  <si>
    <t>IRS</t>
  </si>
  <si>
    <t>DC</t>
  </si>
  <si>
    <t>DF</t>
  </si>
  <si>
    <t>Zero</t>
  </si>
  <si>
    <t>DFUSD</t>
  </si>
  <si>
    <t>DFSAR</t>
  </si>
  <si>
    <t>78M</t>
  </si>
  <si>
    <t>DCF</t>
  </si>
  <si>
    <t>DATE</t>
  </si>
  <si>
    <t>DF CBS</t>
  </si>
  <si>
    <t>DF SAR</t>
  </si>
  <si>
    <t>FWD SAR</t>
  </si>
  <si>
    <t>CBS</t>
  </si>
  <si>
    <t>$IRS</t>
  </si>
  <si>
    <t>SN</t>
  </si>
  <si>
    <t>ShortStart</t>
  </si>
  <si>
    <t>LEGTYPE</t>
  </si>
  <si>
    <t>LEVERAGE</t>
  </si>
  <si>
    <t>FORECASTCURVE</t>
  </si>
  <si>
    <t>COMPOUNDMETHOD</t>
  </si>
  <si>
    <t>NOTIONALEXCHANGE</t>
  </si>
  <si>
    <t>DISCOUNTCURVE</t>
  </si>
  <si>
    <t>VALUATIONCURRENCY</t>
  </si>
  <si>
    <t>CURRENCY</t>
  </si>
  <si>
    <t>ACCRUALFREQUENCY</t>
  </si>
  <si>
    <t>ACCRUALBUSINESSDAYADJUSTMENT</t>
  </si>
  <si>
    <t>ACCRUALCALENDAR</t>
  </si>
  <si>
    <t>ACCRUALDAYCOUNT</t>
  </si>
  <si>
    <t>PAYMENTFREQUENCY</t>
  </si>
  <si>
    <t>PAYMENTBUSINESSDAYADJUSTMENT</t>
  </si>
  <si>
    <t>PAYMENTCALENDAR</t>
  </si>
  <si>
    <t>PAYMENTLAG</t>
  </si>
  <si>
    <t>FIRSTSTUBDATE</t>
  </si>
  <si>
    <t>LASTSTUBDATE</t>
  </si>
  <si>
    <t>ROLLDAY</t>
  </si>
  <si>
    <t>STUBTYPE</t>
  </si>
  <si>
    <t>FIXINGBUSINESSDAYADJUSTMENT</t>
  </si>
  <si>
    <t>FIXINGCALENDAR</t>
  </si>
  <si>
    <t>FIXINGLAG</t>
  </si>
  <si>
    <t>FIXINGADVANCEORARREAR</t>
  </si>
  <si>
    <t>ISFWDINTER</t>
  </si>
  <si>
    <t>FIRSTSTUBCURVEINDEX</t>
  </si>
  <si>
    <t>LASTSTUBCURVEINDEX</t>
  </si>
  <si>
    <t>CMSGENERATOR1</t>
  </si>
  <si>
    <t>CMSINDEXMATURITY1</t>
  </si>
  <si>
    <t>CMSGENERATOR2</t>
  </si>
  <si>
    <t>CMSINDEXMATURITY2</t>
  </si>
  <si>
    <t>PAYMENTTRIGGER</t>
  </si>
  <si>
    <t>INFLATIONRESETTYPE</t>
  </si>
  <si>
    <t>CALCULATIONTYPE</t>
  </si>
  <si>
    <t>EXDIVIDENDTENOR</t>
  </si>
  <si>
    <t>EXDIVIDENDBUSINESSDAYADJUSTMENT</t>
  </si>
  <si>
    <t>EUBSATVC Curncy</t>
  </si>
  <si>
    <t>EUBSAT1 Curncy</t>
  </si>
  <si>
    <t>EUBSAT2 Curncy</t>
  </si>
  <si>
    <t>EUBSAT3 Curncy</t>
  </si>
  <si>
    <t>EUBSAT4 Curncy</t>
  </si>
  <si>
    <t>EUBSAT5 Curncy</t>
  </si>
  <si>
    <t>EUBSAT6 Curncy</t>
  </si>
  <si>
    <t>EUBSAT7 Curncy</t>
  </si>
  <si>
    <t>EUBSAT8 Curncy</t>
  </si>
  <si>
    <t>EUBSAT9 Curncy</t>
  </si>
  <si>
    <t>EUBSAT10 Curncy</t>
  </si>
  <si>
    <t>EUBSAT12 Curncy</t>
  </si>
  <si>
    <t>EUBSAT15 Curncy</t>
  </si>
  <si>
    <t>EUBSAT20 Curncy</t>
  </si>
  <si>
    <t>EUBSAT25 Curncy</t>
  </si>
  <si>
    <t>EUBSAT30 Curncy</t>
  </si>
  <si>
    <t>EUBSAT40 Curncy</t>
  </si>
  <si>
    <t>EUBSAT50 Curncy</t>
  </si>
  <si>
    <t>AGAINST:EUR3ML</t>
  </si>
  <si>
    <t>1M3MBasis:EUR1ML</t>
  </si>
  <si>
    <t>EURSN Curncy</t>
  </si>
  <si>
    <t>USD_BASIS_1X3_MARKETDATA</t>
  </si>
  <si>
    <t>USD_BASIS_1X3</t>
  </si>
  <si>
    <t>USD_BASIS_1M_CURVE</t>
  </si>
  <si>
    <t>EUBSV1 Curncy</t>
  </si>
  <si>
    <t>EUBSV2 Curncy</t>
  </si>
  <si>
    <t>EUBSV3 Curncy</t>
  </si>
  <si>
    <t>EUBSV4 Curncy</t>
  </si>
  <si>
    <t>EUBSV5 Curncy</t>
  </si>
  <si>
    <t>EUBSV6 Curncy</t>
  </si>
  <si>
    <t>EUBSV7 Curncy</t>
  </si>
  <si>
    <t>EUBSV8 Curncy</t>
  </si>
  <si>
    <t>EUBSV9 Curncy</t>
  </si>
  <si>
    <t>EUBSV10 Curncy</t>
  </si>
  <si>
    <t>EUBSV12 Curncy</t>
  </si>
  <si>
    <t>EUBSV15 Curncy</t>
  </si>
  <si>
    <t>EUBSV20 Curncy</t>
  </si>
  <si>
    <t>EUBSV25 Curncy</t>
  </si>
  <si>
    <t>EUBSV30 Curncy</t>
  </si>
  <si>
    <t>EUR BASIS 3M</t>
  </si>
  <si>
    <t>START_AND_END</t>
  </si>
  <si>
    <t>SGD</t>
  </si>
  <si>
    <t>MYR</t>
  </si>
  <si>
    <t>THB</t>
  </si>
  <si>
    <t>KRW</t>
  </si>
  <si>
    <t>MXN</t>
  </si>
  <si>
    <t>Leg2:Fixed</t>
  </si>
  <si>
    <t>TRYDFX_USDCSA</t>
  </si>
  <si>
    <t>EUBS1F ICPL Curncy</t>
  </si>
  <si>
    <t>7M</t>
  </si>
  <si>
    <t>8M</t>
  </si>
  <si>
    <t>EUR7M Curncy</t>
  </si>
  <si>
    <t>EUR8M Curncy</t>
  </si>
  <si>
    <t>EUR10M Curncy</t>
  </si>
  <si>
    <t>EUR11M Curncy</t>
  </si>
  <si>
    <t>10M</t>
  </si>
  <si>
    <t>11M</t>
  </si>
  <si>
    <t xml:space="preserve"> TRGC</t>
  </si>
  <si>
    <t>EnAZle: CreateCurveGenerator</t>
  </si>
  <si>
    <t>StaticDataTAZle</t>
  </si>
  <si>
    <t>Enble: CreateCurveGenerator</t>
  </si>
  <si>
    <t>INRDFX_USDCSA</t>
  </si>
  <si>
    <t>Enbable: CreateCurveGenerator</t>
  </si>
  <si>
    <t>INROIS</t>
  </si>
  <si>
    <t>ZARDFX_USDCSA</t>
  </si>
  <si>
    <t>CAD_EURCSA Curve Generator</t>
  </si>
  <si>
    <t>AEDDFX_USDCSA</t>
  </si>
  <si>
    <t>SARDFX_USDCSA</t>
  </si>
  <si>
    <t>RUBDFX_USDCSA</t>
  </si>
  <si>
    <t>RONDFX_EURCSA</t>
  </si>
  <si>
    <t>ILSDFX_USDCSA</t>
  </si>
  <si>
    <t>HKDDFX_USDCSA</t>
  </si>
  <si>
    <t>CNHDFX_USDCSA</t>
  </si>
  <si>
    <t>CADDFX_USDCSA</t>
  </si>
  <si>
    <t>USD_BASIS_1M</t>
  </si>
  <si>
    <t>JPY_EURCSA</t>
  </si>
  <si>
    <t>TARGET:JPYDF_USDCSA</t>
  </si>
  <si>
    <t>JPY_FXFWD_MARKET_DATA</t>
  </si>
  <si>
    <t>JPY_EURCSA_CURVE</t>
  </si>
  <si>
    <t>JPY_EURCSA Curve Generator</t>
  </si>
  <si>
    <t>CNH6M</t>
  </si>
  <si>
    <t>HKD_EURCSA</t>
  </si>
  <si>
    <t>HKD_JPYCSA</t>
  </si>
  <si>
    <t>INRDF_JPYCSA</t>
  </si>
  <si>
    <t>INR_JPYCSA Curve Generator</t>
  </si>
  <si>
    <t>INR_JPYCSA_CURVE</t>
  </si>
  <si>
    <t>ILS_EURCSA Curve Generator</t>
  </si>
  <si>
    <t>ILSDF_EURCSA</t>
  </si>
  <si>
    <t>TARGET:ILSDF_USDCSA</t>
  </si>
  <si>
    <t>ILS_EURCSA_CURVE</t>
  </si>
  <si>
    <t>ILS_JPYCSA Curve Generator</t>
  </si>
  <si>
    <t>ILSDF_JPYCSA</t>
  </si>
  <si>
    <t>ILS_JPYCSA_CURVE</t>
  </si>
  <si>
    <t>SAR_EURCSA Curve Generator</t>
  </si>
  <si>
    <t>SAR_JPYCSA Curve Generator</t>
  </si>
  <si>
    <t>AED_EURCSA Curve Generator</t>
  </si>
  <si>
    <t>AED_JPYCSA Curve Generator</t>
  </si>
  <si>
    <t>AEDDF_JPYCSA</t>
  </si>
  <si>
    <t>AEDDF_EURCSA</t>
  </si>
  <si>
    <t>TARGET:AEDDF_USDCSA</t>
  </si>
  <si>
    <t>AED_EURCSA_CURVE</t>
  </si>
  <si>
    <t>AED_JPYCSA_CURVE</t>
  </si>
  <si>
    <t>USD_CNHCSA</t>
  </si>
  <si>
    <t>USDDF_CNHCSA</t>
  </si>
  <si>
    <t>AGAINST:CNHDF_USDCSA</t>
  </si>
  <si>
    <t>AGAINST:CNHOIS</t>
  </si>
  <si>
    <t>USD_CNHCSA_CURVE</t>
  </si>
  <si>
    <t>RUB_CNHCSA Curve Generator</t>
  </si>
  <si>
    <t>RUBDF_CNHCSA</t>
  </si>
  <si>
    <t>RUB_CNHCSA_CURVE</t>
  </si>
  <si>
    <t>1M3MBasis:CAD1M</t>
  </si>
  <si>
    <t>CAD1M</t>
  </si>
  <si>
    <t xml:space="preserve"> BGC</t>
  </si>
  <si>
    <t>BRL</t>
  </si>
  <si>
    <t>BRL OIS</t>
  </si>
  <si>
    <t>USDBRL Curncy</t>
  </si>
  <si>
    <t>BRL_DATA</t>
  </si>
  <si>
    <t>NBR</t>
  </si>
  <si>
    <t>NBR:NYB</t>
  </si>
  <si>
    <t>BRL_CDI</t>
  </si>
  <si>
    <t>BRL_OFF_1M</t>
  </si>
  <si>
    <t>BRL_OFF_3M</t>
  </si>
  <si>
    <t>BRL_OFF_6M</t>
  </si>
  <si>
    <t>BRL_OFF_1Y</t>
  </si>
  <si>
    <t xml:space="preserve"> GFBR</t>
  </si>
  <si>
    <t xml:space="preserve"> CMPL</t>
  </si>
  <si>
    <t>XccyBasis:BRLDF_USDCSA</t>
  </si>
  <si>
    <t>AGAINST:USD3ML</t>
  </si>
  <si>
    <t>BRLYC</t>
  </si>
  <si>
    <t>BRLDF_USDCSA</t>
  </si>
  <si>
    <t>EUR_JPYCSA Curve Generator</t>
  </si>
  <si>
    <t>USD_EURCSA Curve Generator</t>
  </si>
  <si>
    <t>FwdFXConstCNH</t>
  </si>
  <si>
    <t xml:space="preserve"> ICA8</t>
  </si>
  <si>
    <t>SPLINE</t>
  </si>
  <si>
    <t>BISTTREF Index</t>
  </si>
  <si>
    <t>INR_SWAP_3M_MKT</t>
  </si>
  <si>
    <t>INR_SWAP_3M_CURVE</t>
  </si>
  <si>
    <t>INR3M</t>
  </si>
  <si>
    <t>INR6M</t>
  </si>
  <si>
    <t>MUM3M</t>
  </si>
  <si>
    <t>All          Minors</t>
  </si>
  <si>
    <t>CALCULATION SWITCHES</t>
  </si>
  <si>
    <t>NAVIGATION CONTROLS</t>
  </si>
  <si>
    <t>BRLOIS</t>
  </si>
  <si>
    <t>BRL3M</t>
  </si>
  <si>
    <t>BRL6M</t>
  </si>
  <si>
    <t>BRLDF_EURCSA</t>
  </si>
  <si>
    <t>BRLDF_JPYCSA</t>
  </si>
  <si>
    <t>FX_CURVE_USDCNH</t>
  </si>
  <si>
    <t>BRLDFX_USDCSA</t>
  </si>
  <si>
    <t>USD/BRL</t>
  </si>
  <si>
    <t>MKTDATA_USDBRL</t>
  </si>
  <si>
    <t>FX_CURVE_USDBRL</t>
  </si>
  <si>
    <t xml:space="preserve"> MBAN</t>
  </si>
  <si>
    <r>
      <t xml:space="preserve">Jump to
</t>
    </r>
    <r>
      <rPr>
        <b/>
        <sz val="11"/>
        <color theme="1"/>
        <rFont val="Calibri"/>
        <family val="2"/>
        <scheme val="minor"/>
      </rPr>
      <t>USD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</si>
  <si>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USD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</si>
  <si>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EUR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</si>
  <si>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JPY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</si>
  <si>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AED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</si>
  <si>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EUR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</si>
  <si>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JPY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</si>
  <si>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AED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</si>
  <si>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BRL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</si>
  <si>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BRL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</si>
  <si>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CAD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</si>
  <si>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CAD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</si>
  <si>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CNH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</si>
  <si>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CNH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</si>
  <si>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CZK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</si>
  <si>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CZK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</si>
  <si>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HKD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</si>
  <si>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HKD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</si>
  <si>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HUF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</si>
  <si>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HUF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</si>
  <si>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ILS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</si>
  <si>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ILS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</si>
  <si>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INR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</si>
  <si>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INR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</si>
  <si>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PLN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</si>
  <si>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PLN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</si>
  <si>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RON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</si>
  <si>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RON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</si>
  <si>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RUB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</si>
  <si>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RUB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</si>
  <si>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SAR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</si>
  <si>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SAR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</si>
  <si>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TRY Data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</si>
  <si>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TRY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</si>
  <si>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ZAR Curves</t>
    </r>
  </si>
  <si>
    <r>
      <t xml:space="preserve">Jump to
</t>
    </r>
    <r>
      <rPr>
        <b/>
        <sz val="11"/>
        <color theme="1"/>
        <rFont val="Calibri"/>
        <family val="2"/>
        <scheme val="minor"/>
      </rPr>
      <t>ZAR Data</t>
    </r>
  </si>
  <si>
    <t>Double-Click on Grey Boxes to Jump to Curve Page(s)</t>
  </si>
  <si>
    <t>Double-Click on Grey Boxes to Jump to Data Page(s)</t>
  </si>
  <si>
    <t>Double-Click on Yellow Boxes to Toggle Curve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</si>
</sst>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[$-F800]dddd\,\ mmmm\ dd\,\ yyyy"/>
    <numFmt numFmtId="165" formatCode="#,##0.000000"/>
    <numFmt numFmtId="166" formatCode="0.0000%"/>
    <numFmt numFmtId="167" formatCode="0.00000%"/>
    <numFmt numFmtId="168" formatCode="ddd\,\ d\-mmm\-yy"/>
    <numFmt numFmtId="169" formatCode="0.000%"/>
    <numFmt numFmtId="170" formatCode="#,##0.000"/>
    <numFmt numFmtId="171" formatCode="#,##0.00000"/>
    <numFmt numFmtId="172" formatCode="0.0000"/>
    <numFmt numFmtId="173" formatCode="#,##0.0000"/>
    <numFmt numFmtId="174" formatCode="#,##0.0"/>
    <numFmt numFmtId="175" formatCode="0.000000"/>
    <numFmt numFmtId="176" formatCode="0.0000000%"/>
    <numFmt numFmtId="177" formatCode="0.00000"/>
    <numFmt numFmtId="178" formatCode="0.000"/>
    <numFmt numFmtId="179" formatCode="0.000000%"/>
    <numFmt numFmtId="180" formatCode="#,##0.000000000000000"/>
    <numFmt numFmtId="181" formatCode="0.00_ ;[Red]\-0.00\ 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Times New Roman"/>
      <family val="1"/>
    </font>
    <font>
      <sz val="11"/>
      <color theme="0" tint="-0.34998626667073579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6600FF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2"/>
      <color rgb="FF0000FF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indexed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FF00"/>
        <bgColor indexed="64"/>
      </patternFill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4">
    <xf numFmtId="0" fontId="0" fillId="0" borderId="0"/>
    <xf numFmtId="0" fontId="9" fillId="0" borderId="0">
      <alignment vertical="center"/>
    </xf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697">
    <xf numFmtId="0" fontId="0" fillId="0" borderId="0" xfId="0"/>
    <xf numFmtId="164" fontId="0" fillId="0" borderId="0" xfId="0" applyNumberFormat="1"/>
    <xf numFmtId="0" fontId="1" fillId="0" borderId="0" xfId="0" applyFon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0" fontId="0" fillId="0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3" fontId="4" fillId="2" borderId="2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165" fontId="4" fillId="2" borderId="3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0" fillId="0" borderId="6" xfId="0" applyFont="1" applyFill="1" applyBorder="1"/>
    <xf numFmtId="0" fontId="4" fillId="2" borderId="6" xfId="0" applyFont="1" applyFill="1" applyBorder="1" applyAlignment="1">
      <alignment horizontal="center" vertical="center"/>
    </xf>
    <xf numFmtId="3" fontId="4" fillId="2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166" fontId="4" fillId="2" borderId="8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15" fontId="4" fillId="2" borderId="7" xfId="0" applyNumberFormat="1" applyFont="1" applyFill="1" applyBorder="1" applyAlignment="1">
      <alignment horizontal="center" vertical="center"/>
    </xf>
    <xf numFmtId="15" fontId="4" fillId="2" borderId="0" xfId="0" applyNumberFormat="1" applyFont="1" applyFill="1" applyBorder="1" applyAlignment="1">
      <alignment horizontal="center" vertical="center"/>
    </xf>
    <xf numFmtId="4" fontId="4" fillId="2" borderId="8" xfId="0" applyNumberFormat="1" applyFont="1" applyFill="1" applyBorder="1" applyAlignment="1">
      <alignment horizontal="center" vertical="center"/>
    </xf>
    <xf numFmtId="0" fontId="0" fillId="0" borderId="9" xfId="0" applyFont="1" applyFill="1" applyBorder="1"/>
    <xf numFmtId="0" fontId="4" fillId="2" borderId="9" xfId="0" applyFont="1" applyFill="1" applyBorder="1" applyAlignment="1">
      <alignment horizontal="center" vertical="center"/>
    </xf>
    <xf numFmtId="0" fontId="0" fillId="0" borderId="0" xfId="0" applyFont="1" applyFill="1" applyBorder="1"/>
    <xf numFmtId="166" fontId="0" fillId="0" borderId="0" xfId="0" applyNumberFormat="1" applyFont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165" fontId="4" fillId="2" borderId="10" xfId="0" applyNumberFormat="1" applyFont="1" applyFill="1" applyBorder="1" applyAlignment="1">
      <alignment horizontal="center" vertical="center"/>
    </xf>
    <xf numFmtId="166" fontId="4" fillId="2" borderId="12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5" fontId="4" fillId="2" borderId="11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6" fillId="2" borderId="4" xfId="0" applyFont="1" applyFill="1" applyBorder="1"/>
    <xf numFmtId="0" fontId="7" fillId="2" borderId="4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4" borderId="2" xfId="0" applyFill="1" applyBorder="1"/>
    <xf numFmtId="0" fontId="0" fillId="2" borderId="0" xfId="0" applyFill="1" applyBorder="1"/>
    <xf numFmtId="0" fontId="0" fillId="2" borderId="8" xfId="0" applyFill="1" applyBorder="1"/>
    <xf numFmtId="0" fontId="6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/>
    <xf numFmtId="0" fontId="0" fillId="2" borderId="0" xfId="0" applyFill="1"/>
    <xf numFmtId="0" fontId="5" fillId="2" borderId="11" xfId="0" applyFont="1" applyFill="1" applyBorder="1" applyAlignment="1">
      <alignment horizontal="center" vertical="center"/>
    </xf>
    <xf numFmtId="0" fontId="0" fillId="4" borderId="6" xfId="0" applyFill="1" applyBorder="1"/>
    <xf numFmtId="0" fontId="0" fillId="4" borderId="2" xfId="0" applyFont="1" applyFill="1" applyBorder="1"/>
    <xf numFmtId="0" fontId="0" fillId="4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167" fontId="3" fillId="0" borderId="4" xfId="0" applyNumberFormat="1" applyFont="1" applyFill="1" applyBorder="1" applyAlignment="1">
      <alignment horizontal="center" vertical="center"/>
    </xf>
    <xf numFmtId="15" fontId="3" fillId="0" borderId="0" xfId="0" applyNumberFormat="1" applyFont="1" applyFill="1" applyBorder="1" applyAlignment="1">
      <alignment horizontal="center" vertical="center"/>
    </xf>
    <xf numFmtId="15" fontId="5" fillId="0" borderId="8" xfId="0" applyNumberFormat="1" applyFont="1" applyFill="1" applyBorder="1" applyAlignment="1">
      <alignment horizontal="center" vertical="center"/>
    </xf>
    <xf numFmtId="167" fontId="3" fillId="0" borderId="5" xfId="0" applyNumberFormat="1" applyFont="1" applyFill="1" applyBorder="1" applyAlignment="1">
      <alignment horizontal="center" vertical="center"/>
    </xf>
    <xf numFmtId="0" fontId="0" fillId="4" borderId="6" xfId="0" applyFont="1" applyFill="1" applyBorder="1"/>
    <xf numFmtId="0" fontId="0" fillId="4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 vertical="center"/>
    </xf>
    <xf numFmtId="167" fontId="3" fillId="0" borderId="8" xfId="0" applyNumberFormat="1" applyFont="1" applyFill="1" applyBorder="1" applyAlignment="1">
      <alignment horizontal="center" vertical="center"/>
    </xf>
    <xf numFmtId="0" fontId="0" fillId="4" borderId="9" xfId="0" applyFill="1" applyBorder="1"/>
    <xf numFmtId="0" fontId="0" fillId="4" borderId="9" xfId="0" applyFont="1" applyFill="1" applyBorder="1"/>
    <xf numFmtId="168" fontId="3" fillId="4" borderId="9" xfId="0" applyNumberFormat="1" applyFont="1" applyFill="1" applyBorder="1" applyAlignment="1">
      <alignment horizontal="left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2" borderId="0" xfId="0" applyFont="1" applyFill="1"/>
    <xf numFmtId="0" fontId="0" fillId="4" borderId="2" xfId="0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1" fillId="2" borderId="0" xfId="0" applyFont="1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2" borderId="8" xfId="0" applyFont="1" applyFill="1" applyBorder="1"/>
    <xf numFmtId="0" fontId="0" fillId="0" borderId="2" xfId="0" applyBorder="1"/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6" xfId="0" applyBorder="1"/>
    <xf numFmtId="15" fontId="4" fillId="0" borderId="8" xfId="0" applyNumberFormat="1" applyFont="1" applyFill="1" applyBorder="1" applyAlignment="1">
      <alignment horizontal="center" vertical="center"/>
    </xf>
    <xf numFmtId="0" fontId="0" fillId="0" borderId="9" xfId="0" applyBorder="1"/>
    <xf numFmtId="0" fontId="3" fillId="0" borderId="10" xfId="0" applyFont="1" applyFill="1" applyBorder="1" applyAlignment="1">
      <alignment horizontal="center" vertical="center"/>
    </xf>
    <xf numFmtId="167" fontId="3" fillId="0" borderId="11" xfId="0" applyNumberFormat="1" applyFont="1" applyFill="1" applyBorder="1" applyAlignment="1">
      <alignment horizontal="center" vertical="center"/>
    </xf>
    <xf numFmtId="15" fontId="3" fillId="0" borderId="11" xfId="0" applyNumberFormat="1" applyFont="1" applyFill="1" applyBorder="1" applyAlignment="1">
      <alignment horizontal="center" vertical="center"/>
    </xf>
    <xf numFmtId="15" fontId="4" fillId="0" borderId="12" xfId="0" applyNumberFormat="1" applyFont="1" applyFill="1" applyBorder="1" applyAlignment="1">
      <alignment horizontal="center" vertical="center"/>
    </xf>
    <xf numFmtId="167" fontId="3" fillId="0" borderId="12" xfId="0" applyNumberFormat="1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 applyBorder="1" applyAlignment="1">
      <alignment horizontal="center" vertical="center"/>
    </xf>
    <xf numFmtId="0" fontId="0" fillId="2" borderId="17" xfId="0" applyFill="1" applyBorder="1"/>
    <xf numFmtId="0" fontId="5" fillId="4" borderId="2" xfId="0" applyFont="1" applyFill="1" applyBorder="1"/>
    <xf numFmtId="15" fontId="5" fillId="4" borderId="2" xfId="0" applyNumberFormat="1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4" borderId="6" xfId="0" applyFont="1" applyFill="1" applyBorder="1"/>
    <xf numFmtId="15" fontId="5" fillId="4" borderId="6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5" fontId="4" fillId="4" borderId="4" xfId="1" quotePrefix="1" applyNumberFormat="1" applyFont="1" applyFill="1" applyBorder="1" applyAlignment="1">
      <alignment horizontal="center" vertical="center"/>
    </xf>
    <xf numFmtId="170" fontId="4" fillId="4" borderId="4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6" fontId="4" fillId="0" borderId="8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5" fontId="4" fillId="4" borderId="0" xfId="1" quotePrefix="1" applyNumberFormat="1" applyFont="1" applyFill="1" applyBorder="1" applyAlignment="1">
      <alignment horizontal="center" vertical="center"/>
    </xf>
    <xf numFmtId="170" fontId="4" fillId="4" borderId="0" xfId="0" applyNumberFormat="1" applyFont="1" applyFill="1" applyBorder="1" applyAlignment="1">
      <alignment horizontal="center" vertical="center"/>
    </xf>
    <xf numFmtId="166" fontId="4" fillId="4" borderId="0" xfId="0" applyNumberFormat="1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168" fontId="3" fillId="4" borderId="6" xfId="0" applyNumberFormat="1" applyFont="1" applyFill="1" applyBorder="1" applyAlignment="1">
      <alignment horizontal="left" vertical="center"/>
    </xf>
    <xf numFmtId="15" fontId="4" fillId="4" borderId="0" xfId="1" applyNumberFormat="1" applyFont="1" applyFill="1" applyBorder="1" applyAlignment="1">
      <alignment horizontal="center" vertical="center"/>
    </xf>
    <xf numFmtId="169" fontId="5" fillId="4" borderId="8" xfId="2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left"/>
    </xf>
    <xf numFmtId="0" fontId="5" fillId="4" borderId="9" xfId="0" applyFont="1" applyFill="1" applyBorder="1" applyAlignment="1">
      <alignment horizontal="left"/>
    </xf>
    <xf numFmtId="0" fontId="5" fillId="0" borderId="10" xfId="0" applyFont="1" applyFill="1" applyBorder="1" applyAlignment="1">
      <alignment horizontal="center" vertical="center"/>
    </xf>
    <xf numFmtId="167" fontId="4" fillId="0" borderId="12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left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15" fontId="4" fillId="4" borderId="11" xfId="1" applyNumberFormat="1" applyFont="1" applyFill="1" applyBorder="1" applyAlignment="1">
      <alignment horizontal="center" vertical="center"/>
    </xf>
    <xf numFmtId="170" fontId="4" fillId="4" borderId="11" xfId="0" applyNumberFormat="1" applyFont="1" applyFill="1" applyBorder="1" applyAlignment="1">
      <alignment horizontal="center" vertical="center"/>
    </xf>
    <xf numFmtId="169" fontId="5" fillId="4" borderId="12" xfId="2" applyNumberFormat="1" applyFont="1" applyFill="1" applyBorder="1" applyAlignment="1">
      <alignment horizontal="center" vertical="center"/>
    </xf>
    <xf numFmtId="166" fontId="4" fillId="4" borderId="11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167" fontId="5" fillId="0" borderId="8" xfId="0" applyNumberFormat="1" applyFont="1" applyFill="1" applyBorder="1" applyAlignment="1">
      <alignment horizontal="center" vertical="center"/>
    </xf>
    <xf numFmtId="167" fontId="5" fillId="0" borderId="12" xfId="0" applyNumberFormat="1" applyFont="1" applyFill="1" applyBorder="1" applyAlignment="1">
      <alignment horizontal="center" vertical="center"/>
    </xf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0" xfId="0" applyFill="1" applyBorder="1" applyAlignment="1">
      <alignment horizontal="left" vertical="center"/>
    </xf>
    <xf numFmtId="0" fontId="0" fillId="0" borderId="2" xfId="0" applyFill="1" applyBorder="1"/>
    <xf numFmtId="0" fontId="0" fillId="0" borderId="2" xfId="0" applyFill="1" applyBorder="1" applyAlignment="1">
      <alignment horizontal="left" vertical="center"/>
    </xf>
    <xf numFmtId="0" fontId="0" fillId="0" borderId="6" xfId="0" applyFill="1" applyBorder="1"/>
    <xf numFmtId="0" fontId="0" fillId="0" borderId="6" xfId="0" applyFill="1" applyBorder="1" applyAlignment="1">
      <alignment horizontal="left" vertical="center"/>
    </xf>
    <xf numFmtId="0" fontId="0" fillId="0" borderId="9" xfId="0" applyFill="1" applyBorder="1"/>
    <xf numFmtId="168" fontId="3" fillId="0" borderId="9" xfId="0" applyNumberFormat="1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4" fillId="0" borderId="9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center" vertical="center"/>
    </xf>
    <xf numFmtId="166" fontId="5" fillId="4" borderId="0" xfId="0" applyNumberFormat="1" applyFont="1" applyFill="1" applyBorder="1" applyAlignment="1">
      <alignment horizontal="center" vertical="center"/>
    </xf>
    <xf numFmtId="0" fontId="5" fillId="2" borderId="17" xfId="0" applyFont="1" applyFill="1" applyBorder="1"/>
    <xf numFmtId="0" fontId="5" fillId="2" borderId="0" xfId="0" applyFont="1" applyFill="1"/>
    <xf numFmtId="0" fontId="11" fillId="0" borderId="0" xfId="0" applyFont="1"/>
    <xf numFmtId="15" fontId="4" fillId="4" borderId="3" xfId="0" applyNumberFormat="1" applyFont="1" applyFill="1" applyBorder="1" applyAlignment="1">
      <alignment horizontal="center" vertical="center"/>
    </xf>
    <xf numFmtId="15" fontId="4" fillId="4" borderId="7" xfId="0" applyNumberFormat="1" applyFont="1" applyFill="1" applyBorder="1" applyAlignment="1">
      <alignment horizontal="center" vertical="center"/>
    </xf>
    <xf numFmtId="169" fontId="8" fillId="4" borderId="5" xfId="2" quotePrefix="1" applyNumberFormat="1" applyFont="1" applyFill="1" applyBorder="1" applyAlignment="1">
      <alignment horizontal="center" vertical="center"/>
    </xf>
    <xf numFmtId="169" fontId="8" fillId="4" borderId="8" xfId="2" quotePrefix="1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left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5" fontId="12" fillId="2" borderId="16" xfId="0" applyNumberFormat="1" applyFont="1" applyFill="1" applyBorder="1" applyAlignment="1">
      <alignment horizontal="left" vertical="center"/>
    </xf>
    <xf numFmtId="166" fontId="12" fillId="2" borderId="0" xfId="0" applyNumberFormat="1" applyFont="1" applyFill="1" applyBorder="1" applyAlignment="1">
      <alignment horizontal="center" vertical="center"/>
    </xf>
    <xf numFmtId="166" fontId="12" fillId="2" borderId="17" xfId="0" applyNumberFormat="1" applyFont="1" applyFill="1" applyBorder="1" applyAlignment="1">
      <alignment horizontal="center" vertical="center"/>
    </xf>
    <xf numFmtId="15" fontId="12" fillId="2" borderId="18" xfId="0" applyNumberFormat="1" applyFont="1" applyFill="1" applyBorder="1" applyAlignment="1">
      <alignment horizontal="left" vertical="center"/>
    </xf>
    <xf numFmtId="166" fontId="12" fillId="2" borderId="19" xfId="0" applyNumberFormat="1" applyFont="1" applyFill="1" applyBorder="1" applyAlignment="1">
      <alignment horizontal="center" vertical="center"/>
    </xf>
    <xf numFmtId="166" fontId="12" fillId="2" borderId="20" xfId="0" applyNumberFormat="1" applyFont="1" applyFill="1" applyBorder="1" applyAlignment="1">
      <alignment horizontal="center" vertical="center"/>
    </xf>
    <xf numFmtId="3" fontId="4" fillId="2" borderId="0" xfId="0" applyNumberFormat="1" applyFon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4" fillId="2" borderId="4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10" fontId="4" fillId="2" borderId="8" xfId="0" applyNumberFormat="1" applyFont="1" applyFill="1" applyBorder="1" applyAlignment="1">
      <alignment horizontal="center" vertical="center"/>
    </xf>
    <xf numFmtId="10" fontId="4" fillId="2" borderId="5" xfId="0" applyNumberFormat="1" applyFont="1" applyFill="1" applyBorder="1" applyAlignment="1">
      <alignment horizontal="center" vertical="center"/>
    </xf>
    <xf numFmtId="171" fontId="4" fillId="2" borderId="0" xfId="0" applyNumberFormat="1" applyFont="1" applyFill="1" applyBorder="1" applyAlignment="1">
      <alignment horizontal="center" vertical="center"/>
    </xf>
    <xf numFmtId="2" fontId="5" fillId="3" borderId="4" xfId="0" applyNumberFormat="1" applyFont="1" applyFill="1" applyBorder="1" applyAlignment="1">
      <alignment horizontal="center" vertical="center"/>
    </xf>
    <xf numFmtId="2" fontId="5" fillId="3" borderId="0" xfId="0" applyNumberFormat="1" applyFont="1" applyFill="1" applyBorder="1" applyAlignment="1">
      <alignment horizontal="center" vertical="center"/>
    </xf>
    <xf numFmtId="4" fontId="0" fillId="0" borderId="0" xfId="0" applyNumberFormat="1" applyFont="1"/>
    <xf numFmtId="4" fontId="1" fillId="0" borderId="0" xfId="0" applyNumberFormat="1" applyFont="1" applyAlignment="1">
      <alignment horizontal="center" vertical="center"/>
    </xf>
    <xf numFmtId="4" fontId="4" fillId="2" borderId="3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10" xfId="0" applyNumberFormat="1" applyFont="1" applyFill="1" applyBorder="1" applyAlignment="1">
      <alignment horizontal="center" vertical="center"/>
    </xf>
    <xf numFmtId="14" fontId="0" fillId="0" borderId="0" xfId="0" applyNumberFormat="1"/>
    <xf numFmtId="170" fontId="4" fillId="2" borderId="0" xfId="0" applyNumberFormat="1" applyFont="1" applyFill="1" applyBorder="1" applyAlignment="1">
      <alignment horizontal="center" vertical="center"/>
    </xf>
    <xf numFmtId="170" fontId="4" fillId="2" borderId="8" xfId="0" applyNumberFormat="1" applyFont="1" applyFill="1" applyBorder="1" applyAlignment="1">
      <alignment horizontal="center" vertical="center"/>
    </xf>
    <xf numFmtId="172" fontId="4" fillId="2" borderId="0" xfId="0" applyNumberFormat="1" applyFont="1" applyFill="1" applyBorder="1" applyAlignment="1">
      <alignment horizontal="center" vertical="center"/>
    </xf>
    <xf numFmtId="172" fontId="4" fillId="2" borderId="4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3" fontId="4" fillId="2" borderId="7" xfId="0" applyNumberFormat="1" applyFont="1" applyFill="1" applyBorder="1" applyAlignment="1">
      <alignment horizontal="center" vertical="center"/>
    </xf>
    <xf numFmtId="15" fontId="0" fillId="0" borderId="0" xfId="0" applyNumberFormat="1"/>
    <xf numFmtId="164" fontId="1" fillId="0" borderId="0" xfId="0" applyNumberFormat="1" applyFont="1" applyAlignment="1">
      <alignment horizontal="center"/>
    </xf>
    <xf numFmtId="1" fontId="3" fillId="0" borderId="4" xfId="0" applyNumberFormat="1" applyFont="1" applyFill="1" applyBorder="1" applyAlignment="1">
      <alignment horizontal="center" vertical="center"/>
    </xf>
    <xf numFmtId="169" fontId="0" fillId="0" borderId="0" xfId="0" applyNumberFormat="1"/>
    <xf numFmtId="167" fontId="0" fillId="0" borderId="0" xfId="0" applyNumberFormat="1"/>
    <xf numFmtId="0" fontId="0" fillId="0" borderId="0" xfId="0" applyFont="1" applyFill="1"/>
    <xf numFmtId="0" fontId="0" fillId="0" borderId="0" xfId="0" applyFill="1"/>
    <xf numFmtId="10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5" fillId="0" borderId="2" xfId="0" applyFont="1" applyFill="1" applyBorder="1"/>
    <xf numFmtId="15" fontId="5" fillId="0" borderId="2" xfId="0" applyNumberFormat="1" applyFont="1" applyFill="1" applyBorder="1" applyAlignment="1">
      <alignment horizontal="center" vertical="center"/>
    </xf>
    <xf numFmtId="0" fontId="5" fillId="0" borderId="6" xfId="0" applyFont="1" applyFill="1" applyBorder="1"/>
    <xf numFmtId="15" fontId="5" fillId="0" borderId="6" xfId="0" applyNumberFormat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/>
    </xf>
    <xf numFmtId="0" fontId="5" fillId="0" borderId="9" xfId="0" applyFont="1" applyFill="1" applyBorder="1"/>
    <xf numFmtId="0" fontId="5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0" fillId="0" borderId="6" xfId="0" applyFill="1" applyBorder="1" applyAlignment="1">
      <alignment horizontal="center" vertical="center"/>
    </xf>
    <xf numFmtId="11" fontId="0" fillId="0" borderId="6" xfId="0" applyNumberForma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10" fontId="7" fillId="0" borderId="6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6" xfId="0" applyFont="1" applyFill="1" applyBorder="1"/>
    <xf numFmtId="15" fontId="7" fillId="0" borderId="6" xfId="0" applyNumberFormat="1" applyFont="1" applyFill="1" applyBorder="1" applyAlignment="1">
      <alignment horizontal="center" vertical="center"/>
    </xf>
    <xf numFmtId="0" fontId="1" fillId="0" borderId="0" xfId="0" applyFont="1" applyFill="1" applyBorder="1"/>
    <xf numFmtId="0" fontId="5" fillId="0" borderId="2" xfId="0" applyFont="1" applyFill="1" applyBorder="1" applyAlignment="1">
      <alignment horizontal="center" vertical="center"/>
    </xf>
    <xf numFmtId="10" fontId="5" fillId="0" borderId="6" xfId="0" applyNumberFormat="1" applyFont="1" applyFill="1" applyBorder="1" applyAlignment="1">
      <alignment horizontal="center" vertical="center"/>
    </xf>
    <xf numFmtId="11" fontId="5" fillId="0" borderId="9" xfId="0" applyNumberFormat="1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11" fontId="7" fillId="0" borderId="6" xfId="0" applyNumberFormat="1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 vertical="center"/>
    </xf>
    <xf numFmtId="0" fontId="8" fillId="2" borderId="8" xfId="0" applyFont="1" applyFill="1" applyBorder="1"/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vertical="center"/>
    </xf>
    <xf numFmtId="11" fontId="5" fillId="2" borderId="4" xfId="0" applyNumberFormat="1" applyFont="1" applyFill="1" applyBorder="1" applyAlignment="1">
      <alignment horizontal="center" vertical="center"/>
    </xf>
    <xf numFmtId="11" fontId="5" fillId="2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vertical="center"/>
    </xf>
    <xf numFmtId="11" fontId="5" fillId="2" borderId="11" xfId="0" applyNumberFormat="1" applyFont="1" applyFill="1" applyBorder="1" applyAlignment="1">
      <alignment horizontal="center" vertical="center"/>
    </xf>
    <xf numFmtId="3" fontId="5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8" fillId="2" borderId="0" xfId="0" applyFont="1" applyFill="1" applyBorder="1"/>
    <xf numFmtId="0" fontId="4" fillId="0" borderId="22" xfId="0" applyFont="1" applyFill="1" applyBorder="1"/>
    <xf numFmtId="0" fontId="0" fillId="0" borderId="7" xfId="0" applyFill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4" fontId="0" fillId="0" borderId="8" xfId="0" applyNumberForma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4" fontId="0" fillId="0" borderId="11" xfId="0" applyNumberFormat="1" applyFill="1" applyBorder="1" applyAlignment="1">
      <alignment horizontal="center" vertical="center"/>
    </xf>
    <xf numFmtId="4" fontId="0" fillId="0" borderId="12" xfId="0" applyNumberFormat="1" applyFill="1" applyBorder="1" applyAlignment="1">
      <alignment horizontal="center" vertical="center"/>
    </xf>
    <xf numFmtId="0" fontId="5" fillId="0" borderId="22" xfId="0" applyFont="1" applyFill="1" applyBorder="1"/>
    <xf numFmtId="0" fontId="5" fillId="0" borderId="23" xfId="0" applyFont="1" applyFill="1" applyBorder="1"/>
    <xf numFmtId="0" fontId="0" fillId="2" borderId="0" xfId="0" applyFont="1" applyFill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168" fontId="6" fillId="0" borderId="8" xfId="0" applyNumberFormat="1" applyFont="1" applyFill="1" applyBorder="1" applyAlignment="1">
      <alignment horizontal="center" vertical="center"/>
    </xf>
    <xf numFmtId="168" fontId="8" fillId="0" borderId="6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73" fontId="8" fillId="0" borderId="4" xfId="0" applyNumberFormat="1" applyFont="1" applyFill="1" applyBorder="1" applyAlignment="1">
      <alignment horizontal="center" vertical="center"/>
    </xf>
    <xf numFmtId="173" fontId="8" fillId="0" borderId="5" xfId="0" applyNumberFormat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173" fontId="8" fillId="0" borderId="0" xfId="0" applyNumberFormat="1" applyFont="1" applyFill="1" applyBorder="1" applyAlignment="1">
      <alignment horizontal="center" vertical="center"/>
    </xf>
    <xf numFmtId="173" fontId="8" fillId="0" borderId="8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4" fontId="8" fillId="0" borderId="8" xfId="0" applyNumberFormat="1" applyFont="1" applyFill="1" applyBorder="1" applyAlignment="1">
      <alignment horizontal="center" vertical="center"/>
    </xf>
    <xf numFmtId="168" fontId="14" fillId="0" borderId="5" xfId="0" applyNumberFormat="1" applyFont="1" applyFill="1" applyBorder="1" applyAlignment="1">
      <alignment horizontal="center" vertical="center"/>
    </xf>
    <xf numFmtId="173" fontId="4" fillId="0" borderId="4" xfId="0" applyNumberFormat="1" applyFont="1" applyFill="1" applyBorder="1" applyAlignment="1">
      <alignment horizontal="center" vertical="center"/>
    </xf>
    <xf numFmtId="173" fontId="4" fillId="0" borderId="5" xfId="0" applyNumberFormat="1" applyFont="1" applyFill="1" applyBorder="1" applyAlignment="1">
      <alignment horizontal="center" vertical="center"/>
    </xf>
    <xf numFmtId="173" fontId="4" fillId="0" borderId="21" xfId="0" applyNumberFormat="1" applyFont="1" applyFill="1" applyBorder="1" applyAlignment="1">
      <alignment horizontal="center" vertical="center"/>
    </xf>
    <xf numFmtId="173" fontId="4" fillId="0" borderId="23" xfId="0" applyNumberFormat="1" applyFont="1" applyFill="1" applyBorder="1" applyAlignment="1">
      <alignment horizontal="center" vertical="center"/>
    </xf>
    <xf numFmtId="0" fontId="15" fillId="2" borderId="0" xfId="0" applyFont="1" applyFill="1" applyBorder="1"/>
    <xf numFmtId="0" fontId="0" fillId="5" borderId="0" xfId="0" applyFill="1"/>
    <xf numFmtId="0" fontId="16" fillId="0" borderId="6" xfId="0" applyFont="1" applyFill="1" applyBorder="1" applyAlignment="1">
      <alignment vertical="center"/>
    </xf>
    <xf numFmtId="0" fontId="16" fillId="0" borderId="6" xfId="0" applyFont="1" applyFill="1" applyBorder="1"/>
    <xf numFmtId="0" fontId="8" fillId="0" borderId="6" xfId="0" applyFont="1" applyFill="1" applyBorder="1" applyAlignment="1">
      <alignment vertical="center"/>
    </xf>
    <xf numFmtId="0" fontId="6" fillId="4" borderId="0" xfId="0" applyFont="1" applyFill="1"/>
    <xf numFmtId="166" fontId="4" fillId="2" borderId="0" xfId="0" applyNumberFormat="1" applyFont="1" applyFill="1" applyBorder="1" applyAlignment="1">
      <alignment horizontal="center" vertical="center"/>
    </xf>
    <xf numFmtId="170" fontId="0" fillId="0" borderId="10" xfId="0" applyNumberFormat="1" applyFont="1" applyFill="1" applyBorder="1" applyAlignment="1">
      <alignment horizontal="center" vertical="center"/>
    </xf>
    <xf numFmtId="174" fontId="0" fillId="0" borderId="0" xfId="0" applyNumberFormat="1" applyFont="1"/>
    <xf numFmtId="0" fontId="0" fillId="0" borderId="11" xfId="0" applyFill="1" applyBorder="1"/>
    <xf numFmtId="0" fontId="0" fillId="0" borderId="0" xfId="0" applyFill="1" applyBorder="1"/>
    <xf numFmtId="0" fontId="0" fillId="0" borderId="8" xfId="0" applyFill="1" applyBorder="1"/>
    <xf numFmtId="0" fontId="0" fillId="0" borderId="12" xfId="0" applyFill="1" applyBorder="1"/>
    <xf numFmtId="0" fontId="0" fillId="0" borderId="4" xfId="0" applyFill="1" applyBorder="1"/>
    <xf numFmtId="0" fontId="8" fillId="0" borderId="0" xfId="0" applyFont="1" applyFill="1" applyBorder="1"/>
    <xf numFmtId="0" fontId="6" fillId="0" borderId="0" xfId="0" applyFont="1" applyFill="1"/>
    <xf numFmtId="0" fontId="0" fillId="0" borderId="0" xfId="0" quotePrefix="1" applyFill="1" applyBorder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3" fontId="4" fillId="0" borderId="3" xfId="0" applyNumberFormat="1" applyFont="1" applyFill="1" applyBorder="1" applyAlignment="1">
      <alignment horizontal="center" vertical="center"/>
    </xf>
    <xf numFmtId="168" fontId="0" fillId="0" borderId="3" xfId="0" applyNumberFormat="1" applyFill="1" applyBorder="1" applyAlignment="1">
      <alignment horizontal="center" vertical="center"/>
    </xf>
    <xf numFmtId="168" fontId="5" fillId="0" borderId="5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8" fontId="14" fillId="0" borderId="8" xfId="0" applyNumberFormat="1" applyFont="1" applyFill="1" applyBorder="1" applyAlignment="1">
      <alignment horizontal="center" vertical="center"/>
    </xf>
    <xf numFmtId="173" fontId="4" fillId="0" borderId="7" xfId="0" applyNumberFormat="1" applyFont="1" applyFill="1" applyBorder="1" applyAlignment="1">
      <alignment horizontal="center" vertical="center"/>
    </xf>
    <xf numFmtId="173" fontId="4" fillId="0" borderId="0" xfId="0" applyNumberFormat="1" applyFont="1" applyFill="1" applyBorder="1" applyAlignment="1">
      <alignment horizontal="center" vertical="center"/>
    </xf>
    <xf numFmtId="173" fontId="4" fillId="0" borderId="8" xfId="0" applyNumberFormat="1" applyFont="1" applyFill="1" applyBorder="1" applyAlignment="1">
      <alignment horizontal="center" vertical="center"/>
    </xf>
    <xf numFmtId="168" fontId="0" fillId="0" borderId="7" xfId="0" applyNumberFormat="1" applyFill="1" applyBorder="1" applyAlignment="1">
      <alignment horizontal="center" vertical="center"/>
    </xf>
    <xf numFmtId="168" fontId="5" fillId="0" borderId="8" xfId="0" applyNumberFormat="1" applyFont="1" applyFill="1" applyBorder="1" applyAlignment="1">
      <alignment horizontal="center" vertical="center"/>
    </xf>
    <xf numFmtId="173" fontId="6" fillId="0" borderId="7" xfId="0" applyNumberFormat="1" applyFont="1" applyFill="1" applyBorder="1" applyAlignment="1">
      <alignment horizontal="center" vertical="center"/>
    </xf>
    <xf numFmtId="173" fontId="6" fillId="0" borderId="0" xfId="0" applyNumberFormat="1" applyFont="1" applyFill="1" applyBorder="1" applyAlignment="1">
      <alignment horizontal="center" vertical="center"/>
    </xf>
    <xf numFmtId="173" fontId="6" fillId="0" borderId="8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0" fillId="0" borderId="0" xfId="0" quotePrefix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68" fontId="14" fillId="0" borderId="12" xfId="0" applyNumberFormat="1" applyFont="1" applyFill="1" applyBorder="1" applyAlignment="1">
      <alignment horizontal="center" vertical="center"/>
    </xf>
    <xf numFmtId="173" fontId="4" fillId="0" borderId="10" xfId="0" applyNumberFormat="1" applyFont="1" applyFill="1" applyBorder="1" applyAlignment="1">
      <alignment horizontal="center" vertical="center"/>
    </xf>
    <xf numFmtId="173" fontId="4" fillId="0" borderId="11" xfId="0" applyNumberFormat="1" applyFont="1" applyFill="1" applyBorder="1" applyAlignment="1">
      <alignment horizontal="center" vertical="center"/>
    </xf>
    <xf numFmtId="173" fontId="4" fillId="0" borderId="12" xfId="0" applyNumberFormat="1" applyFont="1" applyFill="1" applyBorder="1" applyAlignment="1">
      <alignment horizontal="center" vertical="center"/>
    </xf>
    <xf numFmtId="168" fontId="0" fillId="0" borderId="10" xfId="0" applyNumberFormat="1" applyFill="1" applyBorder="1" applyAlignment="1">
      <alignment horizontal="center" vertical="center"/>
    </xf>
    <xf numFmtId="168" fontId="5" fillId="0" borderId="12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" fontId="4" fillId="2" borderId="5" xfId="0" applyNumberFormat="1" applyFont="1" applyFill="1" applyBorder="1" applyAlignment="1">
      <alignment horizontal="center" vertical="center"/>
    </xf>
    <xf numFmtId="4" fontId="0" fillId="0" borderId="0" xfId="0" applyNumberFormat="1"/>
    <xf numFmtId="4" fontId="4" fillId="2" borderId="4" xfId="0" applyNumberFormat="1" applyFont="1" applyFill="1" applyBorder="1" applyAlignment="1">
      <alignment horizontal="center" vertical="center"/>
    </xf>
    <xf numFmtId="169" fontId="4" fillId="2" borderId="5" xfId="0" applyNumberFormat="1" applyFont="1" applyFill="1" applyBorder="1" applyAlignment="1">
      <alignment horizontal="center" vertical="center"/>
    </xf>
    <xf numFmtId="169" fontId="4" fillId="2" borderId="8" xfId="0" applyNumberFormat="1" applyFont="1" applyFill="1" applyBorder="1" applyAlignment="1">
      <alignment horizontal="center" vertical="center"/>
    </xf>
    <xf numFmtId="0" fontId="6" fillId="0" borderId="0" xfId="0" applyFont="1"/>
    <xf numFmtId="175" fontId="4" fillId="2" borderId="3" xfId="0" applyNumberFormat="1" applyFont="1" applyFill="1" applyBorder="1" applyAlignment="1">
      <alignment horizontal="center" vertical="center"/>
    </xf>
    <xf numFmtId="175" fontId="4" fillId="2" borderId="7" xfId="0" applyNumberFormat="1" applyFont="1" applyFill="1" applyBorder="1" applyAlignment="1">
      <alignment horizontal="center" vertical="center"/>
    </xf>
    <xf numFmtId="176" fontId="0" fillId="0" borderId="0" xfId="0" applyNumberFormat="1"/>
    <xf numFmtId="166" fontId="1" fillId="0" borderId="0" xfId="0" applyNumberFormat="1" applyFont="1"/>
    <xf numFmtId="0" fontId="16" fillId="3" borderId="7" xfId="0" applyFont="1" applyFill="1" applyBorder="1" applyAlignment="1">
      <alignment horizontal="left" vertical="center"/>
    </xf>
    <xf numFmtId="0" fontId="16" fillId="3" borderId="0" xfId="0" applyFont="1" applyFill="1" applyBorder="1" applyAlignment="1">
      <alignment horizontal="center" vertical="center"/>
    </xf>
    <xf numFmtId="2" fontId="16" fillId="3" borderId="0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166" fontId="3" fillId="2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center" vertical="center"/>
    </xf>
    <xf numFmtId="2" fontId="5" fillId="3" borderId="11" xfId="0" applyNumberFormat="1" applyFont="1" applyFill="1" applyBorder="1" applyAlignment="1">
      <alignment horizontal="center" vertical="center"/>
    </xf>
    <xf numFmtId="2" fontId="5" fillId="3" borderId="5" xfId="0" applyNumberFormat="1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2" fontId="16" fillId="3" borderId="8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5" fillId="3" borderId="12" xfId="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5" fontId="0" fillId="0" borderId="0" xfId="0" applyNumberFormat="1" applyAlignment="1">
      <alignment horizontal="left"/>
    </xf>
    <xf numFmtId="15" fontId="0" fillId="0" borderId="6" xfId="0" applyNumberFormat="1" applyFont="1" applyFill="1" applyBorder="1" applyAlignment="1">
      <alignment horizontal="left"/>
    </xf>
    <xf numFmtId="4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70" fontId="0" fillId="0" borderId="10" xfId="0" applyNumberFormat="1" applyFont="1" applyFill="1" applyBorder="1" applyAlignment="1">
      <alignment horizontal="center"/>
    </xf>
    <xf numFmtId="174" fontId="0" fillId="0" borderId="0" xfId="0" applyNumberFormat="1" applyFont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3" borderId="4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74" fontId="0" fillId="0" borderId="24" xfId="0" applyNumberFormat="1" applyFont="1" applyBorder="1" applyAlignment="1">
      <alignment horizontal="center"/>
    </xf>
    <xf numFmtId="174" fontId="0" fillId="0" borderId="25" xfId="0" applyNumberFormat="1" applyFont="1" applyBorder="1" applyAlignment="1">
      <alignment horizontal="center"/>
    </xf>
    <xf numFmtId="3" fontId="0" fillId="0" borderId="0" xfId="0" applyNumberFormat="1"/>
    <xf numFmtId="15" fontId="0" fillId="0" borderId="0" xfId="0" applyNumberFormat="1" applyFill="1" applyBorder="1"/>
    <xf numFmtId="15" fontId="0" fillId="0" borderId="0" xfId="0" applyNumberFormat="1" applyFont="1" applyFill="1" applyBorder="1" applyAlignment="1">
      <alignment horizontal="center" vertical="center"/>
    </xf>
    <xf numFmtId="15" fontId="0" fillId="0" borderId="0" xfId="0" applyNumberFormat="1" applyFont="1"/>
    <xf numFmtId="166" fontId="1" fillId="0" borderId="0" xfId="0" applyNumberFormat="1" applyFont="1" applyAlignment="1">
      <alignment horizontal="center"/>
    </xf>
    <xf numFmtId="173" fontId="4" fillId="2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174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3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1" xfId="0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15" fontId="4" fillId="0" borderId="3" xfId="0" applyNumberFormat="1" applyFont="1" applyFill="1" applyBorder="1" applyAlignment="1">
      <alignment horizontal="left" vertical="center"/>
    </xf>
    <xf numFmtId="15" fontId="4" fillId="0" borderId="22" xfId="0" applyNumberFormat="1" applyFont="1" applyFill="1" applyBorder="1" applyAlignment="1">
      <alignment horizontal="left" vertical="center"/>
    </xf>
    <xf numFmtId="15" fontId="0" fillId="0" borderId="0" xfId="0" applyNumberFormat="1" applyFill="1" applyBorder="1" applyAlignment="1">
      <alignment horizontal="left"/>
    </xf>
    <xf numFmtId="15" fontId="0" fillId="0" borderId="0" xfId="0" applyNumberFormat="1" applyFont="1" applyFill="1" applyBorder="1" applyAlignment="1">
      <alignment horizontal="left" vertical="center"/>
    </xf>
    <xf numFmtId="15" fontId="0" fillId="0" borderId="11" xfId="0" applyNumberFormat="1" applyFill="1" applyBorder="1" applyAlignment="1">
      <alignment horizontal="left"/>
    </xf>
    <xf numFmtId="15" fontId="0" fillId="0" borderId="0" xfId="0" applyNumberFormat="1" applyFill="1" applyAlignment="1">
      <alignment horizontal="left"/>
    </xf>
    <xf numFmtId="169" fontId="0" fillId="0" borderId="0" xfId="0" applyNumberFormat="1" applyFill="1"/>
    <xf numFmtId="9" fontId="0" fillId="0" borderId="0" xfId="0" applyNumberFormat="1" applyAlignment="1">
      <alignment horizontal="center"/>
    </xf>
    <xf numFmtId="169" fontId="0" fillId="0" borderId="0" xfId="0" applyNumberFormat="1" applyFill="1" applyBorder="1" applyAlignment="1">
      <alignment horizontal="left"/>
    </xf>
    <xf numFmtId="169" fontId="0" fillId="0" borderId="0" xfId="0" applyNumberFormat="1" applyFont="1" applyFill="1" applyBorder="1" applyAlignment="1">
      <alignment horizontal="left" vertical="center"/>
    </xf>
    <xf numFmtId="10" fontId="0" fillId="0" borderId="0" xfId="0" applyNumberFormat="1" applyFill="1"/>
    <xf numFmtId="10" fontId="0" fillId="0" borderId="0" xfId="0" applyNumberFormat="1" applyAlignment="1">
      <alignment horizontal="left"/>
    </xf>
    <xf numFmtId="10" fontId="0" fillId="0" borderId="0" xfId="0" applyNumberFormat="1" applyFill="1" applyBorder="1" applyAlignment="1">
      <alignment horizontal="left"/>
    </xf>
    <xf numFmtId="10" fontId="0" fillId="0" borderId="0" xfId="0" applyNumberFormat="1" applyFont="1" applyFill="1" applyBorder="1" applyAlignment="1">
      <alignment horizontal="left" vertical="center"/>
    </xf>
    <xf numFmtId="10" fontId="0" fillId="0" borderId="11" xfId="0" applyNumberFormat="1" applyFill="1" applyBorder="1" applyAlignment="1">
      <alignment horizontal="left"/>
    </xf>
    <xf numFmtId="10" fontId="0" fillId="0" borderId="0" xfId="0" applyNumberFormat="1" applyFill="1" applyAlignment="1">
      <alignment horizontal="left"/>
    </xf>
    <xf numFmtId="3" fontId="4" fillId="0" borderId="0" xfId="0" applyNumberFormat="1" applyFont="1" applyFill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174" fontId="1" fillId="0" borderId="0" xfId="0" applyNumberFormat="1" applyFont="1" applyAlignment="1">
      <alignment horizontal="center"/>
    </xf>
    <xf numFmtId="3" fontId="0" fillId="0" borderId="0" xfId="0" applyNumberFormat="1" applyFill="1" applyBorder="1"/>
    <xf numFmtId="10" fontId="0" fillId="0" borderId="8" xfId="0" applyNumberFormat="1" applyFill="1" applyBorder="1" applyAlignment="1">
      <alignment horizontal="left"/>
    </xf>
    <xf numFmtId="10" fontId="0" fillId="0" borderId="11" xfId="0" applyNumberFormat="1" applyFont="1" applyFill="1" applyBorder="1" applyAlignment="1">
      <alignment horizontal="left" vertical="center"/>
    </xf>
    <xf numFmtId="10" fontId="4" fillId="0" borderId="4" xfId="0" applyNumberFormat="1" applyFont="1" applyFill="1" applyBorder="1" applyAlignment="1">
      <alignment horizontal="left" vertical="center"/>
    </xf>
    <xf numFmtId="10" fontId="4" fillId="0" borderId="5" xfId="0" applyNumberFormat="1" applyFont="1" applyFill="1" applyBorder="1" applyAlignment="1">
      <alignment horizontal="left" vertical="center"/>
    </xf>
    <xf numFmtId="10" fontId="4" fillId="0" borderId="21" xfId="0" applyNumberFormat="1" applyFont="1" applyFill="1" applyBorder="1" applyAlignment="1">
      <alignment horizontal="left" vertical="center"/>
    </xf>
    <xf numFmtId="10" fontId="4" fillId="0" borderId="23" xfId="0" applyNumberFormat="1" applyFont="1" applyFill="1" applyBorder="1" applyAlignment="1">
      <alignment horizontal="left" vertical="center"/>
    </xf>
    <xf numFmtId="10" fontId="0" fillId="0" borderId="12" xfId="0" applyNumberFormat="1" applyFill="1" applyBorder="1" applyAlignment="1">
      <alignment horizontal="left"/>
    </xf>
    <xf numFmtId="169" fontId="1" fillId="0" borderId="0" xfId="0" applyNumberFormat="1" applyFont="1" applyAlignment="1">
      <alignment horizontal="center"/>
    </xf>
    <xf numFmtId="15" fontId="3" fillId="2" borderId="7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3" fontId="3" fillId="2" borderId="0" xfId="0" applyNumberFormat="1" applyFont="1" applyFill="1" applyBorder="1" applyAlignment="1">
      <alignment horizontal="center" vertical="center"/>
    </xf>
    <xf numFmtId="3" fontId="3" fillId="2" borderId="8" xfId="0" applyNumberFormat="1" applyFont="1" applyFill="1" applyBorder="1" applyAlignment="1">
      <alignment horizontal="center" vertical="center"/>
    </xf>
    <xf numFmtId="0" fontId="16" fillId="2" borderId="0" xfId="0" applyFont="1" applyFill="1" applyBorder="1"/>
    <xf numFmtId="177" fontId="0" fillId="0" borderId="0" xfId="0" applyNumberFormat="1"/>
    <xf numFmtId="170" fontId="4" fillId="2" borderId="4" xfId="0" applyNumberFormat="1" applyFont="1" applyFill="1" applyBorder="1" applyAlignment="1">
      <alignment horizontal="center" vertical="center"/>
    </xf>
    <xf numFmtId="10" fontId="4" fillId="2" borderId="0" xfId="0" applyNumberFormat="1" applyFont="1" applyFill="1" applyBorder="1" applyAlignment="1">
      <alignment horizontal="center" vertical="center"/>
    </xf>
    <xf numFmtId="168" fontId="5" fillId="0" borderId="0" xfId="0" applyNumberFormat="1" applyFont="1" applyFill="1" applyBorder="1" applyAlignment="1">
      <alignment horizontal="center" vertical="center"/>
    </xf>
    <xf numFmtId="4" fontId="5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/>
    <xf numFmtId="0" fontId="17" fillId="0" borderId="0" xfId="0" applyFont="1"/>
    <xf numFmtId="0" fontId="13" fillId="7" borderId="0" xfId="0" applyFont="1" applyFill="1"/>
    <xf numFmtId="0" fontId="18" fillId="0" borderId="0" xfId="0" applyFont="1"/>
    <xf numFmtId="0" fontId="15" fillId="0" borderId="0" xfId="0" applyFont="1"/>
    <xf numFmtId="167" fontId="0" fillId="0" borderId="0" xfId="0" applyNumberFormat="1" applyFont="1"/>
    <xf numFmtId="0" fontId="1" fillId="0" borderId="0" xfId="0" applyFont="1" applyFill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166" fontId="0" fillId="0" borderId="0" xfId="0" applyNumberFormat="1" applyFill="1" applyBorder="1" applyAlignment="1">
      <alignment horizontal="left"/>
    </xf>
    <xf numFmtId="166" fontId="0" fillId="0" borderId="0" xfId="0" applyNumberFormat="1" applyFont="1" applyFill="1" applyBorder="1" applyAlignment="1">
      <alignment horizontal="left" vertical="center"/>
    </xf>
    <xf numFmtId="0" fontId="16" fillId="0" borderId="9" xfId="0" applyFont="1" applyFill="1" applyBorder="1" applyAlignment="1">
      <alignment vertical="center"/>
    </xf>
    <xf numFmtId="166" fontId="1" fillId="0" borderId="0" xfId="0" applyNumberFormat="1" applyFont="1" applyAlignment="1">
      <alignment horizontal="center" vertical="center"/>
    </xf>
    <xf numFmtId="0" fontId="6" fillId="8" borderId="0" xfId="0" applyFont="1" applyFill="1" applyBorder="1" applyAlignment="1">
      <alignment vertical="center"/>
    </xf>
    <xf numFmtId="0" fontId="7" fillId="8" borderId="0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vertical="center"/>
    </xf>
    <xf numFmtId="0" fontId="0" fillId="8" borderId="0" xfId="0" applyFill="1" applyBorder="1" applyAlignment="1">
      <alignment horizontal="center" vertical="center"/>
    </xf>
    <xf numFmtId="0" fontId="19" fillId="0" borderId="11" xfId="0" applyFont="1" applyFill="1" applyBorder="1" applyAlignment="1">
      <alignment vertical="center"/>
    </xf>
    <xf numFmtId="0" fontId="20" fillId="0" borderId="11" xfId="0" applyFont="1" applyFill="1" applyBorder="1" applyAlignment="1">
      <alignment horizontal="center" vertical="center"/>
    </xf>
    <xf numFmtId="14" fontId="0" fillId="0" borderId="0" xfId="0" applyNumberFormat="1" applyFont="1"/>
    <xf numFmtId="14" fontId="1" fillId="0" borderId="0" xfId="0" applyNumberFormat="1" applyFont="1" applyAlignment="1">
      <alignment horizontal="center" vertical="center"/>
    </xf>
    <xf numFmtId="14" fontId="5" fillId="3" borderId="4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5" fontId="5" fillId="3" borderId="0" xfId="0" applyNumberFormat="1" applyFont="1" applyFill="1" applyBorder="1" applyAlignment="1">
      <alignment horizontal="center" vertical="center"/>
    </xf>
    <xf numFmtId="170" fontId="0" fillId="0" borderId="0" xfId="0" applyNumberFormat="1"/>
    <xf numFmtId="15" fontId="1" fillId="0" borderId="0" xfId="0" applyNumberFormat="1" applyFont="1"/>
    <xf numFmtId="11" fontId="5" fillId="0" borderId="6" xfId="0" applyNumberFormat="1" applyFont="1" applyFill="1" applyBorder="1" applyAlignment="1">
      <alignment horizontal="center" vertical="center"/>
    </xf>
    <xf numFmtId="0" fontId="18" fillId="0" borderId="0" xfId="0" quotePrefix="1" applyFont="1"/>
    <xf numFmtId="179" fontId="4" fillId="2" borderId="8" xfId="0" applyNumberFormat="1" applyFont="1" applyFill="1" applyBorder="1" applyAlignment="1">
      <alignment horizontal="center" vertical="center"/>
    </xf>
    <xf numFmtId="172" fontId="4" fillId="2" borderId="8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166" fontId="0" fillId="0" borderId="0" xfId="0" applyNumberFormat="1" applyFont="1" applyAlignment="1">
      <alignment horizontal="center"/>
    </xf>
    <xf numFmtId="0" fontId="1" fillId="0" borderId="6" xfId="0" applyFont="1" applyFill="1" applyBorder="1" applyAlignment="1">
      <alignment horizontal="center" vertical="center"/>
    </xf>
    <xf numFmtId="169" fontId="1" fillId="0" borderId="0" xfId="0" applyNumberFormat="1" applyFont="1"/>
    <xf numFmtId="167" fontId="1" fillId="0" borderId="0" xfId="0" applyNumberFormat="1" applyFont="1"/>
    <xf numFmtId="15" fontId="0" fillId="0" borderId="0" xfId="0" applyNumberFormat="1" applyFill="1"/>
    <xf numFmtId="0" fontId="0" fillId="9" borderId="0" xfId="0" applyFill="1"/>
    <xf numFmtId="164" fontId="0" fillId="9" borderId="0" xfId="0" applyNumberFormat="1" applyFill="1"/>
    <xf numFmtId="178" fontId="0" fillId="0" borderId="0" xfId="0" applyNumberFormat="1" applyAlignment="1">
      <alignment horizontal="center"/>
    </xf>
    <xf numFmtId="0" fontId="5" fillId="3" borderId="5" xfId="0" applyFont="1" applyFill="1" applyBorder="1" applyAlignment="1">
      <alignment horizontal="center" vertical="center"/>
    </xf>
    <xf numFmtId="170" fontId="4" fillId="2" borderId="5" xfId="0" applyNumberFormat="1" applyFont="1" applyFill="1" applyBorder="1" applyAlignment="1">
      <alignment horizontal="center" vertical="center"/>
    </xf>
    <xf numFmtId="14" fontId="0" fillId="5" borderId="0" xfId="0" applyNumberFormat="1" applyFill="1"/>
    <xf numFmtId="0" fontId="0" fillId="5" borderId="0" xfId="0" applyFill="1" applyAlignment="1">
      <alignment horizontal="left"/>
    </xf>
    <xf numFmtId="164" fontId="0" fillId="0" borderId="27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1" xfId="0" applyBorder="1"/>
    <xf numFmtId="164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/>
    <xf numFmtId="15" fontId="0" fillId="0" borderId="32" xfId="0" applyNumberFormat="1" applyBorder="1" applyAlignment="1">
      <alignment horizontal="center"/>
    </xf>
    <xf numFmtId="15" fontId="0" fillId="0" borderId="33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5" fontId="0" fillId="0" borderId="30" xfId="0" applyNumberFormat="1" applyBorder="1" applyAlignment="1">
      <alignment horizontal="center"/>
    </xf>
    <xf numFmtId="14" fontId="0" fillId="0" borderId="0" xfId="0" applyNumberFormat="1" applyFont="1" applyFill="1"/>
    <xf numFmtId="0" fontId="0" fillId="0" borderId="0" xfId="0" applyFill="1" applyAlignment="1">
      <alignment horizontal="left"/>
    </xf>
    <xf numFmtId="14" fontId="0" fillId="0" borderId="0" xfId="0" applyNumberFormat="1" applyFill="1"/>
    <xf numFmtId="180" fontId="0" fillId="0" borderId="0" xfId="0" applyNumberFormat="1"/>
    <xf numFmtId="173" fontId="4" fillId="2" borderId="5" xfId="0" applyNumberFormat="1" applyFont="1" applyFill="1" applyBorder="1" applyAlignment="1">
      <alignment horizontal="center" vertical="center"/>
    </xf>
    <xf numFmtId="15" fontId="21" fillId="0" borderId="0" xfId="0" applyNumberFormat="1" applyFont="1" applyAlignment="1">
      <alignment vertical="center"/>
    </xf>
    <xf numFmtId="15" fontId="0" fillId="0" borderId="11" xfId="0" applyNumberFormat="1" applyFill="1" applyBorder="1"/>
    <xf numFmtId="166" fontId="0" fillId="0" borderId="0" xfId="0" applyNumberFormat="1" applyFill="1" applyBorder="1"/>
    <xf numFmtId="172" fontId="0" fillId="0" borderId="0" xfId="0" applyNumberFormat="1"/>
    <xf numFmtId="173" fontId="1" fillId="0" borderId="0" xfId="0" applyNumberFormat="1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68" fontId="14" fillId="0" borderId="0" xfId="0" applyNumberFormat="1" applyFont="1" applyFill="1" applyBorder="1" applyAlignment="1">
      <alignment horizontal="center" vertical="center"/>
    </xf>
    <xf numFmtId="4" fontId="4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8" fontId="6" fillId="0" borderId="0" xfId="0" applyNumberFormat="1" applyFont="1" applyFill="1" applyBorder="1" applyAlignment="1">
      <alignment horizontal="center" vertical="center"/>
    </xf>
    <xf numFmtId="15" fontId="0" fillId="0" borderId="0" xfId="0" applyNumberFormat="1" applyBorder="1"/>
    <xf numFmtId="3" fontId="0" fillId="0" borderId="0" xfId="0" applyNumberFormat="1" applyFill="1" applyBorder="1" applyAlignment="1">
      <alignment horizontal="center" vertical="center"/>
    </xf>
    <xf numFmtId="175" fontId="1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3" fontId="0" fillId="0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5" fillId="0" borderId="0" xfId="0" applyFont="1" applyFill="1" applyBorder="1"/>
    <xf numFmtId="0" fontId="22" fillId="0" borderId="0" xfId="0" applyFont="1" applyFill="1" applyBorder="1"/>
    <xf numFmtId="0" fontId="15" fillId="0" borderId="0" xfId="0" applyFont="1" applyFill="1" applyBorder="1" applyAlignment="1">
      <alignment horizontal="center" vertical="center"/>
    </xf>
    <xf numFmtId="173" fontId="15" fillId="0" borderId="0" xfId="0" applyNumberFormat="1" applyFont="1" applyFill="1" applyBorder="1" applyAlignment="1">
      <alignment horizontal="center" vertical="center"/>
    </xf>
    <xf numFmtId="168" fontId="15" fillId="0" borderId="0" xfId="0" applyNumberFormat="1" applyFont="1" applyFill="1" applyBorder="1" applyAlignment="1">
      <alignment horizontal="center" vertical="center"/>
    </xf>
    <xf numFmtId="173" fontId="16" fillId="0" borderId="0" xfId="0" applyNumberFormat="1" applyFont="1" applyFill="1" applyBorder="1" applyAlignment="1">
      <alignment horizontal="center" vertical="center"/>
    </xf>
    <xf numFmtId="181" fontId="0" fillId="0" borderId="0" xfId="0" applyNumberFormat="1"/>
    <xf numFmtId="181" fontId="15" fillId="0" borderId="0" xfId="0" applyNumberFormat="1" applyFont="1" applyFill="1" applyBorder="1"/>
    <xf numFmtId="181" fontId="15" fillId="0" borderId="0" xfId="0" applyNumberFormat="1" applyFont="1" applyFill="1" applyBorder="1" applyAlignment="1">
      <alignment horizontal="center" vertical="center"/>
    </xf>
    <xf numFmtId="181" fontId="15" fillId="0" borderId="0" xfId="0" applyNumberFormat="1" applyFont="1" applyBorder="1"/>
    <xf numFmtId="0" fontId="5" fillId="3" borderId="12" xfId="0" applyFont="1" applyFill="1" applyBorder="1" applyAlignment="1">
      <alignment horizontal="center" vertical="center"/>
    </xf>
    <xf numFmtId="181" fontId="15" fillId="0" borderId="0" xfId="0" applyNumberFormat="1" applyFont="1"/>
    <xf numFmtId="15" fontId="0" fillId="0" borderId="0" xfId="0" applyNumberFormat="1" applyBorder="1" applyAlignment="1">
      <alignment horizontal="center" vertical="center"/>
    </xf>
    <xf numFmtId="2" fontId="5" fillId="3" borderId="4" xfId="0" applyNumberFormat="1" applyFont="1" applyFill="1" applyBorder="1" applyAlignment="1">
      <alignment horizontal="left" vertical="center"/>
    </xf>
    <xf numFmtId="2" fontId="5" fillId="3" borderId="0" xfId="0" applyNumberFormat="1" applyFont="1" applyFill="1" applyBorder="1" applyAlignment="1">
      <alignment horizontal="left" vertical="center"/>
    </xf>
    <xf numFmtId="2" fontId="0" fillId="0" borderId="0" xfId="0" applyNumberFormat="1" applyAlignment="1">
      <alignment horizontal="left"/>
    </xf>
    <xf numFmtId="2" fontId="0" fillId="0" borderId="4" xfId="0" applyNumberForma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left"/>
    </xf>
    <xf numFmtId="4" fontId="4" fillId="0" borderId="0" xfId="0" applyNumberFormat="1" applyFont="1" applyFill="1" applyBorder="1" applyAlignment="1">
      <alignment horizontal="left" vertical="center"/>
    </xf>
    <xf numFmtId="169" fontId="0" fillId="0" borderId="0" xfId="0" applyNumberFormat="1" applyFill="1" applyBorder="1"/>
    <xf numFmtId="15" fontId="4" fillId="0" borderId="0" xfId="0" applyNumberFormat="1" applyFont="1" applyFill="1" applyBorder="1" applyAlignment="1">
      <alignment horizontal="left" vertical="center"/>
    </xf>
    <xf numFmtId="168" fontId="0" fillId="0" borderId="0" xfId="0" applyNumberFormat="1" applyFill="1" applyBorder="1" applyAlignment="1">
      <alignment horizontal="center" vertical="center"/>
    </xf>
    <xf numFmtId="169" fontId="4" fillId="0" borderId="0" xfId="0" applyNumberFormat="1" applyFont="1" applyFill="1" applyBorder="1" applyAlignment="1">
      <alignment horizontal="left" vertical="center"/>
    </xf>
    <xf numFmtId="166" fontId="4" fillId="0" borderId="0" xfId="0" applyNumberFormat="1" applyFont="1" applyFill="1" applyBorder="1" applyAlignment="1">
      <alignment horizontal="left" vertical="center"/>
    </xf>
    <xf numFmtId="0" fontId="23" fillId="0" borderId="0" xfId="0" applyFont="1"/>
    <xf numFmtId="15" fontId="1" fillId="0" borderId="0" xfId="0" applyNumberFormat="1" applyFont="1" applyFill="1" applyBorder="1"/>
    <xf numFmtId="166" fontId="1" fillId="0" borderId="0" xfId="0" applyNumberFormat="1" applyFont="1" applyFill="1" applyBorder="1"/>
    <xf numFmtId="0" fontId="0" fillId="5" borderId="0" xfId="0" applyFill="1" applyBorder="1" applyAlignment="1">
      <alignment horizontal="left"/>
    </xf>
    <xf numFmtId="15" fontId="0" fillId="5" borderId="0" xfId="0" applyNumberFormat="1" applyFill="1" applyBorder="1"/>
    <xf numFmtId="3" fontId="0" fillId="5" borderId="0" xfId="0" applyNumberFormat="1" applyFill="1" applyBorder="1" applyAlignment="1">
      <alignment horizontal="center" vertical="center"/>
    </xf>
    <xf numFmtId="175" fontId="14" fillId="5" borderId="0" xfId="0" applyNumberFormat="1" applyFont="1" applyFill="1" applyBorder="1" applyAlignment="1">
      <alignment horizontal="center" vertical="center"/>
    </xf>
    <xf numFmtId="173" fontId="4" fillId="5" borderId="0" xfId="0" applyNumberFormat="1" applyFont="1" applyFill="1" applyBorder="1" applyAlignment="1">
      <alignment horizontal="center" vertical="center"/>
    </xf>
    <xf numFmtId="181" fontId="15" fillId="5" borderId="0" xfId="0" applyNumberFormat="1" applyFont="1" applyFill="1" applyBorder="1"/>
    <xf numFmtId="181" fontId="15" fillId="5" borderId="0" xfId="0" applyNumberFormat="1" applyFont="1" applyFill="1" applyBorder="1" applyAlignment="1">
      <alignment horizontal="center" vertical="center"/>
    </xf>
    <xf numFmtId="4" fontId="5" fillId="5" borderId="0" xfId="0" applyNumberFormat="1" applyFont="1" applyFill="1" applyBorder="1" applyAlignment="1">
      <alignment horizontal="center" vertical="center"/>
    </xf>
    <xf numFmtId="181" fontId="15" fillId="5" borderId="0" xfId="0" applyNumberFormat="1" applyFont="1" applyFill="1"/>
    <xf numFmtId="4" fontId="0" fillId="5" borderId="0" xfId="0" applyNumberFormat="1" applyFill="1"/>
    <xf numFmtId="2" fontId="0" fillId="5" borderId="0" xfId="0" applyNumberFormat="1" applyFill="1"/>
    <xf numFmtId="0" fontId="1" fillId="5" borderId="0" xfId="0" applyFont="1" applyFill="1" applyBorder="1" applyAlignment="1">
      <alignment horizontal="left"/>
    </xf>
    <xf numFmtId="3" fontId="1" fillId="5" borderId="0" xfId="0" applyNumberFormat="1" applyFont="1" applyFill="1" applyBorder="1" applyAlignment="1">
      <alignment horizontal="center" vertical="center"/>
    </xf>
    <xf numFmtId="181" fontId="22" fillId="5" borderId="0" xfId="0" applyNumberFormat="1" applyFont="1" applyFill="1" applyBorder="1"/>
    <xf numFmtId="181" fontId="22" fillId="5" borderId="0" xfId="0" applyNumberFormat="1" applyFont="1" applyFill="1" applyBorder="1" applyAlignment="1">
      <alignment horizontal="center" vertical="center"/>
    </xf>
    <xf numFmtId="4" fontId="16" fillId="5" borderId="0" xfId="0" applyNumberFormat="1" applyFont="1" applyFill="1" applyBorder="1" applyAlignment="1">
      <alignment horizontal="center" vertical="center"/>
    </xf>
    <xf numFmtId="181" fontId="22" fillId="5" borderId="0" xfId="0" applyNumberFormat="1" applyFont="1" applyFill="1"/>
    <xf numFmtId="4" fontId="1" fillId="5" borderId="0" xfId="0" applyNumberFormat="1" applyFont="1" applyFill="1"/>
    <xf numFmtId="2" fontId="1" fillId="5" borderId="0" xfId="0" applyNumberFormat="1" applyFont="1" applyFill="1"/>
    <xf numFmtId="10" fontId="1" fillId="0" borderId="0" xfId="0" applyNumberFormat="1" applyFont="1"/>
    <xf numFmtId="0" fontId="21" fillId="0" borderId="0" xfId="0" applyFont="1" applyAlignment="1">
      <alignment vertical="center"/>
    </xf>
    <xf numFmtId="0" fontId="0" fillId="9" borderId="0" xfId="0" applyFill="1" applyAlignment="1">
      <alignment horizontal="center"/>
    </xf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174" fontId="4" fillId="2" borderId="0" xfId="0" applyNumberFormat="1" applyFont="1" applyFill="1" applyBorder="1" applyAlignment="1">
      <alignment horizontal="center" vertical="center"/>
    </xf>
    <xf numFmtId="174" fontId="4" fillId="2" borderId="8" xfId="0" applyNumberFormat="1" applyFont="1" applyFill="1" applyBorder="1" applyAlignment="1">
      <alignment horizontal="center" vertical="center"/>
    </xf>
    <xf numFmtId="9" fontId="0" fillId="0" borderId="0" xfId="0" applyNumberFormat="1" applyFont="1"/>
    <xf numFmtId="9" fontId="0" fillId="0" borderId="0" xfId="0" applyNumberFormat="1"/>
    <xf numFmtId="15" fontId="0" fillId="0" borderId="6" xfId="0" applyNumberForma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170" fontId="0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168" fontId="8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/>
    <xf numFmtId="0" fontId="4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174" fontId="1" fillId="0" borderId="0" xfId="0" applyNumberFormat="1" applyFont="1" applyFill="1" applyBorder="1" applyAlignment="1">
      <alignment horizontal="center"/>
    </xf>
    <xf numFmtId="10" fontId="4" fillId="0" borderId="0" xfId="0" applyNumberFormat="1" applyFont="1" applyFill="1" applyBorder="1" applyAlignment="1">
      <alignment horizontal="left" vertical="center"/>
    </xf>
    <xf numFmtId="15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3" fontId="0" fillId="0" borderId="0" xfId="0" applyNumberFormat="1" applyFont="1"/>
    <xf numFmtId="4" fontId="1" fillId="0" borderId="0" xfId="0" applyNumberFormat="1" applyFont="1" applyAlignment="1">
      <alignment horizontal="center"/>
    </xf>
    <xf numFmtId="10" fontId="0" fillId="0" borderId="0" xfId="0" applyNumberFormat="1" applyFill="1" applyBorder="1"/>
    <xf numFmtId="10" fontId="0" fillId="0" borderId="0" xfId="0" applyNumberFormat="1" applyFont="1" applyFill="1" applyBorder="1" applyAlignment="1">
      <alignment horizontal="center" vertical="center"/>
    </xf>
    <xf numFmtId="10" fontId="0" fillId="0" borderId="11" xfId="0" applyNumberFormat="1" applyFill="1" applyBorder="1"/>
    <xf numFmtId="166" fontId="0" fillId="0" borderId="8" xfId="0" applyNumberFormat="1" applyFill="1" applyBorder="1" applyAlignment="1">
      <alignment horizontal="center"/>
    </xf>
    <xf numFmtId="15" fontId="0" fillId="0" borderId="11" xfId="0" applyNumberFormat="1" applyFont="1" applyFill="1" applyBorder="1" applyAlignment="1">
      <alignment horizontal="left" vertical="center"/>
    </xf>
    <xf numFmtId="166" fontId="0" fillId="0" borderId="0" xfId="0" applyNumberFormat="1" applyAlignment="1">
      <alignment horizontal="center"/>
    </xf>
    <xf numFmtId="15" fontId="0" fillId="0" borderId="0" xfId="0" applyNumberFormat="1" applyAlignment="1">
      <alignment horizontal="left"/>
    </xf>
    <xf numFmtId="15" fontId="4" fillId="0" borderId="3" xfId="0" applyNumberFormat="1" applyFont="1" applyFill="1" applyBorder="1" applyAlignment="1">
      <alignment horizontal="left" vertical="center"/>
    </xf>
    <xf numFmtId="15" fontId="0" fillId="0" borderId="0" xfId="0" applyNumberFormat="1" applyFill="1" applyBorder="1" applyAlignment="1">
      <alignment horizontal="left"/>
    </xf>
    <xf numFmtId="15" fontId="0" fillId="0" borderId="0" xfId="0" applyNumberFormat="1" applyFont="1" applyFill="1" applyBorder="1" applyAlignment="1">
      <alignment horizontal="left" vertical="center"/>
    </xf>
    <xf numFmtId="15" fontId="0" fillId="0" borderId="11" xfId="0" applyNumberFormat="1" applyFill="1" applyBorder="1" applyAlignment="1">
      <alignment horizontal="left"/>
    </xf>
    <xf numFmtId="15" fontId="0" fillId="0" borderId="0" xfId="0" applyNumberFormat="1" applyFill="1" applyAlignment="1">
      <alignment horizontal="left"/>
    </xf>
    <xf numFmtId="166" fontId="0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/>
    </xf>
    <xf numFmtId="166" fontId="0" fillId="0" borderId="11" xfId="0" applyNumberFormat="1" applyFill="1" applyBorder="1" applyAlignment="1">
      <alignment horizontal="center"/>
    </xf>
    <xf numFmtId="166" fontId="0" fillId="0" borderId="0" xfId="0" applyNumberFormat="1" applyFill="1" applyAlignment="1">
      <alignment horizontal="center"/>
    </xf>
    <xf numFmtId="166" fontId="0" fillId="0" borderId="11" xfId="0" applyNumberFormat="1" applyFont="1" applyFill="1" applyBorder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166" fontId="4" fillId="0" borderId="5" xfId="0" applyNumberFormat="1" applyFont="1" applyFill="1" applyBorder="1" applyAlignment="1">
      <alignment horizontal="center" vertical="center"/>
    </xf>
    <xf numFmtId="166" fontId="4" fillId="0" borderId="21" xfId="0" applyNumberFormat="1" applyFont="1" applyFill="1" applyBorder="1" applyAlignment="1">
      <alignment horizontal="center" vertical="center"/>
    </xf>
    <xf numFmtId="166" fontId="4" fillId="0" borderId="23" xfId="0" applyNumberFormat="1" applyFont="1" applyFill="1" applyBorder="1" applyAlignment="1">
      <alignment horizontal="center" vertical="center"/>
    </xf>
    <xf numFmtId="166" fontId="0" fillId="0" borderId="12" xfId="0" applyNumberFormat="1" applyFill="1" applyBorder="1" applyAlignment="1">
      <alignment horizontal="center"/>
    </xf>
    <xf numFmtId="15" fontId="1" fillId="0" borderId="0" xfId="0" applyNumberFormat="1" applyFont="1" applyFill="1" applyBorder="1" applyAlignment="1">
      <alignment horizontal="left"/>
    </xf>
    <xf numFmtId="166" fontId="1" fillId="0" borderId="0" xfId="0" applyNumberFormat="1" applyFont="1" applyFill="1" applyBorder="1" applyAlignment="1">
      <alignment horizontal="center"/>
    </xf>
    <xf numFmtId="166" fontId="1" fillId="0" borderId="8" xfId="0" applyNumberFormat="1" applyFont="1" applyFill="1" applyBorder="1" applyAlignment="1">
      <alignment horizontal="center"/>
    </xf>
    <xf numFmtId="0" fontId="0" fillId="0" borderId="0" xfId="0"/>
    <xf numFmtId="0" fontId="1" fillId="0" borderId="0" xfId="0" applyFont="1"/>
    <xf numFmtId="0" fontId="4" fillId="2" borderId="9" xfId="0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4" borderId="2" xfId="0" applyFill="1" applyBorder="1"/>
    <xf numFmtId="0" fontId="0" fillId="2" borderId="0" xfId="0" applyFill="1" applyBorder="1"/>
    <xf numFmtId="0" fontId="0" fillId="2" borderId="8" xfId="0" applyFill="1" applyBorder="1"/>
    <xf numFmtId="0" fontId="6" fillId="2" borderId="0" xfId="0" applyFont="1" applyFill="1" applyBorder="1"/>
    <xf numFmtId="0" fontId="0" fillId="2" borderId="0" xfId="0" applyFill="1"/>
    <xf numFmtId="0" fontId="0" fillId="4" borderId="6" xfId="0" applyFill="1" applyBorder="1"/>
    <xf numFmtId="0" fontId="0" fillId="4" borderId="9" xfId="0" applyFill="1" applyBorder="1"/>
    <xf numFmtId="0" fontId="1" fillId="2" borderId="0" xfId="0" applyFont="1" applyFill="1" applyBorder="1"/>
    <xf numFmtId="0" fontId="5" fillId="2" borderId="0" xfId="0" applyFont="1" applyFill="1" applyBorder="1"/>
    <xf numFmtId="0" fontId="11" fillId="0" borderId="0" xfId="0" applyFont="1"/>
    <xf numFmtId="0" fontId="0" fillId="3" borderId="2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6" fillId="2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168" fontId="8" fillId="0" borderId="6" xfId="0" applyNumberFormat="1" applyFont="1" applyFill="1" applyBorder="1" applyAlignment="1">
      <alignment horizontal="center" vertical="center"/>
    </xf>
    <xf numFmtId="0" fontId="0" fillId="5" borderId="0" xfId="0" applyFill="1"/>
    <xf numFmtId="166" fontId="0" fillId="0" borderId="0" xfId="0" applyNumberFormat="1" applyAlignment="1">
      <alignment horizontal="center"/>
    </xf>
    <xf numFmtId="15" fontId="0" fillId="0" borderId="0" xfId="0" applyNumberFormat="1" applyAlignment="1">
      <alignment horizontal="left"/>
    </xf>
    <xf numFmtId="0" fontId="17" fillId="0" borderId="0" xfId="0" applyFont="1"/>
    <xf numFmtId="0" fontId="13" fillId="7" borderId="0" xfId="0" applyFont="1" applyFill="1"/>
    <xf numFmtId="0" fontId="18" fillId="0" borderId="0" xfId="0" applyFont="1"/>
    <xf numFmtId="0" fontId="15" fillId="0" borderId="0" xfId="0" applyFont="1"/>
    <xf numFmtId="167" fontId="0" fillId="9" borderId="0" xfId="0" applyNumberFormat="1" applyFill="1" applyAlignment="1">
      <alignment horizontal="center"/>
    </xf>
    <xf numFmtId="169" fontId="0" fillId="9" borderId="0" xfId="0" applyNumberFormat="1" applyFill="1" applyAlignment="1">
      <alignment horizontal="center"/>
    </xf>
    <xf numFmtId="169" fontId="0" fillId="9" borderId="0" xfId="0" applyNumberFormat="1" applyFill="1"/>
    <xf numFmtId="167" fontId="0" fillId="9" borderId="0" xfId="0" applyNumberFormat="1" applyFill="1"/>
    <xf numFmtId="166" fontId="0" fillId="9" borderId="0" xfId="0" applyNumberFormat="1" applyFill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3" xfId="0" applyBorder="1"/>
    <xf numFmtId="0" fontId="0" fillId="10" borderId="5" xfId="0" applyFill="1" applyBorder="1"/>
    <xf numFmtId="0" fontId="0" fillId="0" borderId="7" xfId="0" applyBorder="1"/>
    <xf numFmtId="0" fontId="0" fillId="10" borderId="8" xfId="0" applyFill="1" applyBorder="1"/>
    <xf numFmtId="0" fontId="0" fillId="0" borderId="8" xfId="0" applyBorder="1"/>
    <xf numFmtId="0" fontId="0" fillId="0" borderId="10" xfId="0" applyBorder="1"/>
    <xf numFmtId="0" fontId="0" fillId="10" borderId="12" xfId="0" applyFill="1" applyBorder="1"/>
    <xf numFmtId="0" fontId="0" fillId="0" borderId="12" xfId="0" applyBorder="1"/>
    <xf numFmtId="0" fontId="3" fillId="5" borderId="2" xfId="0" applyFont="1" applyFill="1" applyBorder="1" applyAlignment="1">
      <alignment horizontal="left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5" xfId="0" applyBorder="1"/>
    <xf numFmtId="0" fontId="1" fillId="0" borderId="0" xfId="0" applyFont="1" applyFill="1"/>
    <xf numFmtId="0" fontId="22" fillId="0" borderId="0" xfId="0" applyFont="1" applyAlignment="1">
      <alignment horizontal="center" vertical="top"/>
    </xf>
    <xf numFmtId="0" fontId="0" fillId="5" borderId="0" xfId="0" applyFont="1" applyFill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15" fontId="0" fillId="0" borderId="0" xfId="0" applyNumberFormat="1" applyAlignment="1">
      <alignment horizontal="left" vertical="center"/>
    </xf>
    <xf numFmtId="0" fontId="5" fillId="5" borderId="0" xfId="0" applyFont="1" applyFill="1"/>
    <xf numFmtId="10" fontId="0" fillId="9" borderId="0" xfId="0" applyNumberFormat="1" applyFill="1"/>
    <xf numFmtId="178" fontId="0" fillId="0" borderId="0" xfId="0" applyNumberFormat="1"/>
    <xf numFmtId="0" fontId="22" fillId="0" borderId="0" xfId="0" applyFont="1" applyAlignment="1">
      <alignment horizontal="left" vertical="top"/>
    </xf>
    <xf numFmtId="0" fontId="7" fillId="0" borderId="0" xfId="0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16" fillId="0" borderId="0" xfId="0" applyFont="1" applyFill="1" applyAlignment="1">
      <alignment horizontal="center" vertical="center"/>
    </xf>
    <xf numFmtId="0" fontId="16" fillId="0" borderId="0" xfId="0" applyFont="1" applyFill="1"/>
    <xf numFmtId="0" fontId="16" fillId="0" borderId="0" xfId="0" applyFont="1" applyFill="1" applyAlignment="1">
      <alignment horizontal="center"/>
    </xf>
    <xf numFmtId="0" fontId="26" fillId="0" borderId="0" xfId="0" applyFont="1" applyAlignment="1">
      <alignment horizontal="left" vertical="center"/>
    </xf>
  </cellXfs>
  <cellStyles count="4">
    <cellStyle name="Comma [0] 5" xfId="2"/>
    <cellStyle name="Comma [0] 5 2" xfId="3"/>
    <cellStyle name="Normal" xfId="0" builtinId="0"/>
    <cellStyle name="標準_Input_OutPut20060417" xfId="1"/>
  </cellStyles>
  <dxfs count="2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FF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-12</v>
        <stp/>
        <stp>##V3_BDPV12</stp>
        <stp>EUBS1F ICPL Curncy</stp>
        <stp>LAST_PRICE</stp>
        <stp>[DataSheet2.3.xlsm]EUR_DATA!R11C46</stp>
        <tr r="AT11" s="31"/>
      </tp>
      <tp>
        <v>-75.5</v>
        <stp/>
        <stp>##V3_BDPV12</stp>
        <stp>SRUSSW4 GMGM Curncy</stp>
        <stp>PX_LAST</stp>
        <stp>[DataSheet2.2.xlsm]SAR_DATA!R10C43</stp>
        <tr r="AQ10" s="19"/>
      </tp>
      <tp>
        <v>75.89</v>
        <stp/>
        <stp>##V3_BDPV12</stp>
        <stp>IRN+9M CMPN Curncy</stp>
        <stp>LAST_PRICE</stp>
        <stp>[DataSheet2.2.xlsm]INR_DATA!R14C51</stp>
        <tr r="AY14" s="54"/>
      </tp>
      <tp>
        <v>75.040000000000006</v>
        <stp/>
        <stp>##V3_BDPV12</stp>
        <stp>IRN+6M CMPN Curncy</stp>
        <stp>LAST_PRICE</stp>
        <stp>[DataSheet2.2.xlsm]INR_DATA!R13C51</stp>
        <tr r="AY13" s="54"/>
      </tp>
      <tp>
        <v>150</v>
        <stp/>
        <stp>##V3_BDPV12</stp>
        <stp>HKD12M ICHK Curncy</stp>
        <stp>LAST_PRICE</stp>
        <stp>[DataSheet2.2.xlsm]HKD_DATA!R17C51</stp>
        <tr r="AY17" s="52"/>
      </tp>
      <tp>
        <v>3.8769999999999998</v>
        <stp/>
        <stp>##V3_BDPV12</stp>
        <stp>IRSWOA FMDR Curncy</stp>
        <stp>BID</stp>
        <stp>[DataSheet2.2.xlsm]INR_DATA!R8C10</stp>
        <tr r="J8" s="54"/>
      </tp>
      <tp>
        <v>-20</v>
        <stp/>
        <stp>##V3_BDPV12</stp>
        <stp>HDBBF TPRA Curncy</stp>
        <stp>LAST_PRICE</stp>
        <stp>[DataSheet2.2.xlsm]HKD_DATA!R11C25</stp>
        <tr r="Y11" s="52"/>
      </tp>
      <tp>
        <v>4.13</v>
        <stp/>
        <stp>##V3_BDPV12</stp>
        <stp>RRSOA GFUN Curncy</stp>
        <stp>LAST_PRICE</stp>
        <stp>[DataSheet2.2.xlsm]RUB_DATA!R10C12</stp>
        <tr r="L10" s="4"/>
      </tp>
      <tp>
        <v>2.8</v>
        <stp/>
        <stp>##V3_BDPV12</stp>
        <stp>CGSWF TPRA Curncy</stp>
        <stp>LAST_PRICE</stp>
        <stp>[DataSheet2.3.xlsm]CNH_DATA!R12C20</stp>
        <tr r="T12" s="50"/>
      </tp>
      <tp>
        <v>6.35</v>
        <stp/>
        <stp>##V3_BDPV12</stp>
        <stp>SASW8 TPRA Curncy</stp>
        <stp>ASK</stp>
        <stp>[DataSheet2.2.xlsm]ZAR_DATA!R26C19</stp>
        <tr r="S26" s="8"/>
      </tp>
      <tp>
        <v>6.7</v>
        <stp/>
        <stp>##V3_BDPV12</stp>
        <stp>SASW9 TPRA Curncy</stp>
        <stp>ASK</stp>
        <stp>[DataSheet2.2.xlsm]ZAR_DATA!R27C19</stp>
        <tr r="S27" s="8"/>
      </tp>
      <tp>
        <v>3.63</v>
        <stp/>
        <stp>##V3_BDPV12</stp>
        <stp>SASW2 TPRA Curncy</stp>
        <stp>ASK</stp>
        <stp>[DataSheet2.2.xlsm]ZAR_DATA!R20C19</stp>
        <tr r="S20" s="8"/>
      </tp>
      <tp>
        <v>4</v>
        <stp/>
        <stp>##V3_BDPV12</stp>
        <stp>SASW3 TPRA Curncy</stp>
        <stp>ASK</stp>
        <stp>[DataSheet2.2.xlsm]ZAR_DATA!R21C19</stp>
        <tr r="S21" s="8"/>
      </tp>
      <tp>
        <v>5.48</v>
        <stp/>
        <stp>##V3_BDPV12</stp>
        <stp>SASW6 TPRA Curncy</stp>
        <stp>ASK</stp>
        <stp>[DataSheet2.2.xlsm]ZAR_DATA!R24C19</stp>
        <tr r="S24" s="8"/>
      </tp>
      <tp>
        <v>5.94</v>
        <stp/>
        <stp>##V3_BDPV12</stp>
        <stp>SASW7 TPRA Curncy</stp>
        <stp>ASK</stp>
        <stp>[DataSheet2.2.xlsm]ZAR_DATA!R25C19</stp>
        <tr r="S25" s="8"/>
      </tp>
      <tp>
        <v>4.4800000000000004</v>
        <stp/>
        <stp>##V3_BDPV12</stp>
        <stp>SASW4 TPRA Curncy</stp>
        <stp>ASK</stp>
        <stp>[DataSheet2.2.xlsm]ZAR_DATA!R22C19</stp>
        <tr r="S22" s="8"/>
      </tp>
      <tp>
        <v>4.99</v>
        <stp/>
        <stp>##V3_BDPV12</stp>
        <stp>SASW5 TPRA Curncy</stp>
        <stp>ASK</stp>
        <stp>[DataSheet2.2.xlsm]ZAR_DATA!R23C19</stp>
        <tr r="S23" s="8"/>
      </tp>
      <tp>
        <v>3.4</v>
        <stp/>
        <stp>##V3_BDPV12</stp>
        <stp>SASW1 TPRA Curncy</stp>
        <stp>ASK</stp>
        <stp>[DataSheet2.2.xlsm]ZAR_DATA!R19C19</stp>
        <tr r="S19" s="8"/>
      </tp>
      <tp>
        <v>3.3</v>
        <stp/>
        <stp>##V3_BDPV12</stp>
        <stp>SASW1 TPRA Curncy</stp>
        <stp>BID</stp>
        <stp>[DataSheet2.2.xlsm]ZAR_DATA!R19C18</stp>
        <tr r="R19" s="8"/>
      </tp>
      <tp>
        <v>4.38</v>
        <stp/>
        <stp>##V3_BDPV12</stp>
        <stp>SASW4 TPRA Curncy</stp>
        <stp>BID</stp>
        <stp>[DataSheet2.2.xlsm]ZAR_DATA!R22C18</stp>
        <tr r="R22" s="8"/>
      </tp>
      <tp>
        <v>4.8899999999999997</v>
        <stp/>
        <stp>##V3_BDPV12</stp>
        <stp>SASW5 TPRA Curncy</stp>
        <stp>BID</stp>
        <stp>[DataSheet2.2.xlsm]ZAR_DATA!R23C18</stp>
        <tr r="R23" s="8"/>
      </tp>
      <tp>
        <v>3.53</v>
        <stp/>
        <stp>##V3_BDPV12</stp>
        <stp>SASW2 TPRA Curncy</stp>
        <stp>BID</stp>
        <stp>[DataSheet2.2.xlsm]ZAR_DATA!R20C18</stp>
        <tr r="R20" s="8"/>
      </tp>
      <tp>
        <v>3.9</v>
        <stp/>
        <stp>##V3_BDPV12</stp>
        <stp>SASW3 TPRA Curncy</stp>
        <stp>BID</stp>
        <stp>[DataSheet2.2.xlsm]ZAR_DATA!R21C18</stp>
        <tr r="R21" s="8"/>
      </tp>
      <tp>
        <v>5.38</v>
        <stp/>
        <stp>##V3_BDPV12</stp>
        <stp>SASW6 TPRA Curncy</stp>
        <stp>BID</stp>
        <stp>[DataSheet2.2.xlsm]ZAR_DATA!R24C18</stp>
        <tr r="R24" s="8"/>
      </tp>
      <tp>
        <v>5.84</v>
        <stp/>
        <stp>##V3_BDPV12</stp>
        <stp>SASW7 TPRA Curncy</stp>
        <stp>BID</stp>
        <stp>[DataSheet2.2.xlsm]ZAR_DATA!R25C18</stp>
        <tr r="R25" s="8"/>
      </tp>
      <tp>
        <v>6.25</v>
        <stp/>
        <stp>##V3_BDPV12</stp>
        <stp>SASW8 TPRA Curncy</stp>
        <stp>BID</stp>
        <stp>[DataSheet2.2.xlsm]ZAR_DATA!R26C18</stp>
        <tr r="R26" s="8"/>
      </tp>
      <tp>
        <v>6.6</v>
        <stp/>
        <stp>##V3_BDPV12</stp>
        <stp>SASW9 TPRA Curncy</stp>
        <stp>BID</stp>
        <stp>[DataSheet2.2.xlsm]ZAR_DATA!R27C18</stp>
        <tr r="R27" s="8"/>
      </tp>
      <tp>
        <v>-28.75</v>
        <stp/>
        <stp>##V3_BDPV12</stp>
        <stp>JYBSF MTRT Curncy</stp>
        <stp>LAST_PRICE</stp>
        <stp>[DataSheet2.3.xlsm]JPY_DATA!R23C49</stp>
        <tr r="AW23" s="46"/>
      </tp>
      <tp>
        <v>0.16</v>
        <stp/>
        <stp>##V3_BDPV12</stp>
        <stp>CKSO1 FMDR Curncy</stp>
        <stp>ASK</stp>
        <stp>[DataSheet2.2.xlsm]CZK_DATA!R15C11</stp>
        <tr r="K15" s="14"/>
      </tp>
      <tp>
        <v>0.15</v>
        <stp/>
        <stp>##V3_BDPV12</stp>
        <stp>CKSOI FMDR Curncy</stp>
        <stp>ASK</stp>
        <stp>[DataSheet2.2.xlsm]CZK_DATA!R14C11</stp>
        <tr r="K14" s="14"/>
      </tp>
      <tp>
        <v>0.14000000000000001</v>
        <stp/>
        <stp>##V3_BDPV12</stp>
        <stp>CKSOF FMDR Curncy</stp>
        <stp>ASK</stp>
        <stp>[DataSheet2.2.xlsm]CZK_DATA!R13C11</stp>
        <tr r="K13" s="14"/>
      </tp>
      <tp>
        <v>0.13</v>
        <stp/>
        <stp>##V3_BDPV12</stp>
        <stp>CKSOB FMDR Curncy</stp>
        <stp>ASK</stp>
        <stp>[DataSheet2.2.xlsm]CZK_DATA!R11C11</stp>
        <tr r="K11" s="14"/>
      </tp>
      <tp>
        <v>0.13</v>
        <stp/>
        <stp>##V3_BDPV12</stp>
        <stp>CKSOA FMDR Curncy</stp>
        <stp>ASK</stp>
        <stp>[DataSheet2.2.xlsm]CZK_DATA!R10C11</stp>
        <tr r="K10" s="14"/>
      </tp>
      <tp>
        <v>0.14000000000000001</v>
        <stp/>
        <stp>##V3_BDPV12</stp>
        <stp>CKSOC FMDR Curncy</stp>
        <stp>ASK</stp>
        <stp>[DataSheet2.2.xlsm]CZK_DATA!R12C11</stp>
        <tr r="K12" s="14"/>
      </tp>
      <tp>
        <v>0.13</v>
        <stp/>
        <stp>##V3_BDPV12</stp>
        <stp>CKSO1 FMDR Curncy</stp>
        <stp>BID</stp>
        <stp>[DataSheet2.2.xlsm]CZK_DATA!R15C10</stp>
        <tr r="J15" s="14"/>
      </tp>
      <tp>
        <v>0.11</v>
        <stp/>
        <stp>##V3_BDPV12</stp>
        <stp>CKSOA FMDR Curncy</stp>
        <stp>BID</stp>
        <stp>[DataSheet2.2.xlsm]CZK_DATA!R10C10</stp>
        <tr r="J10" s="14"/>
      </tp>
      <tp>
        <v>0.11</v>
        <stp/>
        <stp>##V3_BDPV12</stp>
        <stp>CKSOC FMDR Curncy</stp>
        <stp>BID</stp>
        <stp>[DataSheet2.2.xlsm]CZK_DATA!R12C10</stp>
        <tr r="J12" s="14"/>
      </tp>
      <tp>
        <v>0.11</v>
        <stp/>
        <stp>##V3_BDPV12</stp>
        <stp>CKSOB FMDR Curncy</stp>
        <stp>BID</stp>
        <stp>[DataSheet2.2.xlsm]CZK_DATA!R11C10</stp>
        <tr r="J11" s="14"/>
      </tp>
      <tp>
        <v>0.11</v>
        <stp/>
        <stp>##V3_BDPV12</stp>
        <stp>CKSOF FMDR Curncy</stp>
        <stp>BID</stp>
        <stp>[DataSheet2.2.xlsm]CZK_DATA!R13C10</stp>
        <tr r="J13" s="14"/>
      </tp>
      <tp>
        <v>0.12</v>
        <stp/>
        <stp>##V3_BDPV12</stp>
        <stp>CKSOI FMDR Curncy</stp>
        <stp>BID</stp>
        <stp>[DataSheet2.2.xlsm]CZK_DATA!R14C10</stp>
        <tr r="J14" s="14"/>
      </tp>
      <tp>
        <v>1.1716</v>
        <stp/>
        <stp>##V3_BDPV12</stp>
        <stp>CDSW12 BGN Curncy</stp>
        <stp>ASK</stp>
        <stp>[DataSheet2.3.xlsm]CAD_DATA!R24C19</stp>
        <tr r="S24" s="48"/>
      </tp>
      <tp>
        <v>1.1355999999999999</v>
        <stp/>
        <stp>##V3_BDPV12</stp>
        <stp>CDSW12 BGN Curncy</stp>
        <stp>BID</stp>
        <stp>[DataSheet2.3.xlsm]CAD_DATA!R24C18</stp>
        <tr r="R24" s="48"/>
      </tp>
      <tp>
        <v>17</v>
        <stp/>
        <stp>##V3_BDPV12</stp>
        <stp>SRBSVC GMGM Curncy</stp>
        <stp>MID</stp>
        <stp>[DataSheet2.2.xlsm]SAR_DATA!R9C30</stp>
        <tr r="AD9" s="19"/>
      </tp>
      <tp>
        <v>-4.1250000000000002E-2</v>
        <stp/>
        <stp>##V3_BDPV12</stp>
        <stp>JYSW1F MTRT Curncy</stp>
        <stp>LAST_PRICE</stp>
        <stp>[DataSheet2.3.xlsm]JPY_DATA!R16C32</stp>
        <tr r="AF16" s="46"/>
      </tp>
      <tp>
        <v>17</v>
        <stp/>
        <stp>##V3_BDPV12</stp>
        <stp>SRBSVC GMGM Curncy</stp>
        <stp>MID</stp>
        <stp>[DataSheet2.2.xlsm]INR_DATA!R7C30</stp>
        <tr r="AD7" s="54"/>
      </tp>
      <tp>
        <v>-33.625</v>
        <stp/>
        <stp>##V3_BDPV12</stp>
        <stp>JYBS1F MTRT Curncy</stp>
        <stp>LAST_PRICE</stp>
        <stp>[DataSheet2.3.xlsm]JPY_DATA!R26C49</stp>
        <tr r="AW26" s="46"/>
      </tp>
      <tp>
        <v>3.5</v>
        <stp/>
        <stp>##V3_BDPV12</stp>
        <stp>JYBC1F MTRT Curncy</stp>
        <stp>LAST_PRICE</stp>
        <stp>[DataSheet2.3.xlsm]JPY_DATA!R13C17</stp>
        <tr r="Q13" s="46"/>
      </tp>
      <tp>
        <v>-5.7500000000000002E-2</v>
        <stp/>
        <stp>##V3_BDPV12</stp>
        <stp>JYFR6/9 MTRT Curncy</stp>
        <stp>PX_LAST</stp>
        <stp>[DataSheet2.3.xlsm]JPY_DATA!R10C17</stp>
        <tr r="Q10" s="46"/>
      </tp>
      <tp>
        <v>2.8</v>
        <stp/>
        <stp>##V3_BDPV12</stp>
        <stp>CGSWF TPRA Curncy</stp>
        <stp>LAST_PRICE</stp>
        <stp>[DataSheet2.3.xlsm]BRL_DATA!R12C20</stp>
        <tr r="T12" s="59"/>
      </tp>
      <tp>
        <v>1.2798</v>
        <stp/>
        <stp>##V3_BDPV12</stp>
        <stp>CDSW15 BGN Curncy</stp>
        <stp>BID</stp>
        <stp>[DataSheet2.3.xlsm]GBP_DATA!R25C18</stp>
        <tr r="R25" s="58"/>
      </tp>
      <tp>
        <v>1.3002</v>
        <stp/>
        <stp>##V3_BDPV12</stp>
        <stp>CDSW15 BGN Curncy</stp>
        <stp>ASK</stp>
        <stp>[DataSheet2.3.xlsm]GBP_DATA!R25C19</stp>
        <tr r="S25" s="58"/>
      </tp>
      <tp>
        <v>-78.3</v>
        <stp/>
        <stp>##V3_BDPV12</stp>
        <stp>CZK12M CMPN Curncy</stp>
        <stp>LAST_PRICE</stp>
        <stp>[DataSheet2.2.xlsm]CZK_DATA!R24C51</stp>
        <tr r="AY24" s="14"/>
      </tp>
      <tp>
        <v>-64.599999999999994</v>
        <stp/>
        <stp>##V3_BDPV12</stp>
        <stp>CZK10M CMPN Curncy</stp>
        <stp>LAST_PRICE</stp>
        <stp>[DataSheet2.2.xlsm]CZK_DATA!R22C51</stp>
        <tr r="AY22" s="14"/>
      </tp>
      <tp>
        <v>-95.54</v>
        <stp/>
        <stp>##V3_BDPV12</stp>
        <stp>CZK11M CMPN Curncy</stp>
        <stp>LAST_PRICE</stp>
        <stp>[DataSheet2.2.xlsm]CZK_DATA!R23C51</stp>
        <tr r="AY23" s="14"/>
      </tp>
      <tp>
        <v>-99.43</v>
        <stp/>
        <stp>##V3_BDPV12</stp>
        <stp>CZK18M CMPN Curncy</stp>
        <stp>LAST_PRICE</stp>
        <stp>[DataSheet2.2.xlsm]CZK_DATA!R25C51</stp>
        <tr r="AY25" s="14"/>
      </tp>
      <tp>
        <v>0.99375000000000002</v>
        <stp/>
        <stp>##V3_BDPV12</stp>
        <stp>SAIB12M Index</stp>
        <stp>LAST_PRICE</stp>
        <stp>[DataSheet2.2.xlsm]INR_DATA!R11C20</stp>
        <tr r="T11" s="54"/>
      </tp>
      <tp>
        <v>0.25700000000000001</v>
        <stp/>
        <stp>##V3_BDPV12</stp>
        <stp>CDSO1Z FMDR Curncy</stp>
        <stp>ASK</stp>
        <stp>[DataSheet2.3.xlsm]GBP_DATA!R8C11</stp>
        <tr r="K8" s="58"/>
      </tp>
      <tp>
        <v>0.1</v>
        <stp/>
        <stp>##V3_BDPV12</stp>
        <stp>CKSO1Z FMDR Curncy</stp>
        <stp>BID</stp>
        <stp>[DataSheet2.2.xlsm]CZK_DATA!R8C10</stp>
        <tr r="J8" s="14"/>
      </tp>
      <tp>
        <v>0.25700000000000001</v>
        <stp/>
        <stp>##V3_BDPV12</stp>
        <stp>CDSO1Z FMDR Curncy</stp>
        <stp>ASK</stp>
        <stp>[DataSheet2.3.xlsm]CAD_DATA!R8C11</stp>
        <tr r="K8" s="48"/>
      </tp>
      <tp>
        <v>17.25</v>
        <stp/>
        <stp>##V3_BDPV12</stp>
        <stp>PZBSEC4 ICPL Curncy</stp>
        <stp>PX_LAST</stp>
        <stp>[DataSheet2.2.xlsm]PLN_DATA!R10C43</stp>
        <tr r="AQ10" s="12"/>
      </tp>
      <tp>
        <v>73.61</v>
        <stp/>
        <stp>##V3_BDPV12</stp>
        <stp>IRN+1W CMPN Curncy</stp>
        <stp>BID</stp>
        <stp>[DataSheet2.2.xlsm]INR_DATA!R9C49</stp>
        <tr r="AW9" s="54"/>
      </tp>
      <tp>
        <v>1.1760999999999999</v>
        <stp/>
        <stp>##V3_BDPV12</stp>
        <stp>EUR Curncy</stp>
        <stp>BID</stp>
        <stp>[DataSheet2.3.xlsm]EUR_DATA!R7C52</stp>
        <tr r="AZ7" s="31"/>
      </tp>
      <tp>
        <v>-0.1</v>
        <stp/>
        <stp>##V3_BDPV12</stp>
        <stp>AEDTN GMGM Curncy</stp>
        <stp>ASK</stp>
        <stp>[DataSheet2.2.xlsm]AED_DATA!R9C50</stp>
        <tr r="AX9" s="18"/>
      </tp>
      <tp>
        <v>0.2</v>
        <stp/>
        <stp>##V3_BDPV12</stp>
        <stp>AEDON GMGM Curncy</stp>
        <stp>ASK</stp>
        <stp>[DataSheet2.2.xlsm]AED_DATA!R8C50</stp>
        <tr r="AX8" s="18"/>
      </tp>
      <tp>
        <v>0.55610000000000004</v>
        <stp/>
        <stp>##V3_BDPV12</stp>
        <stp>HDSWF CMPN Curncy</stp>
        <stp>LAST_PRICE</stp>
        <stp>[DataSheet2.2.xlsm]HKD_DATA!R14C20</stp>
        <tr r="T14" s="52"/>
      </tp>
      <tp>
        <v>4.1399999999999997</v>
        <stp/>
        <stp>##V3_BDPV12</stp>
        <stp>RRSOC GFUN Curncy</stp>
        <stp>LAST_PRICE</stp>
        <stp>[DataSheet2.2.xlsm]RUB_DATA!R12C12</stp>
        <tr r="L12" s="4"/>
      </tp>
      <tp>
        <v>0.50780000000000003</v>
        <stp/>
        <stp>##V3_BDPV12</stp>
        <stp>CDSWF CMPN Curncy</stp>
        <stp>LAST_PRICE</stp>
        <stp>[DataSheet2.3.xlsm]CAD_DATA!R12C20</stp>
        <tr r="T12" s="48"/>
      </tp>
      <tp>
        <v>20.5</v>
        <stp/>
        <stp>##V3_BDPV12</stp>
        <stp>ZARTN GFSN Curncy</stp>
        <stp>BID</stp>
        <stp>[DataSheet2.2.xlsm]ZAR_DATA!R9C54</stp>
        <tr r="BB9" s="8"/>
      </tp>
      <tp>
        <v>18</v>
        <stp/>
        <stp>##V3_BDPV12</stp>
        <stp>ZARON GFSN Curncy</stp>
        <stp>BID</stp>
        <stp>[DataSheet2.2.xlsm]ZAR_DATA!R8C54</stp>
        <tr r="BB8" s="8"/>
      </tp>
      <tp>
        <v>1.4188000000000001</v>
        <stp/>
        <stp>##V3_BDPV12</stp>
        <stp>CDSW20 BGN Curncy</stp>
        <stp>ASK</stp>
        <stp>[DataSheet2.3.xlsm]CAD_DATA!R26C19</stp>
        <tr r="S26" s="48"/>
      </tp>
      <tp>
        <v>1.0584</v>
        <stp/>
        <stp>##V3_BDPV12</stp>
        <stp>CDSW10 BGN Curncy</stp>
        <stp>ASK</stp>
        <stp>[DataSheet2.3.xlsm]CAD_DATA!R23C19</stp>
        <tr r="S23" s="48"/>
      </tp>
      <tp>
        <v>1.0329999999999999</v>
        <stp/>
        <stp>##V3_BDPV12</stp>
        <stp>CDSW10 BGN Curncy</stp>
        <stp>BID</stp>
        <stp>[DataSheet2.3.xlsm]CAD_DATA!R23C18</stp>
        <tr r="R23" s="48"/>
      </tp>
      <tp>
        <v>1.4021999999999999</v>
        <stp/>
        <stp>##V3_BDPV12</stp>
        <stp>CDSW20 BGN Curncy</stp>
        <stp>BID</stp>
        <stp>[DataSheet2.3.xlsm]CAD_DATA!R26C18</stp>
        <tr r="R26" s="48"/>
      </tp>
      <tp>
        <v>-0.05</v>
        <stp/>
        <stp>##V3_BDPV12</stp>
        <stp>CADON BGN Curncy</stp>
        <stp>BID</stp>
        <stp>[DataSheet2.3.xlsm]GBP_DATA!R8C49</stp>
        <tr r="AW8" s="58"/>
      </tp>
      <tp>
        <v>-0.23</v>
        <stp/>
        <stp>##V3_BDPV12</stp>
        <stp>JPYON BGN Curncy</stp>
        <stp>BID</stp>
        <stp>[DataSheet2.3.xlsm]JPY_DATA!R8C39</stp>
        <tr r="AM8" s="46"/>
      </tp>
      <tp>
        <v>14.64</v>
        <stp/>
        <stp>##V3_BDPV12</stp>
        <stp>TRYON BGN Curncy</stp>
        <stp>BID</stp>
        <stp>[DataSheet2.2.xlsm]TRY_DATA!R8C49</stp>
        <tr r="AW8" s="10"/>
      </tp>
      <tp>
        <v>-0.05</v>
        <stp/>
        <stp>##V3_BDPV12</stp>
        <stp>CADON BGN Curncy</stp>
        <stp>BID</stp>
        <stp>[DataSheet2.3.xlsm]CAD_DATA!R8C49</stp>
        <tr r="AW8" s="48"/>
      </tp>
      <tp>
        <v>5598.9</v>
        <stp/>
        <stp>##V3_BDPV12</stp>
        <stp>ZAR11M GFSN Curncy</stp>
        <stp>LAST_PRICE</stp>
        <stp>[DataSheet2.2.xlsm]ZAR_DATA!R22C56</stp>
        <tr r="BD22" s="8"/>
      </tp>
      <tp>
        <v>5110.7</v>
        <stp/>
        <stp>##V3_BDPV12</stp>
        <stp>ZAR10M GFSN Curncy</stp>
        <stp>LAST_PRICE</stp>
        <stp>[DataSheet2.2.xlsm]ZAR_DATA!R21C56</stp>
        <tr r="BD21" s="8"/>
      </tp>
      <tp>
        <v>6063.5</v>
        <stp/>
        <stp>##V3_BDPV12</stp>
        <stp>ZAR12M GFSN Curncy</stp>
        <stp>LAST_PRICE</stp>
        <stp>[DataSheet2.2.xlsm]ZAR_DATA!R23C56</stp>
        <tr r="BD23" s="8"/>
      </tp>
      <tp t="s">
        <v>#N/A N/A</v>
        <stp/>
        <stp>##V3_BDPV12</stp>
        <stp>ZAR15M GFSN Curncy</stp>
        <stp>LAST_PRICE</stp>
        <stp>[DataSheet2.2.xlsm]ZAR_DATA!R24C56</stp>
        <tr r="BD24" s="8"/>
      </tp>
      <tp>
        <v>9454.7999999999993</v>
        <stp/>
        <stp>##V3_BDPV12</stp>
        <stp>ZAR18M GFSN Curncy</stp>
        <stp>LAST_PRICE</stp>
        <stp>[DataSheet2.2.xlsm]ZAR_DATA!R25C56</stp>
        <tr r="BD25" s="8"/>
      </tp>
      <tp t="s">
        <v>#N/A N/A</v>
        <stp/>
        <stp>##V3_BDPV12</stp>
        <stp>ZAR21M GFSN Curncy</stp>
        <stp>LAST_PRICE</stp>
        <stp>[DataSheet2.2.xlsm]ZAR_DATA!R26C56</stp>
        <tr r="BD26" s="8"/>
      </tp>
      <tp>
        <v>3.9009999999999998</v>
        <stp/>
        <stp>##V3_BDPV12</stp>
        <stp>IRSWOB FMDR Curncy</stp>
        <stp>BID</stp>
        <stp>[DataSheet2.2.xlsm]INR_DATA!R9C10</stp>
        <tr r="J9" s="54"/>
      </tp>
      <tp>
        <v>0.84460000000000002</v>
        <stp/>
        <stp>##V3_BDPV12</stp>
        <stp>UDSW3 BGN Curncy</stp>
        <stp>BID</stp>
        <stp>[DataSheet2.3.xlsm]CAD_DATA!R19C18</stp>
        <tr r="R19" s="48"/>
      </tp>
      <tp>
        <v>0.90539999999999998</v>
        <stp/>
        <stp>##V3_BDPV12</stp>
        <stp>UDSW3 BGN Curncy</stp>
        <stp>ASK</stp>
        <stp>[DataSheet2.3.xlsm]CAD_DATA!R19C19</stp>
        <tr r="S19" s="48"/>
      </tp>
      <tp>
        <v>-9</v>
        <stp/>
        <stp>##V3_BDPV12</stp>
        <stp>HDBSI ICHK Curncy</stp>
        <stp>ASK</stp>
        <stp>[DataSheet2.2.xlsm]HKD_DATA!R8C42</stp>
        <tr r="AP8" s="52"/>
      </tp>
      <tp>
        <v>-16</v>
        <stp/>
        <stp>##V3_BDPV12</stp>
        <stp>HDBSF ICHK Curncy</stp>
        <stp>BID</stp>
        <stp>[DataSheet2.2.xlsm]HKD_DATA!R7C41</stp>
        <tr r="AO7" s="52"/>
      </tp>
      <tp>
        <v>4.13</v>
        <stp/>
        <stp>##V3_BDPV12</stp>
        <stp>RRSOB GFUN Curncy</stp>
        <stp>LAST_PRICE</stp>
        <stp>[DataSheet2.2.xlsm]RUB_DATA!R11C12</stp>
        <tr r="L11" s="4"/>
      </tp>
      <tp>
        <v>0.505</v>
        <stp/>
        <stp>##V3_BDPV12</stp>
        <stp>CDSWC CMPN Curncy</stp>
        <stp>LAST_PRICE</stp>
        <stp>[DataSheet2.3.xlsm]GBP_DATA!R11C20</stp>
        <tr r="T11" s="58"/>
      </tp>
      <tp t="s">
        <v>#N/A N/A</v>
        <stp/>
        <stp>##V3_BDPV12</stp>
        <stp>SAR5Y SABK Curncy</stp>
        <stp>BID</stp>
        <stp>[DataSheet2.2.xlsm]SAR_DATA!R36C49</stp>
        <tr r="AW36" s="19"/>
      </tp>
      <tp t="s">
        <v>#N/A N/A</v>
        <stp/>
        <stp>##V3_BDPV12</stp>
        <stp>SAR4Y SABK Curncy</stp>
        <stp>BID</stp>
        <stp>[DataSheet2.2.xlsm]SAR_DATA!R35C49</stp>
        <tr r="AW35" s="19"/>
      </tp>
      <tp>
        <v>11</v>
        <stp/>
        <stp>##V3_BDPV12</stp>
        <stp>SAR6M SABK Curncy</stp>
        <stp>BID</stp>
        <stp>[DataSheet2.2.xlsm]SAR_DATA!R30C49</stp>
        <tr r="AW30" s="19"/>
      </tp>
      <tp>
        <v>-1</v>
        <stp/>
        <stp>##V3_BDPV12</stp>
        <stp>SAR1M SABK Curncy</stp>
        <stp>BID</stp>
        <stp>[DataSheet2.2.xlsm]SAR_DATA!R27C49</stp>
        <tr r="AW27" s="19"/>
      </tp>
      <tp>
        <v>-1.8</v>
        <stp/>
        <stp>##V3_BDPV12</stp>
        <stp>SAR1W SABK Curncy</stp>
        <stp>BID</stp>
        <stp>[DataSheet2.2.xlsm]SAR_DATA!R26C49</stp>
        <tr r="AW26" s="19"/>
      </tp>
      <tp>
        <v>3</v>
        <stp/>
        <stp>##V3_BDPV12</stp>
        <stp>SAR2M SABK Curncy</stp>
        <stp>BID</stp>
        <stp>[DataSheet2.2.xlsm]SAR_DATA!R28C49</stp>
        <tr r="AW28" s="19"/>
      </tp>
      <tp>
        <v>250</v>
        <stp/>
        <stp>##V3_BDPV12</stp>
        <stp>SAR3Y SABK Curncy</stp>
        <stp>BID</stp>
        <stp>[DataSheet2.2.xlsm]SAR_DATA!R34C49</stp>
        <tr r="AW34" s="19"/>
      </tp>
      <tp>
        <v>4</v>
        <stp/>
        <stp>##V3_BDPV12</stp>
        <stp>SAR3M SABK Curncy</stp>
        <stp>BID</stp>
        <stp>[DataSheet2.2.xlsm]SAR_DATA!R29C49</stp>
        <tr r="AW29" s="19"/>
      </tp>
      <tp>
        <v>165</v>
        <stp/>
        <stp>##V3_BDPV12</stp>
        <stp>SAR2Y SABK Curncy</stp>
        <stp>BID</stp>
        <stp>[DataSheet2.2.xlsm]SAR_DATA!R33C49</stp>
        <tr r="AW33" s="19"/>
      </tp>
      <tp>
        <v>32</v>
        <stp/>
        <stp>##V3_BDPV12</stp>
        <stp>SAR9M SABK Curncy</stp>
        <stp>BID</stp>
        <stp>[DataSheet2.2.xlsm]SAR_DATA!R31C49</stp>
        <tr r="AW31" s="19"/>
      </tp>
      <tp t="s">
        <v>#N/A N/A</v>
        <stp/>
        <stp>##V3_BDPV12</stp>
        <stp>SARTN SABK Curncy</stp>
        <stp>BID</stp>
        <stp>[DataSheet2.2.xlsm]SAR_DATA!R25C49</stp>
        <tr r="AW25" s="19"/>
      </tp>
      <tp>
        <v>26</v>
        <stp/>
        <stp>##V3_BDPV12</stp>
        <stp>SAR6M SABK Curncy</stp>
        <stp>ASK</stp>
        <stp>[DataSheet2.2.xlsm]SAR_DATA!R30C50</stp>
        <tr r="AX30" s="19"/>
      </tp>
      <tp t="s">
        <v>#N/A N/A</v>
        <stp/>
        <stp>##V3_BDPV12</stp>
        <stp>SAR4Y SABK Curncy</stp>
        <stp>ASK</stp>
        <stp>[DataSheet2.2.xlsm]SAR_DATA!R35C50</stp>
        <tr r="AX35" s="19"/>
      </tp>
      <tp t="s">
        <v>#N/A N/A</v>
        <stp/>
        <stp>##V3_BDPV12</stp>
        <stp>SAR5Y SABK Curncy</stp>
        <stp>ASK</stp>
        <stp>[DataSheet2.2.xlsm]SAR_DATA!R36C50</stp>
        <tr r="AX36" s="19"/>
      </tp>
      <tp>
        <v>14</v>
        <stp/>
        <stp>##V3_BDPV12</stp>
        <stp>SAR3M SABK Curncy</stp>
        <stp>ASK</stp>
        <stp>[DataSheet2.2.xlsm]SAR_DATA!R29C50</stp>
        <tr r="AX29" s="19"/>
      </tp>
      <tp>
        <v>230</v>
        <stp/>
        <stp>##V3_BDPV12</stp>
        <stp>SAR2Y SABK Curncy</stp>
        <stp>ASK</stp>
        <stp>[DataSheet2.2.xlsm]SAR_DATA!R33C50</stp>
        <tr r="AX33" s="19"/>
      </tp>
      <tp>
        <v>9</v>
        <stp/>
        <stp>##V3_BDPV12</stp>
        <stp>SAR2M SABK Curncy</stp>
        <stp>ASK</stp>
        <stp>[DataSheet2.2.xlsm]SAR_DATA!R28C50</stp>
        <tr r="AX28" s="19"/>
      </tp>
      <tp>
        <v>450</v>
        <stp/>
        <stp>##V3_BDPV12</stp>
        <stp>SAR3Y SABK Curncy</stp>
        <stp>ASK</stp>
        <stp>[DataSheet2.2.xlsm]SAR_DATA!R34C50</stp>
        <tr r="AX34" s="19"/>
      </tp>
      <tp>
        <v>5</v>
        <stp/>
        <stp>##V3_BDPV12</stp>
        <stp>SAR1M SABK Curncy</stp>
        <stp>ASK</stp>
        <stp>[DataSheet2.2.xlsm]SAR_DATA!R27C50</stp>
        <tr r="AX27" s="19"/>
      </tp>
      <tp>
        <v>1.2</v>
        <stp/>
        <stp>##V3_BDPV12</stp>
        <stp>SAR1W SABK Curncy</stp>
        <stp>ASK</stp>
        <stp>[DataSheet2.2.xlsm]SAR_DATA!R26C50</stp>
        <tr r="AX26" s="19"/>
      </tp>
      <tp>
        <v>47</v>
        <stp/>
        <stp>##V3_BDPV12</stp>
        <stp>SAR9M SABK Curncy</stp>
        <stp>ASK</stp>
        <stp>[DataSheet2.2.xlsm]SAR_DATA!R31C50</stp>
        <tr r="AX31" s="19"/>
      </tp>
      <tp t="s">
        <v>#N/A N/A</v>
        <stp/>
        <stp>##V3_BDPV12</stp>
        <stp>SARTN SABK Curncy</stp>
        <stp>ASK</stp>
        <stp>[DataSheet2.2.xlsm]SAR_DATA!R25C50</stp>
        <tr r="AX25" s="19"/>
      </tp>
      <tp>
        <v>-14</v>
        <stp/>
        <stp>##V3_BDPV12</stp>
        <stp>HDBS1F ICHK Curncy</stp>
        <stp>LAST_PRICE</stp>
        <stp>[DataSheet2.2.xlsm]HKD_DATA!R10C43</stp>
        <tr r="AQ10" s="52"/>
      </tp>
      <tp>
        <v>60</v>
        <stp/>
        <stp>##V3_BDPV12</stp>
        <stp>SAR12M SABK Curncy</stp>
        <stp>PX_LAST</stp>
        <stp>[DataSheet2.2.xlsm]SAR_DATA!R32C51</stp>
        <tr r="AY32" s="19"/>
      </tp>
      <tp>
        <v>0.2</v>
        <stp/>
        <stp>##V3_BDPV12</stp>
        <stp>HKDTN ICHK Curncy</stp>
        <stp>ASK</stp>
        <stp>[DataSheet2.2.xlsm]HKD_DATA!R9C50</stp>
        <tr r="AX9" s="52"/>
      </tp>
      <tp>
        <v>0.1</v>
        <stp/>
        <stp>##V3_BDPV12</stp>
        <stp>HKDON ICHK Curncy</stp>
        <stp>ASK</stp>
        <stp>[DataSheet2.2.xlsm]HKD_DATA!R8C50</stp>
        <tr r="AX8" s="52"/>
      </tp>
      <tp>
        <v>0.01</v>
        <stp/>
        <stp>##V3_BDPV12</stp>
        <stp>HDSOA TRHK Curncy</stp>
        <stp>BID</stp>
        <stp>[DataSheet2.2.xlsm]HKD_DATA!R8C10</stp>
        <tr r="J8" s="52"/>
      </tp>
      <tp>
        <v>-0.15</v>
        <stp/>
        <stp>##V3_BDPV12</stp>
        <stp>PLNTN ICPL Curncy</stp>
        <stp>ASK</stp>
        <stp>[DataSheet2.2.xlsm]PLN_DATA!R9C50</stp>
        <tr r="AX9" s="12"/>
      </tp>
      <tp>
        <v>-0.05</v>
        <stp/>
        <stp>##V3_BDPV12</stp>
        <stp>PLNON ICPL Curncy</stp>
        <stp>ASK</stp>
        <stp>[DataSheet2.2.xlsm]PLN_DATA!R8C50</stp>
        <tr r="AX8" s="12"/>
      </tp>
      <tp>
        <v>1.1355999999999999</v>
        <stp/>
        <stp>##V3_BDPV12</stp>
        <stp>CDSW12 BGN Curncy</stp>
        <stp>BID</stp>
        <stp>[DataSheet2.3.xlsm]GBP_DATA!R24C18</stp>
        <tr r="R24" s="58"/>
      </tp>
      <tp>
        <v>1.1716</v>
        <stp/>
        <stp>##V3_BDPV12</stp>
        <stp>CDSW12 BGN Curncy</stp>
        <stp>ASK</stp>
        <stp>[DataSheet2.3.xlsm]GBP_DATA!R24C19</stp>
        <tr r="S24" s="58"/>
      </tp>
      <tp>
        <v>513</v>
        <stp/>
        <stp>##V3_BDPV12</stp>
        <stp>EURHUF12M ICPL Curncy</stp>
        <stp>PX_LAST</stp>
        <stp>[DataSheet2.2.xlsm]HUF_DATA!R34C51</stp>
        <tr r="AY34" s="15"/>
      </tp>
      <tp>
        <v>4.2699999999999996</v>
        <stp/>
        <stp>##V3_BDPV12</stp>
        <stp>RRSO1Z GFUN Curncy</stp>
        <stp>ASK</stp>
        <stp>[DataSheet2.2.xlsm]RUB_DATA!R8C11</stp>
        <tr r="K8" s="4"/>
      </tp>
      <tp>
        <v>7.4888000000000003</v>
        <stp/>
        <stp>##V3_BDPV12</stp>
        <stp>TRY Curncy</stp>
        <stp>BID</stp>
        <stp>[DataSheet2.2.xlsm]TRY_DATA!R7C49</stp>
        <tr r="AW7" s="10"/>
      </tp>
      <tp>
        <v>42</v>
        <stp/>
        <stp>##V3_BDPV12</stp>
        <stp>SAR9M GMGM Curncy</stp>
        <stp>BID</stp>
        <stp>[DataSheet2.2.xlsm]SAR_DATA!R15C49</stp>
        <tr r="AW15" s="19"/>
      </tp>
      <tp>
        <v>8</v>
        <stp/>
        <stp>##V3_BDPV12</stp>
        <stp>SAR3M GMGM Curncy</stp>
        <stp>BID</stp>
        <stp>[DataSheet2.2.xlsm]SAR_DATA!R13C49</stp>
        <tr r="AW13" s="19"/>
      </tp>
      <tp>
        <v>395</v>
        <stp/>
        <stp>##V3_BDPV12</stp>
        <stp>SAR3Y GMGM Curncy</stp>
        <stp>BID</stp>
        <stp>[DataSheet2.2.xlsm]SAR_DATA!R18C49</stp>
        <tr r="AW18" s="19"/>
      </tp>
      <tp>
        <v>2.5</v>
        <stp/>
        <stp>##V3_BDPV12</stp>
        <stp>SAR2M GMGM Curncy</stp>
        <stp>BID</stp>
        <stp>[DataSheet2.2.xlsm]SAR_DATA!R12C49</stp>
        <tr r="AW12" s="19"/>
      </tp>
      <tp>
        <v>195</v>
        <stp/>
        <stp>##V3_BDPV12</stp>
        <stp>SAR2Y GMGM Curncy</stp>
        <stp>BID</stp>
        <stp>[DataSheet2.2.xlsm]SAR_DATA!R17C49</stp>
        <tr r="AW17" s="19"/>
      </tp>
      <tp>
        <v>-0.5</v>
        <stp/>
        <stp>##V3_BDPV12</stp>
        <stp>SAR1M GMGM Curncy</stp>
        <stp>BID</stp>
        <stp>[DataSheet2.2.xlsm]SAR_DATA!R11C49</stp>
        <tr r="AW11" s="19"/>
      </tp>
      <tp>
        <v>0</v>
        <stp/>
        <stp>##V3_BDPV12</stp>
        <stp>SAR1W GMGM Curncy</stp>
        <stp>BID</stp>
        <stp>[DataSheet2.2.xlsm]SAR_DATA!R10C49</stp>
        <tr r="AW10" s="19"/>
      </tp>
      <tp>
        <v>23</v>
        <stp/>
        <stp>##V3_BDPV12</stp>
        <stp>SAR6M GMGM Curncy</stp>
        <stp>BID</stp>
        <stp>[DataSheet2.2.xlsm]SAR_DATA!R14C49</stp>
        <tr r="AW14" s="19"/>
      </tp>
      <tp>
        <v>790</v>
        <stp/>
        <stp>##V3_BDPV12</stp>
        <stp>SAR5Y GMGM Curncy</stp>
        <stp>BID</stp>
        <stp>[DataSheet2.2.xlsm]SAR_DATA!R20C49</stp>
        <tr r="AW20" s="19"/>
      </tp>
      <tp>
        <v>952.5</v>
        <stp/>
        <stp>##V3_BDPV12</stp>
        <stp>SAR6Y GMGM Curncy</stp>
        <stp>BID</stp>
        <stp>[DataSheet2.2.xlsm]SAR_DATA!R21C49</stp>
        <tr r="AW21" s="19"/>
      </tp>
      <tp>
        <v>590</v>
        <stp/>
        <stp>##V3_BDPV12</stp>
        <stp>SAR4Y GMGM Curncy</stp>
        <stp>BID</stp>
        <stp>[DataSheet2.2.xlsm]SAR_DATA!R19C49</stp>
        <tr r="AW19" s="19"/>
      </tp>
      <tp>
        <v>1115</v>
        <stp/>
        <stp>##V3_BDPV12</stp>
        <stp>SAR7Y GMGM Curncy</stp>
        <stp>BID</stp>
        <stp>[DataSheet2.2.xlsm]SAR_DATA!R22C49</stp>
        <tr r="AW22" s="19"/>
      </tp>
      <tp>
        <v>54</v>
        <stp/>
        <stp>##V3_BDPV12</stp>
        <stp>SAR9M GMGM Curncy</stp>
        <stp>ASK</stp>
        <stp>[DataSheet2.2.xlsm]SAR_DATA!R15C50</stp>
        <tr r="AX15" s="19"/>
      </tp>
      <tp>
        <v>5.5</v>
        <stp/>
        <stp>##V3_BDPV12</stp>
        <stp>SAR1M GMGM Curncy</stp>
        <stp>ASK</stp>
        <stp>[DataSheet2.2.xlsm]SAR_DATA!R11C50</stp>
        <tr r="AX11" s="19"/>
      </tp>
      <tp>
        <v>1</v>
        <stp/>
        <stp>##V3_BDPV12</stp>
        <stp>SAR1W GMGM Curncy</stp>
        <stp>ASK</stp>
        <stp>[DataSheet2.2.xlsm]SAR_DATA!R10C50</stp>
        <tr r="AX10" s="19"/>
      </tp>
      <tp>
        <v>10.5</v>
        <stp/>
        <stp>##V3_BDPV12</stp>
        <stp>SAR2M GMGM Curncy</stp>
        <stp>ASK</stp>
        <stp>[DataSheet2.2.xlsm]SAR_DATA!R12C50</stp>
        <tr r="AX12" s="19"/>
      </tp>
      <tp>
        <v>235</v>
        <stp/>
        <stp>##V3_BDPV12</stp>
        <stp>SAR2Y GMGM Curncy</stp>
        <stp>ASK</stp>
        <stp>[DataSheet2.2.xlsm]SAR_DATA!R17C50</stp>
        <tr r="AX17" s="19"/>
      </tp>
      <tp>
        <v>16</v>
        <stp/>
        <stp>##V3_BDPV12</stp>
        <stp>SAR3M GMGM Curncy</stp>
        <stp>ASK</stp>
        <stp>[DataSheet2.2.xlsm]SAR_DATA!R13C50</stp>
        <tr r="AX13" s="19"/>
      </tp>
      <tp>
        <v>475</v>
        <stp/>
        <stp>##V3_BDPV12</stp>
        <stp>SAR3Y GMGM Curncy</stp>
        <stp>ASK</stp>
        <stp>[DataSheet2.2.xlsm]SAR_DATA!R18C50</stp>
        <tr r="AX18" s="19"/>
      </tp>
      <tp>
        <v>1515</v>
        <stp/>
        <stp>##V3_BDPV12</stp>
        <stp>SAR7Y GMGM Curncy</stp>
        <stp>ASK</stp>
        <stp>[DataSheet2.2.xlsm]SAR_DATA!R22C50</stp>
        <tr r="AX22" s="19"/>
      </tp>
      <tp>
        <v>730</v>
        <stp/>
        <stp>##V3_BDPV12</stp>
        <stp>SAR4Y GMGM Curncy</stp>
        <stp>ASK</stp>
        <stp>[DataSheet2.2.xlsm]SAR_DATA!R19C50</stp>
        <tr r="AX19" s="19"/>
      </tp>
      <tp>
        <v>1252.5</v>
        <stp/>
        <stp>##V3_BDPV12</stp>
        <stp>SAR6Y GMGM Curncy</stp>
        <stp>ASK</stp>
        <stp>[DataSheet2.2.xlsm]SAR_DATA!R21C50</stp>
        <tr r="AX21" s="19"/>
      </tp>
      <tp>
        <v>33</v>
        <stp/>
        <stp>##V3_BDPV12</stp>
        <stp>SAR6M GMGM Curncy</stp>
        <stp>ASK</stp>
        <stp>[DataSheet2.2.xlsm]SAR_DATA!R14C50</stp>
        <tr r="AX14" s="19"/>
      </tp>
      <tp>
        <v>990</v>
        <stp/>
        <stp>##V3_BDPV12</stp>
        <stp>SAR5Y GMGM Curncy</stp>
        <stp>ASK</stp>
        <stp>[DataSheet2.2.xlsm]SAR_DATA!R20C50</stp>
        <tr r="AX20" s="19"/>
      </tp>
      <tp>
        <v>350</v>
        <stp/>
        <stp>##V3_BDPV12</stp>
        <stp>HKD2Y ICHK Curncy</stp>
        <stp>LAST_PRICE</stp>
        <stp>[DataSheet2.2.xlsm]HKD_DATA!R18C51</stp>
        <tr r="AY18" s="52"/>
      </tp>
      <tp>
        <v>-15.5</v>
        <stp/>
        <stp>##V3_BDPV12</stp>
        <stp>JYBSC MTRT Curncy</stp>
        <stp>LAST_PRICE</stp>
        <stp>[DataSheet2.3.xlsm]JPY_DATA!R22C49</stp>
        <tr r="AW22" s="46"/>
      </tp>
      <tp>
        <v>82</v>
        <stp/>
        <stp>##V3_BDPV12</stp>
        <stp>RUBON TRSU Curncy</stp>
        <stp>ASK</stp>
        <stp>[DataSheet2.2.xlsm]RUB_DATA!R8C50</stp>
        <tr r="AX8" s="4"/>
      </tp>
      <tp>
        <v>82</v>
        <stp/>
        <stp>##V3_BDPV12</stp>
        <stp>RUBTN TRSU Curncy</stp>
        <stp>ASK</stp>
        <stp>[DataSheet2.2.xlsm]RUB_DATA!R9C50</stp>
        <tr r="AX9" s="4"/>
      </tp>
      <tp>
        <v>1.3002</v>
        <stp/>
        <stp>##V3_BDPV12</stp>
        <stp>CDSW15 BGN Curncy</stp>
        <stp>ASK</stp>
        <stp>[DataSheet2.3.xlsm]CAD_DATA!R25C19</stp>
        <tr r="S25" s="48"/>
      </tp>
      <tp>
        <v>1.2798</v>
        <stp/>
        <stp>##V3_BDPV12</stp>
        <stp>CDSW15 BGN Curncy</stp>
        <stp>BID</stp>
        <stp>[DataSheet2.3.xlsm]CAD_DATA!R25C18</stp>
        <tr r="R25" s="48"/>
      </tp>
      <tp>
        <v>14.05</v>
        <stp/>
        <stp>##V3_BDPV12</stp>
        <stp>TYSOI BGN Curncy</stp>
        <stp>LAST_PRICE</stp>
        <stp>[DataSheet2.2.xlsm]TRY_DATA!R14C12</stp>
        <tr r="L14" s="10"/>
      </tp>
      <tp>
        <v>13.6</v>
        <stp/>
        <stp>##V3_BDPV12</stp>
        <stp>TYSOF BGN Curncy</stp>
        <stp>LAST_PRICE</stp>
        <stp>[DataSheet2.2.xlsm]TRY_DATA!R13C12</stp>
        <tr r="L13" s="10"/>
      </tp>
      <tp>
        <v>12.3</v>
        <stp/>
        <stp>##V3_BDPV12</stp>
        <stp>TYSOC BGN Curncy</stp>
        <stp>LAST_PRICE</stp>
        <stp>[DataSheet2.2.xlsm]TRY_DATA!R12C12</stp>
        <tr r="L12" s="10"/>
      </tp>
      <tp>
        <v>11.35</v>
        <stp/>
        <stp>##V3_BDPV12</stp>
        <stp>TYSOB BGN Curncy</stp>
        <stp>LAST_PRICE</stp>
        <stp>[DataSheet2.2.xlsm]TRY_DATA!R11C12</stp>
        <tr r="L11" s="10"/>
      </tp>
      <tp>
        <v>10.65</v>
        <stp/>
        <stp>##V3_BDPV12</stp>
        <stp>TYSOA BGN Curncy</stp>
        <stp>LAST_PRICE</stp>
        <stp>[DataSheet2.2.xlsm]TRY_DATA!R10C12</stp>
        <tr r="L10" s="10"/>
      </tp>
      <tp>
        <v>18</v>
        <stp/>
        <stp>##V3_BDPV12</stp>
        <stp>SRBSVD GMGM Curncy</stp>
        <stp>MID</stp>
        <stp>[DataSheet2.2.xlsm]INR_DATA!R8C30</stp>
        <tr r="AD8" s="54"/>
      </tp>
      <tp>
        <v>12.45</v>
        <stp/>
        <stp>##V3_BDPV12</stp>
        <stp>TYSO9 BGN Curncy</stp>
        <stp>LAST_PRICE</stp>
        <stp>[DataSheet2.2.xlsm]TRY_DATA!R23C12</stp>
        <tr r="L23" s="10"/>
      </tp>
      <tp>
        <v>12.6</v>
        <stp/>
        <stp>##V3_BDPV12</stp>
        <stp>TYSO8 BGN Curncy</stp>
        <stp>LAST_PRICE</stp>
        <stp>[DataSheet2.2.xlsm]TRY_DATA!R22C12</stp>
        <tr r="L22" s="10"/>
      </tp>
      <tp>
        <v>12.76</v>
        <stp/>
        <stp>##V3_BDPV12</stp>
        <stp>TYSO7 BGN Curncy</stp>
        <stp>LAST_PRICE</stp>
        <stp>[DataSheet2.2.xlsm]TRY_DATA!R21C12</stp>
        <tr r="L21" s="10"/>
      </tp>
      <tp>
        <v>12.96</v>
        <stp/>
        <stp>##V3_BDPV12</stp>
        <stp>TYSO6 BGN Curncy</stp>
        <stp>LAST_PRICE</stp>
        <stp>[DataSheet2.2.xlsm]TRY_DATA!R20C12</stp>
        <tr r="L20" s="10"/>
      </tp>
      <tp>
        <v>-9.125</v>
        <stp/>
        <stp>##V3_BDPV12</stp>
        <stp>EUBS2 ICPL Curncy</stp>
        <stp>ASK</stp>
        <stp>[DataSheet2.3.xlsm]EUR_DATA!R12C45</stp>
        <tr r="AS12" s="31"/>
      </tp>
      <tp>
        <v>-10.25</v>
        <stp/>
        <stp>##V3_BDPV12</stp>
        <stp>EUBS3 ICPL Curncy</stp>
        <stp>ASK</stp>
        <stp>[DataSheet2.3.xlsm]EUR_DATA!R13C45</stp>
        <tr r="AS13" s="31"/>
      </tp>
      <tp>
        <v>-11.375</v>
        <stp/>
        <stp>##V3_BDPV12</stp>
        <stp>EUBS4 ICPL Curncy</stp>
        <stp>ASK</stp>
        <stp>[DataSheet2.3.xlsm]EUR_DATA!R14C45</stp>
        <tr r="AS14" s="31"/>
      </tp>
      <tp>
        <v>-12.625</v>
        <stp/>
        <stp>##V3_BDPV12</stp>
        <stp>EUBS5 ICPL Curncy</stp>
        <stp>ASK</stp>
        <stp>[DataSheet2.3.xlsm]EUR_DATA!R15C45</stp>
        <tr r="AS15" s="31"/>
      </tp>
      <tp>
        <v>-14</v>
        <stp/>
        <stp>##V3_BDPV12</stp>
        <stp>EUBS6 ICPL Curncy</stp>
        <stp>ASK</stp>
        <stp>[DataSheet2.3.xlsm]EUR_DATA!R16C45</stp>
        <tr r="AS16" s="31"/>
      </tp>
      <tp>
        <v>-15</v>
        <stp/>
        <stp>##V3_BDPV12</stp>
        <stp>EUBS7 ICPL Curncy</stp>
        <stp>ASK</stp>
        <stp>[DataSheet2.3.xlsm]EUR_DATA!R17C45</stp>
        <tr r="AS17" s="31"/>
      </tp>
      <tp>
        <v>-15.625</v>
        <stp/>
        <stp>##V3_BDPV12</stp>
        <stp>EUBS8 ICPL Curncy</stp>
        <stp>ASK</stp>
        <stp>[DataSheet2.3.xlsm]EUR_DATA!R18C45</stp>
        <tr r="AS18" s="31"/>
      </tp>
      <tp>
        <v>-16</v>
        <stp/>
        <stp>##V3_BDPV12</stp>
        <stp>EUBS9 ICPL Curncy</stp>
        <stp>ASK</stp>
        <stp>[DataSheet2.3.xlsm]EUR_DATA!R19C45</stp>
        <tr r="AS19" s="31"/>
      </tp>
      <tp>
        <v>-8.5</v>
        <stp/>
        <stp>##V3_BDPV12</stp>
        <stp>EUBS1 ICPL Curncy</stp>
        <stp>ASK</stp>
        <stp>[DataSheet2.3.xlsm]EUR_DATA!R10C45</stp>
        <tr r="AS10" s="31"/>
      </tp>
      <tp>
        <v>13.25</v>
        <stp/>
        <stp>##V3_BDPV12</stp>
        <stp>TYSO5 BGN Curncy</stp>
        <stp>LAST_PRICE</stp>
        <stp>[DataSheet2.2.xlsm]TRY_DATA!R19C12</stp>
        <tr r="L19" s="10"/>
      </tp>
      <tp>
        <v>-13.5</v>
        <stp/>
        <stp>##V3_BDPV12</stp>
        <stp>EUBS1 ICPL Curncy</stp>
        <stp>BID</stp>
        <stp>[DataSheet2.3.xlsm]EUR_DATA!R10C44</stp>
        <tr r="AR10" s="31"/>
      </tp>
      <tp>
        <v>-14.125</v>
        <stp/>
        <stp>##V3_BDPV12</stp>
        <stp>EUBS2 ICPL Curncy</stp>
        <stp>BID</stp>
        <stp>[DataSheet2.3.xlsm]EUR_DATA!R12C44</stp>
        <tr r="AR12" s="31"/>
      </tp>
      <tp>
        <v>-15.25</v>
        <stp/>
        <stp>##V3_BDPV12</stp>
        <stp>EUBS3 ICPL Curncy</stp>
        <stp>BID</stp>
        <stp>[DataSheet2.3.xlsm]EUR_DATA!R13C44</stp>
        <tr r="AR13" s="31"/>
      </tp>
      <tp>
        <v>-16.375</v>
        <stp/>
        <stp>##V3_BDPV12</stp>
        <stp>EUBS4 ICPL Curncy</stp>
        <stp>BID</stp>
        <stp>[DataSheet2.3.xlsm]EUR_DATA!R14C44</stp>
        <tr r="AR14" s="31"/>
      </tp>
      <tp>
        <v>-17.625</v>
        <stp/>
        <stp>##V3_BDPV12</stp>
        <stp>EUBS5 ICPL Curncy</stp>
        <stp>BID</stp>
        <stp>[DataSheet2.3.xlsm]EUR_DATA!R15C44</stp>
        <tr r="AR15" s="31"/>
      </tp>
      <tp>
        <v>-19</v>
        <stp/>
        <stp>##V3_BDPV12</stp>
        <stp>EUBS6 ICPL Curncy</stp>
        <stp>BID</stp>
        <stp>[DataSheet2.3.xlsm]EUR_DATA!R16C44</stp>
        <tr r="AR16" s="31"/>
      </tp>
      <tp>
        <v>-20</v>
        <stp/>
        <stp>##V3_BDPV12</stp>
        <stp>EUBS7 ICPL Curncy</stp>
        <stp>BID</stp>
        <stp>[DataSheet2.3.xlsm]EUR_DATA!R17C44</stp>
        <tr r="AR17" s="31"/>
      </tp>
      <tp>
        <v>-20.625</v>
        <stp/>
        <stp>##V3_BDPV12</stp>
        <stp>EUBS8 ICPL Curncy</stp>
        <stp>BID</stp>
        <stp>[DataSheet2.3.xlsm]EUR_DATA!R18C44</stp>
        <tr r="AR18" s="31"/>
      </tp>
      <tp>
        <v>-21</v>
        <stp/>
        <stp>##V3_BDPV12</stp>
        <stp>EUBS9 ICPL Curncy</stp>
        <stp>BID</stp>
        <stp>[DataSheet2.3.xlsm]EUR_DATA!R19C44</stp>
        <tr r="AR19" s="31"/>
      </tp>
      <tp>
        <v>13.6</v>
        <stp/>
        <stp>##V3_BDPV12</stp>
        <stp>TYSO4 BGN Curncy</stp>
        <stp>LAST_PRICE</stp>
        <stp>[DataSheet2.2.xlsm]TRY_DATA!R18C12</stp>
        <tr r="L18" s="10"/>
      </tp>
      <tp>
        <v>14.04</v>
        <stp/>
        <stp>##V3_BDPV12</stp>
        <stp>TYSO3 BGN Curncy</stp>
        <stp>LAST_PRICE</stp>
        <stp>[DataSheet2.2.xlsm]TRY_DATA!R17C12</stp>
        <tr r="L17" s="10"/>
      </tp>
      <tp>
        <v>14.35</v>
        <stp/>
        <stp>##V3_BDPV12</stp>
        <stp>TYSO2 BGN Curncy</stp>
        <stp>LAST_PRICE</stp>
        <stp>[DataSheet2.2.xlsm]TRY_DATA!R16C12</stp>
        <tr r="L16" s="10"/>
      </tp>
      <tp>
        <v>14.3</v>
        <stp/>
        <stp>##V3_BDPV12</stp>
        <stp>TYSO1 BGN Curncy</stp>
        <stp>LAST_PRICE</stp>
        <stp>[DataSheet2.2.xlsm]TRY_DATA!R15C12</stp>
        <tr r="L15" s="10"/>
      </tp>
      <tp>
        <v>0.50780000000000003</v>
        <stp/>
        <stp>##V3_BDPV12</stp>
        <stp>CDSWF CMPN Curncy</stp>
        <stp>LAST_PRICE</stp>
        <stp>[DataSheet2.3.xlsm]GBP_DATA!R12C20</stp>
        <tr r="T12" s="58"/>
      </tp>
      <tp>
        <v>1.0329999999999999</v>
        <stp/>
        <stp>##V3_BDPV12</stp>
        <stp>CDSW10 BGN Curncy</stp>
        <stp>BID</stp>
        <stp>[DataSheet2.3.xlsm]GBP_DATA!R23C18</stp>
        <tr r="R23" s="58"/>
      </tp>
      <tp>
        <v>1.4021999999999999</v>
        <stp/>
        <stp>##V3_BDPV12</stp>
        <stp>CDSW20 BGN Curncy</stp>
        <stp>BID</stp>
        <stp>[DataSheet2.3.xlsm]GBP_DATA!R26C18</stp>
        <tr r="R26" s="58"/>
      </tp>
      <tp>
        <v>1.4188000000000001</v>
        <stp/>
        <stp>##V3_BDPV12</stp>
        <stp>CDSW20 BGN Curncy</stp>
        <stp>ASK</stp>
        <stp>[DataSheet2.3.xlsm]GBP_DATA!R26C19</stp>
        <tr r="S26" s="58"/>
      </tp>
      <tp>
        <v>1.0584</v>
        <stp/>
        <stp>##V3_BDPV12</stp>
        <stp>CDSW10 BGN Curncy</stp>
        <stp>ASK</stp>
        <stp>[DataSheet2.3.xlsm]GBP_DATA!R23C19</stp>
        <tr r="S23" s="58"/>
      </tp>
      <tp>
        <v>-0.55300000000000005</v>
        <stp/>
        <stp>##V3_BDPV12</stp>
        <stp>EUSF8A ICPL Curncy</stp>
        <stp>LAST_PRICE</stp>
        <stp>[DataSheet2.3.xlsm]EUR_DATA!R14C12</stp>
        <tr r="L14" s="31"/>
      </tp>
      <tp>
        <v>-0.52900000000000003</v>
        <stp/>
        <stp>##V3_BDPV12</stp>
        <stp>EUSF6A ICPL Curncy</stp>
        <stp>LAST_PRICE</stp>
        <stp>[DataSheet2.3.xlsm]EUR_DATA!R12C12</stp>
        <tr r="L12" s="31"/>
      </tp>
      <tp>
        <v>-0.54400000000000004</v>
        <stp/>
        <stp>##V3_BDPV12</stp>
        <stp>EUSF7A ICPL Curncy</stp>
        <stp>LAST_PRICE</stp>
        <stp>[DataSheet2.3.xlsm]EUR_DATA!R13C12</stp>
        <tr r="L13" s="31"/>
      </tp>
      <tp>
        <v>-0.501</v>
        <stp/>
        <stp>##V3_BDPV12</stp>
        <stp>EUSF4A ICPL Curncy</stp>
        <stp>LAST_PRICE</stp>
        <stp>[DataSheet2.3.xlsm]EUR_DATA!R11C12</stp>
        <tr r="L11" s="31"/>
      </tp>
      <tp>
        <v>-0.497</v>
        <stp/>
        <stp>##V3_BDPV12</stp>
        <stp>EUSF3A ICPL Curncy</stp>
        <stp>LAST_PRICE</stp>
        <stp>[DataSheet2.3.xlsm]EUR_DATA!R10C12</stp>
        <tr r="L10" s="31"/>
      </tp>
      <tp>
        <v>-35</v>
        <stp/>
        <stp>##V3_BDPV12</stp>
        <stp>PLN18M ICPL Curncy</stp>
        <stp>LAST_PRICE</stp>
        <stp>[DataSheet2.2.xlsm]PLN_DATA!R25C51</stp>
        <tr r="AY25" s="12"/>
      </tp>
      <tp>
        <v>-29.33</v>
        <stp/>
        <stp>##V3_BDPV12</stp>
        <stp>PLN10M ICPL Curncy</stp>
        <stp>LAST_PRICE</stp>
        <stp>[DataSheet2.2.xlsm]PLN_DATA!R22C51</stp>
        <tr r="AY22" s="12"/>
      </tp>
      <tp>
        <v>-29.65</v>
        <stp/>
        <stp>##V3_BDPV12</stp>
        <stp>PLN11M ICPL Curncy</stp>
        <stp>LAST_PRICE</stp>
        <stp>[DataSheet2.2.xlsm]PLN_DATA!R23C51</stp>
        <tr r="AY23" s="12"/>
      </tp>
      <tp>
        <v>-30</v>
        <stp/>
        <stp>##V3_BDPV12</stp>
        <stp>PLN12M ICPL Curncy</stp>
        <stp>LAST_PRICE</stp>
        <stp>[DataSheet2.2.xlsm]PLN_DATA!R24C51</stp>
        <tr r="AY24" s="12"/>
      </tp>
      <tp>
        <v>16.5</v>
        <stp/>
        <stp>##V3_BDPV12</stp>
        <stp>SRBSVE GMGM Curncy</stp>
        <stp>MID</stp>
        <stp>[DataSheet2.2.xlsm]INR_DATA!R9C30</stp>
        <tr r="AD9" s="54"/>
      </tp>
      <tp>
        <v>74.28</v>
        <stp/>
        <stp>##V3_BDPV12</stp>
        <stp>IRN+3M CMPN Curncy</stp>
        <stp>PX_LAST</stp>
        <stp>[DataSheet2.2.xlsm]INR_DATA!R12C51</stp>
        <tr r="AY12" s="54"/>
      </tp>
      <tp>
        <v>74.06</v>
        <stp/>
        <stp>##V3_BDPV12</stp>
        <stp>IRN+2M CMPN Curncy</stp>
        <stp>PX_LAST</stp>
        <stp>[DataSheet2.2.xlsm]INR_DATA!R11C51</stp>
        <tr r="AY11" s="54"/>
      </tp>
      <tp>
        <v>73.819999999999993</v>
        <stp/>
        <stp>##V3_BDPV12</stp>
        <stp>IRN+1M CMPN Curncy</stp>
        <stp>PX_LAST</stp>
        <stp>[DataSheet2.2.xlsm]INR_DATA!R10C51</stp>
        <tr r="AY10" s="54"/>
      </tp>
      <tp>
        <v>106.1</v>
        <stp/>
        <stp>##V3_BDPV12</stp>
        <stp>JPY Curncy</stp>
        <stp>BID</stp>
        <stp>[DataSheet2.3.xlsm]JPY_DATA!R7C39</stp>
        <tr r="AM7" s="46"/>
      </tp>
      <tp>
        <v>0.90539999999999998</v>
        <stp/>
        <stp>##V3_BDPV12</stp>
        <stp>UDSW3 BGN Curncy</stp>
        <stp>ASK</stp>
        <stp>[DataSheet2.3.xlsm]GBP_DATA!R19C19</stp>
        <tr r="S19" s="58"/>
      </tp>
      <tp>
        <v>0.84460000000000002</v>
        <stp/>
        <stp>##V3_BDPV12</stp>
        <stp>UDSW3 BGN Curncy</stp>
        <stp>BID</stp>
        <stp>[DataSheet2.3.xlsm]GBP_DATA!R19C18</stp>
        <tr r="R19" s="58"/>
      </tp>
      <tp>
        <v>4.1500000000000004</v>
        <stp/>
        <stp>##V3_BDPV12</stp>
        <stp>RRSOF GFUN Curncy</stp>
        <stp>LAST_PRICE</stp>
        <stp>[DataSheet2.2.xlsm]RUB_DATA!R13C12</stp>
        <tr r="L13" s="4"/>
      </tp>
      <tp>
        <v>0.505</v>
        <stp/>
        <stp>##V3_BDPV12</stp>
        <stp>CDSWC CMPN Curncy</stp>
        <stp>LAST_PRICE</stp>
        <stp>[DataSheet2.3.xlsm]CAD_DATA!R11C20</stp>
        <tr r="T11" s="48"/>
      </tp>
      <tp>
        <v>0.02</v>
        <stp/>
        <stp>##V3_BDPV12</stp>
        <stp>HDSOB TRHK Curncy</stp>
        <stp>BID</stp>
        <stp>[DataSheet2.2.xlsm]HKD_DATA!R9C10</stp>
        <tr r="J9" s="52"/>
      </tp>
      <tp>
        <v>0.13</v>
        <stp/>
        <stp>##V3_BDPV12</stp>
        <stp>USDHUFON BGN Curncy</stp>
        <stp>PX_LAST</stp>
        <stp>[DataSheet2.2.xlsm]HUF_DATA!R8C51</stp>
        <tr r="AY8" s="15"/>
      </tp>
      <tp>
        <v>0.70499999999999996</v>
        <stp/>
        <stp>##V3_BDPV12</stp>
        <stp>CDOR06 Index</stp>
        <stp>PX_LAST</stp>
        <stp>[DataSheet2.3.xlsm]GBP_DATA!R10C20</stp>
        <tr r="T10" s="58"/>
      </tp>
      <tp>
        <v>35</v>
        <stp/>
        <stp>##V3_BDPV12</stp>
        <stp>AED12M GMGM Curncy</stp>
        <stp>LAST_PRICE</stp>
        <stp>[DataSheet2.2.xlsm]AED_DATA!R16C51</stp>
        <tr r="AY16" s="18"/>
      </tp>
      <tp>
        <v>1.9350000000000001</v>
        <stp/>
        <stp>##V3_BDPV12</stp>
        <stp>BUBR12M Index</stp>
        <stp>LAST_PRICE</stp>
        <stp>[DataSheet2.2.xlsm]RON_DATA!R11C20</stp>
        <tr r="T11" s="16"/>
      </tp>
      <tp>
        <v>106.1</v>
        <stp/>
        <stp>##V3_BDPV12</stp>
        <stp>JPY Curncy</stp>
        <stp>ASK</stp>
        <stp>[DataSheet2.3.xlsm]JPY_DATA!R7C40</stp>
        <tr r="AN7" s="46"/>
      </tp>
      <tp>
        <v>4.26</v>
        <stp/>
        <stp>##V3_BDPV12</stp>
        <stp>RRSOI GFUN Curncy</stp>
        <stp>LAST_PRICE</stp>
        <stp>[DataSheet2.2.xlsm]RUB_DATA!R14C12</stp>
        <tr r="L14" s="4"/>
      </tp>
      <tp>
        <v>0.22</v>
        <stp/>
        <stp>##V3_BDPV12</stp>
        <stp>HDSOB TRHK Curncy</stp>
        <stp>ASK</stp>
        <stp>[DataSheet2.2.xlsm]HKD_DATA!R9C11</stp>
        <tr r="K9" s="52"/>
      </tp>
      <tp>
        <v>132300</v>
        <stp/>
        <stp>##V3_BDPV12</stp>
        <stp>RUB4Y TRSU Curncy</stp>
        <stp>ASK</stp>
        <stp>[DataSheet2.2.xlsm]RUB_DATA!R23C50</stp>
        <tr r="AX23" s="4"/>
      </tp>
      <tp>
        <v>166280</v>
        <stp/>
        <stp>##V3_BDPV12</stp>
        <stp>RUB5Y TRSU Curncy</stp>
        <stp>ASK</stp>
        <stp>[DataSheet2.2.xlsm]RUB_DATA!R24C50</stp>
        <tr r="AX24" s="4"/>
      </tp>
      <tp>
        <v>14660</v>
        <stp/>
        <stp>##V3_BDPV12</stp>
        <stp>RUB6M TRSU Curncy</stp>
        <stp>ASK</stp>
        <stp>[DataSheet2.2.xlsm]RUB_DATA!R17C50</stp>
        <tr r="AX17" s="4"/>
      </tp>
      <tp t="s">
        <v>#N/A N/A</v>
        <stp/>
        <stp>##V3_BDPV12</stp>
        <stp>RUB5M TRSU Curncy</stp>
        <stp>ASK</stp>
        <stp>[DataSheet2.2.xlsm]RUB_DATA!R16C50</stp>
        <tr r="AX16" s="4"/>
      </tp>
      <tp t="s">
        <v>#N/A N/A</v>
        <stp/>
        <stp>##V3_BDPV12</stp>
        <stp>RUB4M TRSU Curncy</stp>
        <stp>ASK</stp>
        <stp>[DataSheet2.2.xlsm]RUB_DATA!R15C50</stp>
        <tr r="AX15" s="4"/>
      </tp>
      <tp>
        <v>7280</v>
        <stp/>
        <stp>##V3_BDPV12</stp>
        <stp>RUB3M TRSU Curncy</stp>
        <stp>ASK</stp>
        <stp>[DataSheet2.2.xlsm]RUB_DATA!R14C50</stp>
        <tr r="AX14" s="4"/>
      </tp>
      <tp>
        <v>1130</v>
        <stp/>
        <stp>##V3_BDPV12</stp>
        <stp>RUB2W TRSU Curncy</stp>
        <stp>ASK</stp>
        <stp>[DataSheet2.2.xlsm]RUB_DATA!R11C50</stp>
        <tr r="AX11" s="4"/>
      </tp>
      <tp>
        <v>4910</v>
        <stp/>
        <stp>##V3_BDPV12</stp>
        <stp>RUB2M TRSU Curncy</stp>
        <stp>ASK</stp>
        <stp>[DataSheet2.2.xlsm]RUB_DATA!R13C50</stp>
        <tr r="AX13" s="4"/>
      </tp>
      <tp>
        <v>64150</v>
        <stp/>
        <stp>##V3_BDPV12</stp>
        <stp>RUB2Y TRSU Curncy</stp>
        <stp>ASK</stp>
        <stp>[DataSheet2.2.xlsm]RUB_DATA!R21C50</stp>
        <tr r="AX21" s="4"/>
      </tp>
      <tp>
        <v>570</v>
        <stp/>
        <stp>##V3_BDPV12</stp>
        <stp>RUB1W TRSU Curncy</stp>
        <stp>ASK</stp>
        <stp>[DataSheet2.2.xlsm]RUB_DATA!R10C50</stp>
        <tr r="AX10" s="4"/>
      </tp>
      <tp>
        <v>2660</v>
        <stp/>
        <stp>##V3_BDPV12</stp>
        <stp>RUB1M TRSU Curncy</stp>
        <stp>ASK</stp>
        <stp>[DataSheet2.2.xlsm]RUB_DATA!R12C50</stp>
        <tr r="AX12" s="4"/>
      </tp>
      <tp>
        <v>97930</v>
        <stp/>
        <stp>##V3_BDPV12</stp>
        <stp>RUB3Y TRSU Curncy</stp>
        <stp>ASK</stp>
        <stp>[DataSheet2.2.xlsm]RUB_DATA!R22C50</stp>
        <tr r="AX22" s="4"/>
      </tp>
      <tp>
        <v>22520</v>
        <stp/>
        <stp>##V3_BDPV12</stp>
        <stp>RUB9M TRSU Curncy</stp>
        <stp>ASK</stp>
        <stp>[DataSheet2.2.xlsm]RUB_DATA!R18C50</stp>
        <tr r="AX18" s="4"/>
      </tp>
      <tp t="s">
        <v>#N/A N/A</v>
        <stp/>
        <stp>##V3_BDPV12</stp>
        <stp>RUB4M TRSU Curncy</stp>
        <stp>BID</stp>
        <stp>[DataSheet2.2.xlsm]RUB_DATA!R15C49</stp>
        <tr r="AW15" s="4"/>
      </tp>
      <tp t="s">
        <v>#N/A N/A</v>
        <stp/>
        <stp>##V3_BDPV12</stp>
        <stp>RUB5M TRSU Curncy</stp>
        <stp>BID</stp>
        <stp>[DataSheet2.2.xlsm]RUB_DATA!R16C49</stp>
        <tr r="AW16" s="4"/>
      </tp>
      <tp>
        <v>162180</v>
        <stp/>
        <stp>##V3_BDPV12</stp>
        <stp>RUB5Y TRSU Curncy</stp>
        <stp>BID</stp>
        <stp>[DataSheet2.2.xlsm]RUB_DATA!R24C49</stp>
        <tr r="AW24" s="4"/>
      </tp>
      <tp>
        <v>14460</v>
        <stp/>
        <stp>##V3_BDPV12</stp>
        <stp>RUB6M TRSU Curncy</stp>
        <stp>BID</stp>
        <stp>[DataSheet2.2.xlsm]RUB_DATA!R17C49</stp>
        <tr r="AW17" s="4"/>
      </tp>
      <tp>
        <v>128900</v>
        <stp/>
        <stp>##V3_BDPV12</stp>
        <stp>RUB4Y TRSU Curncy</stp>
        <stp>BID</stp>
        <stp>[DataSheet2.2.xlsm]RUB_DATA!R23C49</stp>
        <tr r="AW23" s="4"/>
      </tp>
      <tp>
        <v>95730</v>
        <stp/>
        <stp>##V3_BDPV12</stp>
        <stp>RUB3Y TRSU Curncy</stp>
        <stp>BID</stp>
        <stp>[DataSheet2.2.xlsm]RUB_DATA!R22C49</stp>
        <tr r="AW22" s="4"/>
      </tp>
      <tp>
        <v>540</v>
        <stp/>
        <stp>##V3_BDPV12</stp>
        <stp>RUB1W TRSU Curncy</stp>
        <stp>BID</stp>
        <stp>[DataSheet2.2.xlsm]RUB_DATA!R10C49</stp>
        <tr r="AW10" s="4"/>
      </tp>
      <tp>
        <v>62750</v>
        <stp/>
        <stp>##V3_BDPV12</stp>
        <stp>RUB2Y TRSU Curncy</stp>
        <stp>BID</stp>
        <stp>[DataSheet2.2.xlsm]RUB_DATA!R21C49</stp>
        <tr r="AW21" s="4"/>
      </tp>
      <tp>
        <v>2600</v>
        <stp/>
        <stp>##V3_BDPV12</stp>
        <stp>RUB1M TRSU Curncy</stp>
        <stp>BID</stp>
        <stp>[DataSheet2.2.xlsm]RUB_DATA!R12C49</stp>
        <tr r="AW12" s="4"/>
      </tp>
      <tp>
        <v>1090</v>
        <stp/>
        <stp>##V3_BDPV12</stp>
        <stp>RUB2W TRSU Curncy</stp>
        <stp>BID</stp>
        <stp>[DataSheet2.2.xlsm]RUB_DATA!R11C49</stp>
        <tr r="AW11" s="4"/>
      </tp>
      <tp>
        <v>4830</v>
        <stp/>
        <stp>##V3_BDPV12</stp>
        <stp>RUB2M TRSU Curncy</stp>
        <stp>BID</stp>
        <stp>[DataSheet2.2.xlsm]RUB_DATA!R13C49</stp>
        <tr r="AW13" s="4"/>
      </tp>
      <tp>
        <v>7180</v>
        <stp/>
        <stp>##V3_BDPV12</stp>
        <stp>RUB3M TRSU Curncy</stp>
        <stp>BID</stp>
        <stp>[DataSheet2.2.xlsm]RUB_DATA!R14C49</stp>
        <tr r="AW14" s="4"/>
      </tp>
      <tp>
        <v>22320</v>
        <stp/>
        <stp>##V3_BDPV12</stp>
        <stp>RUB9M TRSU Curncy</stp>
        <stp>BID</stp>
        <stp>[DataSheet2.2.xlsm]RUB_DATA!R18C49</stp>
        <tr r="AW18" s="4"/>
      </tp>
      <tp>
        <v>12.1837</v>
        <stp/>
        <stp>##V3_BDPV12</stp>
        <stp>TYSO10 BGN Curncy</stp>
        <stp>BID</stp>
        <stp>[DataSheet2.2.xlsm]TRY_DATA!R24C10</stp>
        <tr r="J24" s="10"/>
      </tp>
      <tp>
        <v>12.456300000000001</v>
        <stp/>
        <stp>##V3_BDPV12</stp>
        <stp>TYSO10 BGN Curncy</stp>
        <stp>ASK</stp>
        <stp>[DataSheet2.2.xlsm]TRY_DATA!R24C11</stp>
        <tr r="K24" s="10"/>
      </tp>
      <tp>
        <v>0.36</v>
        <stp/>
        <stp>##V3_BDPV12</stp>
        <stp>PRIB06M Index</stp>
        <stp>PX_LAST</stp>
        <stp>[DataSheet2.2.xlsm]CZK_DATA!R10C20</stp>
        <tr r="T10" s="14"/>
      </tp>
      <tp>
        <v>1.1324399999999999</v>
        <stp/>
        <stp>##V3_BDPV12</stp>
        <stp>CKSW15 BGN Curncy</stp>
        <stp>BID</stp>
        <stp>[DataSheet2.2.xlsm]CZK_DATA!R28C18</stp>
        <tr r="R28" s="14"/>
      </tp>
      <tp>
        <v>1.1775599999999999</v>
        <stp/>
        <stp>##V3_BDPV12</stp>
        <stp>CKSW15 BGN Curncy</stp>
        <stp>ASK</stp>
        <stp>[DataSheet2.2.xlsm]CZK_DATA!R28C19</stp>
        <tr r="S28" s="14"/>
      </tp>
      <tp>
        <v>0.98980000000000001</v>
        <stp/>
        <stp>##V3_BDPV12</stp>
        <stp>CDSW9 BGN Curncy</stp>
        <stp>LAST_PRICE</stp>
        <stp>[DataSheet2.3.xlsm]CAD_DATA!R22C20</stp>
        <tr r="T22" s="48"/>
      </tp>
      <tp>
        <v>0.93420000000000003</v>
        <stp/>
        <stp>##V3_BDPV12</stp>
        <stp>CDSW8 BGN Curncy</stp>
        <stp>LAST_PRICE</stp>
        <stp>[DataSheet2.3.xlsm]CAD_DATA!R21C20</stp>
        <tr r="T21" s="48"/>
      </tp>
      <tp>
        <v>0.51100000000000001</v>
        <stp/>
        <stp>##V3_BDPV12</stp>
        <stp>CDSW1 BGN Curncy</stp>
        <stp>LAST_PRICE</stp>
        <stp>[DataSheet2.3.xlsm]CAD_DATA!R14C20</stp>
        <tr r="T14" s="48"/>
      </tp>
      <tp>
        <v>0.60270000000000001</v>
        <stp/>
        <stp>##V3_BDPV12</stp>
        <stp>CDSW3 BGN Curncy</stp>
        <stp>LAST_PRICE</stp>
        <stp>[DataSheet2.3.xlsm]CAD_DATA!R16C20</stp>
        <tr r="T16" s="48"/>
      </tp>
      <tp>
        <v>0.54300000000000004</v>
        <stp/>
        <stp>##V3_BDPV12</stp>
        <stp>CDSW2 BGN Curncy</stp>
        <stp>LAST_PRICE</stp>
        <stp>[DataSheet2.3.xlsm]CAD_DATA!R15C20</stp>
        <tr r="T15" s="48"/>
      </tp>
      <tp>
        <v>0.74729999999999996</v>
        <stp/>
        <stp>##V3_BDPV12</stp>
        <stp>CDSW5 BGN Curncy</stp>
        <stp>LAST_PRICE</stp>
        <stp>[DataSheet2.3.xlsm]CAD_DATA!R18C20</stp>
        <tr r="T18" s="48"/>
      </tp>
      <tp>
        <v>0.67549999999999999</v>
        <stp/>
        <stp>##V3_BDPV12</stp>
        <stp>CDSW4 BGN Curncy</stp>
        <stp>LAST_PRICE</stp>
        <stp>[DataSheet2.3.xlsm]CAD_DATA!R17C20</stp>
        <tr r="T17" s="48"/>
      </tp>
      <tp>
        <v>-28.49</v>
        <stp/>
        <stp>##V3_BDPV12</stp>
        <stp>PLN8M ICPL Curncy</stp>
        <stp>LAST_PRICE</stp>
        <stp>[DataSheet2.2.xlsm]PLN_DATA!R20C51</stp>
        <tr r="AY20" s="12"/>
      </tp>
      <tp>
        <v>-29</v>
        <stp/>
        <stp>##V3_BDPV12</stp>
        <stp>PLN9M ICPL Curncy</stp>
        <stp>LAST_PRICE</stp>
        <stp>[DataSheet2.2.xlsm]PLN_DATA!R21C51</stp>
        <tr r="AY21" s="12"/>
      </tp>
      <tp>
        <v>-13.5</v>
        <stp/>
        <stp>##V3_BDPV12</stp>
        <stp>PLN2M ICPL Curncy</stp>
        <stp>LAST_PRICE</stp>
        <stp>[DataSheet2.2.xlsm]PLN_DATA!R14C51</stp>
        <tr r="AY14" s="12"/>
      </tp>
      <tp>
        <v>-17.75</v>
        <stp/>
        <stp>##V3_BDPV12</stp>
        <stp>PLN3M ICPL Curncy</stp>
        <stp>LAST_PRICE</stp>
        <stp>[DataSheet2.2.xlsm]PLN_DATA!R15C51</stp>
        <tr r="AY15" s="12"/>
      </tp>
      <tp>
        <v>-122</v>
        <stp/>
        <stp>##V3_BDPV12</stp>
        <stp>ILS6M ICPL Curncy</stp>
        <stp>LAST_PRICE</stp>
        <stp>[DataSheet2.2.xlsm]ILS_DATA!R14C51</stp>
        <tr r="AY14" s="17"/>
      </tp>
      <tp>
        <v>-8.375</v>
        <stp/>
        <stp>##V3_BDPV12</stp>
        <stp>PLN1M ICPL Curncy</stp>
        <stp>LAST_PRICE</stp>
        <stp>[DataSheet2.2.xlsm]PLN_DATA!R13C51</stp>
        <tr r="AY13" s="12"/>
      </tp>
      <tp>
        <v>-22</v>
        <stp/>
        <stp>##V3_BDPV12</stp>
        <stp>PLN4M ICPL Curncy</stp>
        <stp>LAST_PRICE</stp>
        <stp>[DataSheet2.2.xlsm]PLN_DATA!R16C51</stp>
        <tr r="AY16" s="12"/>
      </tp>
      <tp>
        <v>-25.5</v>
        <stp/>
        <stp>##V3_BDPV12</stp>
        <stp>PLN5M ICPL Curncy</stp>
        <stp>LAST_PRICE</stp>
        <stp>[DataSheet2.2.xlsm]PLN_DATA!R17C51</stp>
        <tr r="AY17" s="12"/>
      </tp>
      <tp>
        <v>-37</v>
        <stp/>
        <stp>##V3_BDPV12</stp>
        <stp>ILS2M ICPL Curncy</stp>
        <stp>LAST_PRICE</stp>
        <stp>[DataSheet2.2.xlsm]ILS_DATA!R12C51</stp>
        <tr r="AY12" s="17"/>
      </tp>
      <tp>
        <v>-61</v>
        <stp/>
        <stp>##V3_BDPV12</stp>
        <stp>ILS3M ICPL Curncy</stp>
        <stp>LAST_PRICE</stp>
        <stp>[DataSheet2.2.xlsm]ILS_DATA!R13C51</stp>
        <tr r="AY13" s="17"/>
      </tp>
      <tp>
        <v>-27.5</v>
        <stp/>
        <stp>##V3_BDPV12</stp>
        <stp>PLN6M ICPL Curncy</stp>
        <stp>LAST_PRICE</stp>
        <stp>[DataSheet2.2.xlsm]PLN_DATA!R18C51</stp>
        <tr r="AY18" s="12"/>
      </tp>
      <tp>
        <v>-28.02</v>
        <stp/>
        <stp>##V3_BDPV12</stp>
        <stp>PLN7M ICPL Curncy</stp>
        <stp>LAST_PRICE</stp>
        <stp>[DataSheet2.2.xlsm]PLN_DATA!R19C51</stp>
        <tr r="AY19" s="12"/>
      </tp>
      <tp>
        <v>-205</v>
        <stp/>
        <stp>##V3_BDPV12</stp>
        <stp>ILS9M ICPL Curncy</stp>
        <stp>LAST_PRICE</stp>
        <stp>[DataSheet2.2.xlsm]ILS_DATA!R15C51</stp>
        <tr r="AY15" s="17"/>
      </tp>
      <tp>
        <v>0.87529999999999997</v>
        <stp/>
        <stp>##V3_BDPV12</stp>
        <stp>CDSW7 BGN Curncy</stp>
        <stp>LAST_PRICE</stp>
        <stp>[DataSheet2.3.xlsm]CAD_DATA!R20C20</stp>
        <tr r="T20" s="48"/>
      </tp>
      <tp>
        <v>951.7</v>
        <stp/>
        <stp>##V3_BDPV12</stp>
        <stp>CNH7M CMPN Curncy</stp>
        <stp>LAST_PRICE</stp>
        <stp>[DataSheet2.3.xlsm]CNH_DATA!R18C51</stp>
        <tr r="AY18" s="50"/>
      </tp>
      <tp>
        <v>272.10000000000002</v>
        <stp/>
        <stp>##V3_BDPV12</stp>
        <stp>CNH2M CMPN Curncy</stp>
        <stp>LAST_PRICE</stp>
        <stp>[DataSheet2.3.xlsm]CNH_DATA!R13C51</stp>
        <tr r="AY13" s="50"/>
      </tp>
      <tp>
        <v>535</v>
        <stp/>
        <stp>##V3_BDPV12</stp>
        <stp>CNH4M CMPN Curncy</stp>
        <stp>LAST_PRICE</stp>
        <stp>[DataSheet2.3.xlsm]CNH_DATA!R15C51</stp>
        <tr r="AY15" s="50"/>
      </tp>
      <tp>
        <v>804.5</v>
        <stp/>
        <stp>##V3_BDPV12</stp>
        <stp>CNH6M CMPN Curncy</stp>
        <stp>LAST_PRICE</stp>
        <stp>[DataSheet2.3.xlsm]CNH_DATA!R17C51</stp>
        <tr r="AY17" s="50"/>
      </tp>
      <tp>
        <v>1080.6500000000001</v>
        <stp/>
        <stp>##V3_BDPV12</stp>
        <stp>CNH8M CMPN Curncy</stp>
        <stp>LAST_PRICE</stp>
        <stp>[DataSheet2.3.xlsm]CNH_DATA!R19C51</stp>
        <tr r="AY19" s="50"/>
      </tp>
      <tp>
        <v>141.65</v>
        <stp/>
        <stp>##V3_BDPV12</stp>
        <stp>CNH1M CMPN Curncy</stp>
        <stp>LAST_PRICE</stp>
        <stp>[DataSheet2.3.xlsm]CNH_DATA!R12C51</stp>
        <tr r="AY12" s="50"/>
      </tp>
      <tp>
        <v>687.5</v>
        <stp/>
        <stp>##V3_BDPV12</stp>
        <stp>CNH5M CMPN Curncy</stp>
        <stp>LAST_PRICE</stp>
        <stp>[DataSheet2.3.xlsm]CNH_DATA!R16C51</stp>
        <tr r="AY16" s="50"/>
      </tp>
      <tp>
        <v>399.05</v>
        <stp/>
        <stp>##V3_BDPV12</stp>
        <stp>CNH3M CMPN Curncy</stp>
        <stp>LAST_PRICE</stp>
        <stp>[DataSheet2.3.xlsm]CNH_DATA!R14C51</stp>
        <tr r="AY14" s="50"/>
      </tp>
      <tp>
        <v>1221.2</v>
        <stp/>
        <stp>##V3_BDPV12</stp>
        <stp>CNH9M CMPN Curncy</stp>
        <stp>LAST_PRICE</stp>
        <stp>[DataSheet2.3.xlsm]CNH_DATA!R20C51</stp>
        <tr r="AY20" s="50"/>
      </tp>
      <tp>
        <v>-44.85</v>
        <stp/>
        <stp>##V3_BDPV12</stp>
        <stp>CZK6M CMPN Curncy</stp>
        <stp>LAST_PRICE</stp>
        <stp>[DataSheet2.2.xlsm]CZK_DATA!R18C51</stp>
        <tr r="AY18" s="14"/>
      </tp>
      <tp>
        <v>-46.85</v>
        <stp/>
        <stp>##V3_BDPV12</stp>
        <stp>CZK7M CMPN Curncy</stp>
        <stp>LAST_PRICE</stp>
        <stp>[DataSheet2.2.xlsm]CZK_DATA!R19C51</stp>
        <tr r="AY19" s="14"/>
      </tp>
      <tp>
        <v>-4.45</v>
        <stp/>
        <stp>##V3_BDPV12</stp>
        <stp>CZK1M CMPN Curncy</stp>
        <stp>LAST_PRICE</stp>
        <stp>[DataSheet2.2.xlsm]CZK_DATA!R13C51</stp>
        <tr r="AY13" s="14"/>
      </tp>
      <tp>
        <v>-37.5</v>
        <stp/>
        <stp>##V3_BDPV12</stp>
        <stp>CZK4M CMPN Curncy</stp>
        <stp>LAST_PRICE</stp>
        <stp>[DataSheet2.2.xlsm]CZK_DATA!R16C51</stp>
        <tr r="AY16" s="14"/>
      </tp>
      <tp>
        <v>-40</v>
        <stp/>
        <stp>##V3_BDPV12</stp>
        <stp>CZK5M CMPN Curncy</stp>
        <stp>LAST_PRICE</stp>
        <stp>[DataSheet2.2.xlsm]CZK_DATA!R17C51</stp>
        <tr r="AY17" s="14"/>
      </tp>
      <tp>
        <v>-8.25</v>
        <stp/>
        <stp>##V3_BDPV12</stp>
        <stp>CZK2M CMPN Curncy</stp>
        <stp>LAST_PRICE</stp>
        <stp>[DataSheet2.2.xlsm]CZK_DATA!R14C51</stp>
        <tr r="AY14" s="14"/>
      </tp>
      <tp>
        <v>-11.9</v>
        <stp/>
        <stp>##V3_BDPV12</stp>
        <stp>CZK3M CMPN Curncy</stp>
        <stp>LAST_PRICE</stp>
        <stp>[DataSheet2.2.xlsm]CZK_DATA!R15C51</stp>
        <tr r="AY15" s="14"/>
      </tp>
      <tp>
        <v>-50.79</v>
        <stp/>
        <stp>##V3_BDPV12</stp>
        <stp>CZK8M CMPN Curncy</stp>
        <stp>LAST_PRICE</stp>
        <stp>[DataSheet2.2.xlsm]CZK_DATA!R20C51</stp>
        <tr r="AY20" s="14"/>
      </tp>
      <tp>
        <v>-59.9</v>
        <stp/>
        <stp>##V3_BDPV12</stp>
        <stp>CZK9M CMPN Curncy</stp>
        <stp>LAST_PRICE</stp>
        <stp>[DataSheet2.2.xlsm]CZK_DATA!R21C51</stp>
        <tr r="AY21" s="14"/>
      </tp>
      <tp>
        <v>0.50829999999999997</v>
        <stp/>
        <stp>##V3_BDPV12</stp>
        <stp>CDSWI CMPN Curncy</stp>
        <stp>LAST_PRICE</stp>
        <stp>[DataSheet2.3.xlsm]GBP_DATA!R13C20</stp>
        <tr r="T13" s="58"/>
      </tp>
      <tp>
        <v>0.60750000000000004</v>
        <stp/>
        <stp>##V3_BDPV12</stp>
        <stp>CKSW3 BGN Curncy</stp>
        <stp>LAST_PRICE</stp>
        <stp>[DataSheet2.2.xlsm]CZK_DATA!R19C20</stp>
        <tr r="T19" s="14"/>
      </tp>
      <tp>
        <v>0.49990000000000001</v>
        <stp/>
        <stp>##V3_BDPV12</stp>
        <stp>CKSW2 BGN Curncy</stp>
        <stp>LAST_PRICE</stp>
        <stp>[DataSheet2.2.xlsm]CZK_DATA!R18C20</stp>
        <tr r="T18" s="14"/>
      </tp>
      <tp>
        <v>0.36249999999999999</v>
        <stp/>
        <stp>##V3_BDPV12</stp>
        <stp>CKSW1 BGN Curncy</stp>
        <stp>LAST_PRICE</stp>
        <stp>[DataSheet2.2.xlsm]CZK_DATA!R17C20</stp>
        <tr r="T17" s="14"/>
      </tp>
      <tp>
        <v>0.91249999999999998</v>
        <stp/>
        <stp>##V3_BDPV12</stp>
        <stp>CKSW7 BGN Curncy</stp>
        <stp>LAST_PRICE</stp>
        <stp>[DataSheet2.2.xlsm]CZK_DATA!R23C20</stp>
        <tr r="T23" s="14"/>
      </tp>
      <tp>
        <v>0.86250000000000004</v>
        <stp/>
        <stp>##V3_BDPV12</stp>
        <stp>CKSW6 BGN Curncy</stp>
        <stp>LAST_PRICE</stp>
        <stp>[DataSheet2.2.xlsm]CZK_DATA!R22C20</stp>
        <tr r="T22" s="14"/>
      </tp>
      <tp>
        <v>0.8</v>
        <stp/>
        <stp>##V3_BDPV12</stp>
        <stp>CKSW5 BGN Curncy</stp>
        <stp>LAST_PRICE</stp>
        <stp>[DataSheet2.2.xlsm]CZK_DATA!R21C20</stp>
        <tr r="T21" s="14"/>
      </tp>
      <tp>
        <v>0.70750000000000002</v>
        <stp/>
        <stp>##V3_BDPV12</stp>
        <stp>CKSW4 BGN Curncy</stp>
        <stp>LAST_PRICE</stp>
        <stp>[DataSheet2.2.xlsm]CZK_DATA!R20C20</stp>
        <tr r="T20" s="14"/>
      </tp>
      <tp>
        <v>0.98499999999999999</v>
        <stp/>
        <stp>##V3_BDPV12</stp>
        <stp>CKSW9 BGN Curncy</stp>
        <stp>LAST_PRICE</stp>
        <stp>[DataSheet2.2.xlsm]CZK_DATA!R25C20</stp>
        <tr r="T25" s="14"/>
      </tp>
      <tp>
        <v>0.95250000000000001</v>
        <stp/>
        <stp>##V3_BDPV12</stp>
        <stp>CKSW8 BGN Curncy</stp>
        <stp>LAST_PRICE</stp>
        <stp>[DataSheet2.2.xlsm]CZK_DATA!R24C20</stp>
        <tr r="T24" s="14"/>
      </tp>
      <tp>
        <v>0.875</v>
        <stp/>
        <stp>##V3_BDPV12</stp>
        <stp>UDSW3 BGN Curncy</stp>
        <stp>LAST_PRICE</stp>
        <stp>[DataSheet2.3.xlsm]CAD_DATA!R19C20</stp>
        <tr r="T19" s="48"/>
      </tp>
      <tp>
        <v>9.9628999999999994</v>
        <stp/>
        <stp>##V3_BDPV12</stp>
        <stp>BISTTREF Index</stp>
        <stp>LAST_PRICE</stp>
        <stp>[DataSheet2.2.xlsm]TRY_DATA!R7C12</stp>
        <tr r="L7" s="10"/>
      </tp>
      <tp>
        <v>304.06</v>
        <stp/>
        <stp>##V3_BDPV12</stp>
        <stp>USDHUF Curncy</stp>
        <stp>PX_LAST</stp>
        <stp>[DataSheet2.2.xlsm]HUF_DATA!R7C51</stp>
        <tr r="AY7" s="15"/>
      </tp>
      <tp>
        <v>1910</v>
        <stp/>
        <stp>##V3_BDPV12</stp>
        <stp>SAR10Y GMGM Curncy</stp>
        <stp>LAST_PRICE</stp>
        <stp>[DataSheet2.2.xlsm]SAR_DATA!R23C51</stp>
        <tr r="AY23" s="19"/>
      </tp>
      <tp>
        <v>4.07</v>
        <stp/>
        <stp>##V3_BDPV12</stp>
        <stp>RRSO1Z GFUN Curncy</stp>
        <stp>BID</stp>
        <stp>[DataSheet2.2.xlsm]RUB_DATA!R8C10</stp>
        <tr r="J8" s="4"/>
      </tp>
      <tp>
        <v>5.18</v>
        <stp/>
        <stp>##V3_BDPV12</stp>
        <stp>IRSWN10 BGN Curncy</stp>
        <stp>PX_LAST</stp>
        <stp>[DataSheet2.2.xlsm]INR_DATA!R25C51</stp>
        <tr r="AY25" s="54"/>
      </tp>
      <tp>
        <v>7.4930000000000003</v>
        <stp/>
        <stp>##V3_BDPV12</stp>
        <stp>TRY Curncy</stp>
        <stp>ASK</stp>
        <stp>[DataSheet2.2.xlsm]TRY_DATA!R7C50</stp>
        <tr r="AX7" s="10"/>
      </tp>
      <tp>
        <v>300</v>
        <stp/>
        <stp>##V3_BDPV12</stp>
        <stp>AED3Y GMGM Curncy</stp>
        <stp>LAST_PRICE</stp>
        <stp>[DataSheet2.2.xlsm]AED_DATA!R18C51</stp>
        <tr r="AY18" s="18"/>
      </tp>
      <tp>
        <v>435</v>
        <stp/>
        <stp>##V3_BDPV12</stp>
        <stp>SAR3Y GMGM Curncy</stp>
        <stp>LAST_PRICE</stp>
        <stp>[DataSheet2.2.xlsm]SAR_DATA!R18C51</stp>
        <tr r="AY18" s="19"/>
      </tp>
      <tp>
        <v>480</v>
        <stp/>
        <stp>##V3_BDPV12</stp>
        <stp>AED4Y GMGM Curncy</stp>
        <stp>LAST_PRICE</stp>
        <stp>[DataSheet2.2.xlsm]AED_DATA!R19C51</stp>
        <tr r="AY19" s="18"/>
      </tp>
      <tp>
        <v>660</v>
        <stp/>
        <stp>##V3_BDPV12</stp>
        <stp>SAR4Y GMGM Curncy</stp>
        <stp>LAST_PRICE</stp>
        <stp>[DataSheet2.2.xlsm]SAR_DATA!R19C51</stp>
        <tr r="AY19" s="19"/>
      </tp>
      <tp>
        <v>160</v>
        <stp/>
        <stp>##V3_BDPV12</stp>
        <stp>AED2Y GMGM Curncy</stp>
        <stp>LAST_PRICE</stp>
        <stp>[DataSheet2.2.xlsm]AED_DATA!R17C51</stp>
        <tr r="AY17" s="18"/>
      </tp>
      <tp>
        <v>215</v>
        <stp/>
        <stp>##V3_BDPV12</stp>
        <stp>SAR2Y GMGM Curncy</stp>
        <stp>LAST_PRICE</stp>
        <stp>[DataSheet2.2.xlsm]SAR_DATA!R17C51</stp>
        <tr r="AY17" s="19"/>
      </tp>
      <tp>
        <v>685</v>
        <stp/>
        <stp>##V3_BDPV12</stp>
        <stp>AED5Y GMGM Curncy</stp>
        <stp>LAST_PRICE</stp>
        <stp>[DataSheet2.2.xlsm]AED_DATA!R20C51</stp>
        <tr r="AY20" s="18"/>
      </tp>
      <tp>
        <v>890</v>
        <stp/>
        <stp>##V3_BDPV12</stp>
        <stp>SAR5Y GMGM Curncy</stp>
        <stp>LAST_PRICE</stp>
        <stp>[DataSheet2.2.xlsm]SAR_DATA!R20C51</stp>
        <tr r="AY20" s="19"/>
      </tp>
      <tp>
        <v>1315</v>
        <stp/>
        <stp>##V3_BDPV12</stp>
        <stp>SAR7Y GMGM Curncy</stp>
        <stp>LAST_PRICE</stp>
        <stp>[DataSheet2.2.xlsm]SAR_DATA!R22C51</stp>
        <tr r="AY22" s="19"/>
      </tp>
      <tp>
        <v>1102.5</v>
        <stp/>
        <stp>##V3_BDPV12</stp>
        <stp>SAR6Y GMGM Curncy</stp>
        <stp>LAST_PRICE</stp>
        <stp>[DataSheet2.2.xlsm]SAR_DATA!R21C51</stp>
        <tr r="AY21" s="19"/>
      </tp>
      <tp>
        <v>4583.5</v>
        <stp/>
        <stp>##V3_BDPV12</stp>
        <stp>ZAR9M GFSN Curncy</stp>
        <stp>LAST_PRICE</stp>
        <stp>[DataSheet2.2.xlsm]ZAR_DATA!R20C56</stp>
        <tr r="BD20" s="8"/>
      </tp>
      <tp>
        <v>617</v>
        <stp/>
        <stp>##V3_BDPV12</stp>
        <stp>ZAR1M GFSN Curncy</stp>
        <stp>LAST_PRICE</stp>
        <stp>[DataSheet2.2.xlsm]ZAR_DATA!R12C56</stp>
        <tr r="BD12" s="8"/>
      </tp>
      <tp>
        <v>2671.7</v>
        <stp/>
        <stp>##V3_BDPV12</stp>
        <stp>ZAR5M GFSN Curncy</stp>
        <stp>LAST_PRICE</stp>
        <stp>[DataSheet2.2.xlsm]ZAR_DATA!R16C56</stp>
        <tr r="BD16" s="8"/>
      </tp>
      <tp>
        <v>1150.5</v>
        <stp/>
        <stp>##V3_BDPV12</stp>
        <stp>ZAR2M GFSN Curncy</stp>
        <stp>LAST_PRICE</stp>
        <stp>[DataSheet2.2.xlsm]ZAR_DATA!R13C56</stp>
        <tr r="BD13" s="8"/>
      </tp>
      <tp>
        <v>2167.3000000000002</v>
        <stp/>
        <stp>##V3_BDPV12</stp>
        <stp>ZAR4M GFSN Curncy</stp>
        <stp>LAST_PRICE</stp>
        <stp>[DataSheet2.2.xlsm]ZAR_DATA!R15C56</stp>
        <tr r="BD15" s="8"/>
      </tp>
      <tp>
        <v>3129</v>
        <stp/>
        <stp>##V3_BDPV12</stp>
        <stp>ZAR6M GFSN Curncy</stp>
        <stp>LAST_PRICE</stp>
        <stp>[DataSheet2.2.xlsm]ZAR_DATA!R17C56</stp>
        <tr r="BD17" s="8"/>
      </tp>
      <tp>
        <v>4111.3999999999996</v>
        <stp/>
        <stp>##V3_BDPV12</stp>
        <stp>ZAR8M GFSN Curncy</stp>
        <stp>LAST_PRICE</stp>
        <stp>[DataSheet2.2.xlsm]ZAR_DATA!R19C56</stp>
        <tr r="BD19" s="8"/>
      </tp>
      <tp>
        <v>1660.5</v>
        <stp/>
        <stp>##V3_BDPV12</stp>
        <stp>ZAR3M GFSN Curncy</stp>
        <stp>LAST_PRICE</stp>
        <stp>[DataSheet2.2.xlsm]ZAR_DATA!R14C56</stp>
        <tr r="BD14" s="8"/>
      </tp>
      <tp>
        <v>3648.5</v>
        <stp/>
        <stp>##V3_BDPV12</stp>
        <stp>ZAR7M GFSN Curncy</stp>
        <stp>LAST_PRICE</stp>
        <stp>[DataSheet2.2.xlsm]ZAR_DATA!R18C56</stp>
        <tr r="BD18" s="8"/>
      </tp>
      <tp>
        <v>7230</v>
        <stp/>
        <stp>##V3_BDPV12</stp>
        <stp>RUB3M TRSU Curncy</stp>
        <stp>LAST_PRICE</stp>
        <stp>[DataSheet2.2.xlsm]RUB_DATA!R14C51</stp>
        <tr r="AY14" s="4"/>
      </tp>
      <tp>
        <v>2630</v>
        <stp/>
        <stp>##V3_BDPV12</stp>
        <stp>RUB1M TRSU Curncy</stp>
        <stp>LAST_PRICE</stp>
        <stp>[DataSheet2.2.xlsm]RUB_DATA!R12C51</stp>
        <tr r="AY12" s="4"/>
      </tp>
      <tp t="s">
        <v>#N/A N/A</v>
        <stp/>
        <stp>##V3_BDPV12</stp>
        <stp>RUB5M TRSU Curncy</stp>
        <stp>LAST_PRICE</stp>
        <stp>[DataSheet2.2.xlsm]RUB_DATA!R16C51</stp>
        <tr r="AY16" s="4"/>
      </tp>
      <tp>
        <v>4870</v>
        <stp/>
        <stp>##V3_BDPV12</stp>
        <stp>RUB2M TRSU Curncy</stp>
        <stp>LAST_PRICE</stp>
        <stp>[DataSheet2.2.xlsm]RUB_DATA!R13C51</stp>
        <tr r="AY13" s="4"/>
      </tp>
      <tp t="s">
        <v>#N/A N/A</v>
        <stp/>
        <stp>##V3_BDPV12</stp>
        <stp>RUB4M TRSU Curncy</stp>
        <stp>LAST_PRICE</stp>
        <stp>[DataSheet2.2.xlsm]RUB_DATA!R15C51</stp>
        <tr r="AY15" s="4"/>
      </tp>
      <tp>
        <v>14560</v>
        <stp/>
        <stp>##V3_BDPV12</stp>
        <stp>RUB6M TRSU Curncy</stp>
        <stp>LAST_PRICE</stp>
        <stp>[DataSheet2.2.xlsm]RUB_DATA!R17C51</stp>
        <tr r="AY17" s="4"/>
      </tp>
      <tp>
        <v>22420</v>
        <stp/>
        <stp>##V3_BDPV12</stp>
        <stp>RUB9M TRSU Curncy</stp>
        <stp>LAST_PRICE</stp>
        <stp>[DataSheet2.2.xlsm]RUB_DATA!R18C51</stp>
        <tr r="AY18" s="4"/>
      </tp>
      <tp>
        <v>-25</v>
        <stp/>
        <stp>##V3_BDPV12</stp>
        <stp>PLN9M ICPL Curncy</stp>
        <stp>ASK</stp>
        <stp>[DataSheet2.2.xlsm]PLN_DATA!R21C50</stp>
        <tr r="AX21" s="12"/>
      </tp>
      <tp>
        <v>-25</v>
        <stp/>
        <stp>##V3_BDPV12</stp>
        <stp>PLN8M ICPL Curncy</stp>
        <stp>ASK</stp>
        <stp>[DataSheet2.2.xlsm]PLN_DATA!R20C50</stp>
        <tr r="AX20" s="12"/>
      </tp>
      <tp>
        <v>-2.5</v>
        <stp/>
        <stp>##V3_BDPV12</stp>
        <stp>PLN2W ICPL Curncy</stp>
        <stp>ASK</stp>
        <stp>[DataSheet2.2.xlsm]PLN_DATA!R12C50</stp>
        <tr r="AX12" s="12"/>
      </tp>
      <tp>
        <v>-12.5</v>
        <stp/>
        <stp>##V3_BDPV12</stp>
        <stp>PLN2M ICPL Curncy</stp>
        <stp>ASK</stp>
        <stp>[DataSheet2.2.xlsm]PLN_DATA!R14C50</stp>
        <tr r="AX14" s="12"/>
      </tp>
      <tp>
        <v>-17</v>
        <stp/>
        <stp>##V3_BDPV12</stp>
        <stp>PLN3M ICPL Curncy</stp>
        <stp>ASK</stp>
        <stp>[DataSheet2.2.xlsm]PLN_DATA!R15C50</stp>
        <tr r="AX15" s="12"/>
      </tp>
      <tp>
        <v>110</v>
        <stp/>
        <stp>##V3_BDPV12</stp>
        <stp>PLN3Y ICPL Curncy</stp>
        <stp>ASK</stp>
        <stp>[DataSheet2.2.xlsm]PLN_DATA!R27C50</stp>
        <tr r="AX27" s="12"/>
      </tp>
      <tp>
        <v>10</v>
        <stp/>
        <stp>##V3_BDPV12</stp>
        <stp>PLN2Y ICPL Curncy</stp>
        <stp>ASK</stp>
        <stp>[DataSheet2.2.xlsm]PLN_DATA!R26C50</stp>
        <tr r="AX26" s="12"/>
      </tp>
      <tp>
        <v>-1.2</v>
        <stp/>
        <stp>##V3_BDPV12</stp>
        <stp>PLN1W ICPL Curncy</stp>
        <stp>ASK</stp>
        <stp>[DataSheet2.2.xlsm]PLN_DATA!R11C50</stp>
        <tr r="AX11" s="12"/>
      </tp>
      <tp>
        <v>-8</v>
        <stp/>
        <stp>##V3_BDPV12</stp>
        <stp>PLN1M ICPL Curncy</stp>
        <stp>ASK</stp>
        <stp>[DataSheet2.2.xlsm]PLN_DATA!R13C50</stp>
        <tr r="AX13" s="12"/>
      </tp>
      <tp t="s">
        <v>#N/A N/A</v>
        <stp/>
        <stp>##V3_BDPV12</stp>
        <stp>PLN5Y ICPL Curncy</stp>
        <stp>ASK</stp>
        <stp>[DataSheet2.2.xlsm]PLN_DATA!R29C50</stp>
        <tr r="AX29" s="12"/>
      </tp>
      <tp>
        <v>-25</v>
        <stp/>
        <stp>##V3_BDPV12</stp>
        <stp>PLN6M ICPL Curncy</stp>
        <stp>ASK</stp>
        <stp>[DataSheet2.2.xlsm]PLN_DATA!R18C50</stp>
        <tr r="AX18" s="12"/>
      </tp>
      <tp t="s">
        <v>#N/A N/A</v>
        <stp/>
        <stp>##V3_BDPV12</stp>
        <stp>PLN4Y ICPL Curncy</stp>
        <stp>ASK</stp>
        <stp>[DataSheet2.2.xlsm]PLN_DATA!R28C50</stp>
        <tr r="AX28" s="12"/>
      </tp>
      <tp>
        <v>-25</v>
        <stp/>
        <stp>##V3_BDPV12</stp>
        <stp>PLN7M ICPL Curncy</stp>
        <stp>ASK</stp>
        <stp>[DataSheet2.2.xlsm]PLN_DATA!R19C50</stp>
        <tr r="AX19" s="12"/>
      </tp>
      <tp>
        <v>-20</v>
        <stp/>
        <stp>##V3_BDPV12</stp>
        <stp>PLN4M ICPL Curncy</stp>
        <stp>ASK</stp>
        <stp>[DataSheet2.2.xlsm]PLN_DATA!R16C50</stp>
        <tr r="AX16" s="12"/>
      </tp>
      <tp>
        <v>-23</v>
        <stp/>
        <stp>##V3_BDPV12</stp>
        <stp>PLN5M ICPL Curncy</stp>
        <stp>ASK</stp>
        <stp>[DataSheet2.2.xlsm]PLN_DATA!R17C50</stp>
        <tr r="AX17" s="12"/>
      </tp>
      <tp>
        <v>-0.05</v>
        <stp/>
        <stp>##V3_BDPV12</stp>
        <stp>PLNON ICPL Curncy</stp>
        <stp>ASK</stp>
        <stp>[DataSheet2.2.xlsm]PLN_DATA!R32C50</stp>
        <tr r="AX32" s="12"/>
      </tp>
      <tp>
        <v>-0.4</v>
        <stp/>
        <stp>##V3_BDPV12</stp>
        <stp>PLNSN ICPL Curncy</stp>
        <stp>ASK</stp>
        <stp>[DataSheet2.2.xlsm]PLN_DATA!R10C50</stp>
        <tr r="AX10" s="12"/>
      </tp>
      <tp>
        <v>-0.4</v>
        <stp/>
        <stp>##V3_BDPV12</stp>
        <stp>PLNSN ICPL Curncy</stp>
        <stp>ASK</stp>
        <stp>[DataSheet2.2.xlsm]PLN_DATA!R34C50</stp>
        <tr r="AX34" s="12"/>
      </tp>
      <tp>
        <v>-0.15</v>
        <stp/>
        <stp>##V3_BDPV12</stp>
        <stp>PLNTN ICPL Curncy</stp>
        <stp>ASK</stp>
        <stp>[DataSheet2.2.xlsm]PLN_DATA!R33C50</stp>
        <tr r="AX33" s="12"/>
      </tp>
      <tp>
        <v>76</v>
        <stp/>
        <stp>##V3_BDPV12</stp>
        <stp>RUBTN TRSU Curncy</stp>
        <stp>BID</stp>
        <stp>[DataSheet2.2.xlsm]RUB_DATA!R9C49</stp>
        <tr r="AW9" s="4"/>
      </tp>
      <tp>
        <v>78</v>
        <stp/>
        <stp>##V3_BDPV12</stp>
        <stp>RUBON TRSU Curncy</stp>
        <stp>BID</stp>
        <stp>[DataSheet2.2.xlsm]RUB_DATA!R8C49</stp>
        <tr r="AW8" s="4"/>
      </tp>
      <tp>
        <v>-31.99</v>
        <stp/>
        <stp>##V3_BDPV12</stp>
        <stp>PLN8M ICPL Curncy</stp>
        <stp>BID</stp>
        <stp>[DataSheet2.2.xlsm]PLN_DATA!R20C49</stp>
        <tr r="AW20" s="12"/>
      </tp>
      <tp>
        <v>-33</v>
        <stp/>
        <stp>##V3_BDPV12</stp>
        <stp>PLN9M ICPL Curncy</stp>
        <stp>BID</stp>
        <stp>[DataSheet2.2.xlsm]PLN_DATA!R21C49</stp>
        <tr r="AW21" s="12"/>
      </tp>
      <tp>
        <v>-1.6</v>
        <stp/>
        <stp>##V3_BDPV12</stp>
        <stp>PLN1W ICPL Curncy</stp>
        <stp>BID</stp>
        <stp>[DataSheet2.2.xlsm]PLN_DATA!R11C49</stp>
        <tr r="AW11" s="12"/>
      </tp>
      <tp>
        <v>-50</v>
        <stp/>
        <stp>##V3_BDPV12</stp>
        <stp>PLN2Y ICPL Curncy</stp>
        <stp>BID</stp>
        <stp>[DataSheet2.2.xlsm]PLN_DATA!R26C49</stp>
        <tr r="AW26" s="12"/>
      </tp>
      <tp>
        <v>-8.75</v>
        <stp/>
        <stp>##V3_BDPV12</stp>
        <stp>PLN1M ICPL Curncy</stp>
        <stp>BID</stp>
        <stp>[DataSheet2.2.xlsm]PLN_DATA!R13C49</stp>
        <tr r="AW13" s="12"/>
      </tp>
      <tp>
        <v>10</v>
        <stp/>
        <stp>##V3_BDPV12</stp>
        <stp>PLN3Y ICPL Curncy</stp>
        <stp>BID</stp>
        <stp>[DataSheet2.2.xlsm]PLN_DATA!R27C49</stp>
        <tr r="AW27" s="12"/>
      </tp>
      <tp>
        <v>-18.5</v>
        <stp/>
        <stp>##V3_BDPV12</stp>
        <stp>PLN3M ICPL Curncy</stp>
        <stp>BID</stp>
        <stp>[DataSheet2.2.xlsm]PLN_DATA!R15C49</stp>
        <tr r="AW15" s="12"/>
      </tp>
      <tp>
        <v>-3</v>
        <stp/>
        <stp>##V3_BDPV12</stp>
        <stp>PLN2W ICPL Curncy</stp>
        <stp>BID</stp>
        <stp>[DataSheet2.2.xlsm]PLN_DATA!R12C49</stp>
        <tr r="AW12" s="12"/>
      </tp>
      <tp>
        <v>-14.5</v>
        <stp/>
        <stp>##V3_BDPV12</stp>
        <stp>PLN2M ICPL Curncy</stp>
        <stp>BID</stp>
        <stp>[DataSheet2.2.xlsm]PLN_DATA!R14C49</stp>
        <tr r="AW14" s="12"/>
      </tp>
      <tp>
        <v>-28</v>
        <stp/>
        <stp>##V3_BDPV12</stp>
        <stp>PLN5M ICPL Curncy</stp>
        <stp>BID</stp>
        <stp>[DataSheet2.2.xlsm]PLN_DATA!R17C49</stp>
        <tr r="AW17" s="12"/>
      </tp>
      <tp>
        <v>-24</v>
        <stp/>
        <stp>##V3_BDPV12</stp>
        <stp>PLN4M ICPL Curncy</stp>
        <stp>BID</stp>
        <stp>[DataSheet2.2.xlsm]PLN_DATA!R16C49</stp>
        <tr r="AW16" s="12"/>
      </tp>
      <tp t="s">
        <v>#N/A N/A</v>
        <stp/>
        <stp>##V3_BDPV12</stp>
        <stp>PLN4Y ICPL Curncy</stp>
        <stp>BID</stp>
        <stp>[DataSheet2.2.xlsm]PLN_DATA!R28C49</stp>
        <tr r="AW28" s="12"/>
      </tp>
      <tp>
        <v>-31.04</v>
        <stp/>
        <stp>##V3_BDPV12</stp>
        <stp>PLN7M ICPL Curncy</stp>
        <stp>BID</stp>
        <stp>[DataSheet2.2.xlsm]PLN_DATA!R19C49</stp>
        <tr r="AW19" s="12"/>
      </tp>
      <tp t="s">
        <v>#N/A N/A</v>
        <stp/>
        <stp>##V3_BDPV12</stp>
        <stp>PLN5Y ICPL Curncy</stp>
        <stp>BID</stp>
        <stp>[DataSheet2.2.xlsm]PLN_DATA!R29C49</stp>
        <tr r="AW29" s="12"/>
      </tp>
      <tp>
        <v>-30</v>
        <stp/>
        <stp>##V3_BDPV12</stp>
        <stp>PLN6M ICPL Curncy</stp>
        <stp>BID</stp>
        <stp>[DataSheet2.2.xlsm]PLN_DATA!R18C49</stp>
        <tr r="AW18" s="12"/>
      </tp>
      <tp>
        <v>-0.6</v>
        <stp/>
        <stp>##V3_BDPV12</stp>
        <stp>PLNSN ICPL Curncy</stp>
        <stp>BID</stp>
        <stp>[DataSheet2.2.xlsm]PLN_DATA!R34C49</stp>
        <tr r="AW34" s="12"/>
      </tp>
      <tp>
        <v>-0.6</v>
        <stp/>
        <stp>##V3_BDPV12</stp>
        <stp>PLNSN ICPL Curncy</stp>
        <stp>BID</stp>
        <stp>[DataSheet2.2.xlsm]PLN_DATA!R10C49</stp>
        <tr r="AW10" s="12"/>
      </tp>
      <tp>
        <v>-0.2</v>
        <stp/>
        <stp>##V3_BDPV12</stp>
        <stp>PLNTN ICPL Curncy</stp>
        <stp>BID</stp>
        <stp>[DataSheet2.2.xlsm]PLN_DATA!R33C49</stp>
        <tr r="AW33" s="12"/>
      </tp>
      <tp>
        <v>-0.2</v>
        <stp/>
        <stp>##V3_BDPV12</stp>
        <stp>PLNON ICPL Curncy</stp>
        <stp>BID</stp>
        <stp>[DataSheet2.2.xlsm]PLN_DATA!R32C49</stp>
        <tr r="AW32" s="12"/>
      </tp>
      <tp>
        <v>100.495</v>
        <stp/>
        <stp>##V3_BDPV12</stp>
        <stp>ER1 Comdty</stp>
        <stp>LAST_PRICE</stp>
        <stp>[DataSheet2.3.xlsm]EUR_DATA!R11C20</stp>
        <tr r="T11" s="31"/>
      </tp>
      <tp>
        <v>100.505</v>
        <stp/>
        <stp>##V3_BDPV12</stp>
        <stp>ER3 Comdty</stp>
        <stp>LAST_PRICE</stp>
        <stp>[DataSheet2.3.xlsm]EUR_DATA!R13C20</stp>
        <tr r="T13" s="31"/>
      </tp>
      <tp>
        <v>100.49</v>
        <stp/>
        <stp>##V3_BDPV12</stp>
        <stp>ER2 Comdty</stp>
        <stp>LAST_PRICE</stp>
        <stp>[DataSheet2.3.xlsm]EUR_DATA!R12C20</stp>
        <tr r="T12" s="31"/>
      </tp>
      <tp>
        <v>100.53</v>
        <stp/>
        <stp>##V3_BDPV12</stp>
        <stp>ER5 Comdty</stp>
        <stp>LAST_PRICE</stp>
        <stp>[DataSheet2.3.xlsm]EUR_DATA!R15C20</stp>
        <tr r="T15" s="31"/>
      </tp>
      <tp>
        <v>100.52500000000001</v>
        <stp/>
        <stp>##V3_BDPV12</stp>
        <stp>ER4 Comdty</stp>
        <stp>LAST_PRICE</stp>
        <stp>[DataSheet2.3.xlsm]EUR_DATA!R14C20</stp>
        <tr r="T14" s="31"/>
      </tp>
      <tp>
        <v>100.535</v>
        <stp/>
        <stp>##V3_BDPV12</stp>
        <stp>ER7 Comdty</stp>
        <stp>LAST_PRICE</stp>
        <stp>[DataSheet2.3.xlsm]EUR_DATA!R17C20</stp>
        <tr r="T17" s="31"/>
      </tp>
      <tp>
        <v>100.54</v>
        <stp/>
        <stp>##V3_BDPV12</stp>
        <stp>ER6 Comdty</stp>
        <stp>LAST_PRICE</stp>
        <stp>[DataSheet2.3.xlsm]EUR_DATA!R16C20</stp>
        <tr r="T16" s="31"/>
      </tp>
      <tp>
        <v>100.535</v>
        <stp/>
        <stp>##V3_BDPV12</stp>
        <stp>ER8 Comdty</stp>
        <stp>LAST_PRICE</stp>
        <stp>[DataSheet2.3.xlsm]EUR_DATA!R18C20</stp>
        <tr r="T18" s="31"/>
      </tp>
      <tp>
        <v>-5.5E-2</v>
        <stp/>
        <stp>##V3_BDPV12</stp>
        <stp>JYSO1Z MTRT Curncy</stp>
        <stp>LAST_PRICE</stp>
        <stp>[DataSheet2.3.xlsm]JPY_DATA!R8C9</stp>
        <tr r="I8" s="46"/>
      </tp>
      <tp>
        <v>0.247</v>
        <stp/>
        <stp>##V3_BDPV12</stp>
        <stp>CDSO1 FMDR Curncy</stp>
        <stp>ASK</stp>
        <stp>[DataSheet2.3.xlsm]GBP_DATA!R15C11</stp>
        <tr r="K15" s="58"/>
      </tp>
      <tp>
        <v>0.24399999999999999</v>
        <stp/>
        <stp>##V3_BDPV12</stp>
        <stp>CDSOI FMDR Curncy</stp>
        <stp>ASK</stp>
        <stp>[DataSheet2.3.xlsm]GBP_DATA!R14C11</stp>
        <tr r="K14" s="58"/>
      </tp>
      <tp>
        <v>0.245</v>
        <stp/>
        <stp>##V3_BDPV12</stp>
        <stp>CDSOF FMDR Curncy</stp>
        <stp>ASK</stp>
        <stp>[DataSheet2.3.xlsm]GBP_DATA!R13C11</stp>
        <tr r="K13" s="58"/>
      </tp>
      <tp>
        <v>0.249</v>
        <stp/>
        <stp>##V3_BDPV12</stp>
        <stp>CDSOB FMDR Curncy</stp>
        <stp>ASK</stp>
        <stp>[DataSheet2.3.xlsm]GBP_DATA!R11C11</stp>
        <tr r="K11" s="58"/>
      </tp>
      <tp>
        <v>0.25</v>
        <stp/>
        <stp>##V3_BDPV12</stp>
        <stp>CDSOA FMDR Curncy</stp>
        <stp>ASK</stp>
        <stp>[DataSheet2.3.xlsm]GBP_DATA!R10C11</stp>
        <tr r="K10" s="58"/>
      </tp>
      <tp>
        <v>0.248</v>
        <stp/>
        <stp>##V3_BDPV12</stp>
        <stp>CDSOC FMDR Curncy</stp>
        <stp>ASK</stp>
        <stp>[DataSheet2.3.xlsm]GBP_DATA!R12C11</stp>
        <tr r="K12" s="58"/>
      </tp>
      <tp>
        <v>0.22700000000000001</v>
        <stp/>
        <stp>##V3_BDPV12</stp>
        <stp>CDSO1 FMDR Curncy</stp>
        <stp>BID</stp>
        <stp>[DataSheet2.3.xlsm]GBP_DATA!R15C10</stp>
        <tr r="J15" s="58"/>
      </tp>
      <tp>
        <v>0.23</v>
        <stp/>
        <stp>##V3_BDPV12</stp>
        <stp>CDSOA FMDR Curncy</stp>
        <stp>BID</stp>
        <stp>[DataSheet2.3.xlsm]GBP_DATA!R10C10</stp>
        <tr r="J10" s="58"/>
      </tp>
      <tp>
        <v>0.22800000000000001</v>
        <stp/>
        <stp>##V3_BDPV12</stp>
        <stp>CDSOC FMDR Curncy</stp>
        <stp>BID</stp>
        <stp>[DataSheet2.3.xlsm]GBP_DATA!R12C10</stp>
        <tr r="J12" s="58"/>
      </tp>
      <tp>
        <v>0.22900000000000001</v>
        <stp/>
        <stp>##V3_BDPV12</stp>
        <stp>CDSOB FMDR Curncy</stp>
        <stp>BID</stp>
        <stp>[DataSheet2.3.xlsm]GBP_DATA!R11C10</stp>
        <tr r="J11" s="58"/>
      </tp>
      <tp>
        <v>0.22500000000000001</v>
        <stp/>
        <stp>##V3_BDPV12</stp>
        <stp>CDSOF FMDR Curncy</stp>
        <stp>BID</stp>
        <stp>[DataSheet2.3.xlsm]GBP_DATA!R13C10</stp>
        <tr r="J13" s="58"/>
      </tp>
      <tp>
        <v>0.224</v>
        <stp/>
        <stp>##V3_BDPV12</stp>
        <stp>CDSOI FMDR Curncy</stp>
        <stp>BID</stp>
        <stp>[DataSheet2.3.xlsm]GBP_DATA!R14C10</stp>
        <tr r="J14" s="58"/>
      </tp>
      <tp>
        <v>-0.4</v>
        <stp/>
        <stp>##V3_BDPV12</stp>
        <stp>HKDON ICHK Curncy</stp>
        <stp>BID</stp>
        <stp>[DataSheet2.2.xlsm]HKD_DATA!R8C49</stp>
        <tr r="AW8" s="52"/>
      </tp>
      <tp>
        <v>-0.3</v>
        <stp/>
        <stp>##V3_BDPV12</stp>
        <stp>HKDTN ICHK Curncy</stp>
        <stp>BID</stp>
        <stp>[DataSheet2.2.xlsm]HKD_DATA!R9C49</stp>
        <tr r="AW9" s="52"/>
      </tp>
      <tp>
        <v>0.21</v>
        <stp/>
        <stp>##V3_BDPV12</stp>
        <stp>HDSOA TRHK Curncy</stp>
        <stp>ASK</stp>
        <stp>[DataSheet2.2.xlsm]HKD_DATA!R8C11</stp>
        <tr r="K8" s="52"/>
      </tp>
      <tp>
        <v>-44.62</v>
        <stp/>
        <stp>##V3_BDPV12</stp>
        <stp>JPY8M MTRT Curncy</stp>
        <stp>LAST_PRICE</stp>
        <stp>[DataSheet2.3.xlsm]JPY_DATA!R20C49</stp>
        <tr r="AW20" s="46"/>
      </tp>
      <tp>
        <v>-49.27</v>
        <stp/>
        <stp>##V3_BDPV12</stp>
        <stp>JPY9M MTRT Curncy</stp>
        <stp>LAST_PRICE</stp>
        <stp>[DataSheet2.3.xlsm]JPY_DATA!R21C49</stp>
        <tr r="AW21" s="46"/>
      </tp>
      <tp>
        <v>-5.18</v>
        <stp/>
        <stp>##V3_BDPV12</stp>
        <stp>JPY1M MTRT Curncy</stp>
        <stp>LAST_PRICE</stp>
        <stp>[DataSheet2.3.xlsm]JPY_DATA!R13C49</stp>
        <tr r="AW13" s="46"/>
      </tp>
      <tp>
        <v>-26.1</v>
        <stp/>
        <stp>##V3_BDPV12</stp>
        <stp>JPY4M MTRT Curncy</stp>
        <stp>LAST_PRICE</stp>
        <stp>[DataSheet2.3.xlsm]JPY_DATA!R16C49</stp>
        <tr r="AW16" s="46"/>
      </tp>
      <tp>
        <v>-30.43</v>
        <stp/>
        <stp>##V3_BDPV12</stp>
        <stp>JPY5M MTRT Curncy</stp>
        <stp>LAST_PRICE</stp>
        <stp>[DataSheet2.3.xlsm]JPY_DATA!R17C49</stp>
        <tr r="AW17" s="46"/>
      </tp>
      <tp>
        <v>-9.07</v>
        <stp/>
        <stp>##V3_BDPV12</stp>
        <stp>JPY2M MTRT Curncy</stp>
        <stp>LAST_PRICE</stp>
        <stp>[DataSheet2.3.xlsm]JPY_DATA!R14C49</stp>
        <tr r="AW14" s="46"/>
      </tp>
      <tp>
        <v>-12.89</v>
        <stp/>
        <stp>##V3_BDPV12</stp>
        <stp>JPY3M MTRT Curncy</stp>
        <stp>LAST_PRICE</stp>
        <stp>[DataSheet2.3.xlsm]JPY_DATA!R15C49</stp>
        <tr r="AW15" s="46"/>
      </tp>
      <tp>
        <v>-34.24</v>
        <stp/>
        <stp>##V3_BDPV12</stp>
        <stp>JPY6M MTRT Curncy</stp>
        <stp>LAST_PRICE</stp>
        <stp>[DataSheet2.3.xlsm]JPY_DATA!R18C49</stp>
        <tr r="AW18" s="46"/>
      </tp>
      <tp>
        <v>-40.14</v>
        <stp/>
        <stp>##V3_BDPV12</stp>
        <stp>JPY7M MTRT Curncy</stp>
        <stp>LAST_PRICE</stp>
        <stp>[DataSheet2.3.xlsm]JPY_DATA!R19C49</stp>
        <tr r="AW19" s="46"/>
      </tp>
      <tp>
        <v>-0.2</v>
        <stp/>
        <stp>##V3_BDPV12</stp>
        <stp>PLNON ICPL Curncy</stp>
        <stp>BID</stp>
        <stp>[DataSheet2.2.xlsm]PLN_DATA!R8C49</stp>
        <tr r="AW8" s="12"/>
      </tp>
      <tp>
        <v>-0.2</v>
        <stp/>
        <stp>##V3_BDPV12</stp>
        <stp>PLNTN ICPL Curncy</stp>
        <stp>BID</stp>
        <stp>[DataSheet2.2.xlsm]PLN_DATA!R9C49</stp>
        <tr r="AW9" s="12"/>
      </tp>
      <tp>
        <v>0.99367000000000005</v>
        <stp/>
        <stp>##V3_BDPV12</stp>
        <stp>CKSW10 BGN Curncy</stp>
        <stp>BID</stp>
        <stp>[DataSheet2.2.xlsm]CZK_DATA!R26C18</stp>
        <tr r="R26" s="14"/>
      </tp>
      <tp>
        <v>1.16577</v>
        <stp/>
        <stp>##V3_BDPV12</stp>
        <stp>CKSW20 BGN Curncy</stp>
        <stp>BID</stp>
        <stp>[DataSheet2.2.xlsm]CZK_DATA!R29C18</stp>
        <tr r="R29" s="14"/>
      </tp>
      <tp>
        <v>-2E-3</v>
        <stp/>
        <stp>##V3_BDPV12</stp>
        <stp>CADON BGN Curncy</stp>
        <stp>ASK</stp>
        <stp>[DataSheet2.3.xlsm]GBP_DATA!R8C50</stp>
        <tr r="AX8" s="58"/>
      </tp>
      <tp>
        <v>1.2042299999999999</v>
        <stp/>
        <stp>##V3_BDPV12</stp>
        <stp>CKSW20 BGN Curncy</stp>
        <stp>ASK</stp>
        <stp>[DataSheet2.2.xlsm]CZK_DATA!R29C19</stp>
        <tr r="S29" s="14"/>
      </tp>
      <tp>
        <v>1.03633</v>
        <stp/>
        <stp>##V3_BDPV12</stp>
        <stp>CKSW10 BGN Curncy</stp>
        <stp>ASK</stp>
        <stp>[DataSheet2.2.xlsm]CZK_DATA!R26C19</stp>
        <tr r="S26" s="14"/>
      </tp>
      <tp>
        <v>0.23799999999999999</v>
        <stp/>
        <stp>##V3_BDPV12</stp>
        <stp>EURTN Curncy</stp>
        <stp>PX_LAST</stp>
        <stp>[DataSheet2.3.xlsm]EUR_DATA!R9C54</stp>
        <tr r="BB9" s="31"/>
      </tp>
      <tp>
        <v>-0.01</v>
        <stp/>
        <stp>##V3_BDPV12</stp>
        <stp>JPYON BGN Curncy</stp>
        <stp>ASK</stp>
        <stp>[DataSheet2.3.xlsm]JPY_DATA!R8C40</stp>
        <tr r="AN8" s="46"/>
      </tp>
      <tp>
        <v>18.88</v>
        <stp/>
        <stp>##V3_BDPV12</stp>
        <stp>TRYON BGN Curncy</stp>
        <stp>ASK</stp>
        <stp>[DataSheet2.2.xlsm]TRY_DATA!R8C50</stp>
        <tr r="AX8" s="10"/>
      </tp>
      <tp>
        <v>-2E-3</v>
        <stp/>
        <stp>##V3_BDPV12</stp>
        <stp>CADON BGN Curncy</stp>
        <stp>ASK</stp>
        <stp>[DataSheet2.3.xlsm]CAD_DATA!R8C50</stp>
        <tr r="AX8" s="48"/>
      </tp>
      <tp>
        <v>0.70499999999999996</v>
        <stp/>
        <stp>##V3_BDPV12</stp>
        <stp>CDOR06 Index</stp>
        <stp>PX_LAST</stp>
        <stp>[DataSheet2.3.xlsm]CAD_DATA!R10C20</stp>
        <tr r="T10" s="48"/>
      </tp>
      <tp>
        <v>3.931</v>
        <stp/>
        <stp>##V3_BDPV12</stp>
        <stp>IRSWOB FMDR Curncy</stp>
        <stp>ASK</stp>
        <stp>[DataSheet2.2.xlsm]INR_DATA!R9C11</stp>
        <tr r="K9" s="54"/>
      </tp>
      <tp>
        <v>0.09</v>
        <stp/>
        <stp>##V3_BDPV12</stp>
        <stp>ISSW1 ICPL Curncy</stp>
        <stp>ASK</stp>
        <stp>[DataSheet2.2.xlsm]ILS_DATA!R18C19</stp>
        <tr r="S18" s="17"/>
      </tp>
      <tp>
        <v>0.115</v>
        <stp/>
        <stp>##V3_BDPV12</stp>
        <stp>ISSW2 ICPL Curncy</stp>
        <stp>ASK</stp>
        <stp>[DataSheet2.2.xlsm]ILS_DATA!R19C19</stp>
        <tr r="S19" s="17"/>
      </tp>
      <tp>
        <v>0.16500000000000001</v>
        <stp/>
        <stp>##V3_BDPV12</stp>
        <stp>ISSW3 ICPL Curncy</stp>
        <stp>ASK</stp>
        <stp>[DataSheet2.2.xlsm]ILS_DATA!R20C19</stp>
        <tr r="S20" s="17"/>
      </tp>
      <tp>
        <v>0.46500000000000002</v>
        <stp/>
        <stp>##V3_BDPV12</stp>
        <stp>ISSW7 ICPL Curncy</stp>
        <stp>ASK</stp>
        <stp>[DataSheet2.2.xlsm]ILS_DATA!R24C19</stp>
        <tr r="S24" s="17"/>
      </tp>
      <tp>
        <v>0.22500000000000001</v>
        <stp/>
        <stp>##V3_BDPV12</stp>
        <stp>ISSW4 ICPL Curncy</stp>
        <stp>ASK</stp>
        <stp>[DataSheet2.2.xlsm]ILS_DATA!R21C19</stp>
        <tr r="S21" s="17"/>
      </tp>
      <tp>
        <v>0.38</v>
        <stp/>
        <stp>##V3_BDPV12</stp>
        <stp>ISSW6 ICPL Curncy</stp>
        <stp>ASK</stp>
        <stp>[DataSheet2.2.xlsm]ILS_DATA!R23C19</stp>
        <tr r="S23" s="17"/>
      </tp>
      <tp>
        <v>0.28999999999999998</v>
        <stp/>
        <stp>##V3_BDPV12</stp>
        <stp>ISSW5 ICPL Curncy</stp>
        <stp>ASK</stp>
        <stp>[DataSheet2.2.xlsm]ILS_DATA!R22C19</stp>
        <tr r="S22" s="17"/>
      </tp>
      <tp>
        <v>0.54</v>
        <stp/>
        <stp>##V3_BDPV12</stp>
        <stp>ISSW8 ICPL Curncy</stp>
        <stp>ASK</stp>
        <stp>[DataSheet2.2.xlsm]ILS_DATA!R25C19</stp>
        <tr r="S25" s="17"/>
      </tp>
      <tp>
        <v>0.61499999999999999</v>
        <stp/>
        <stp>##V3_BDPV12</stp>
        <stp>ISSW9 ICPL Curncy</stp>
        <stp>ASK</stp>
        <stp>[DataSheet2.2.xlsm]ILS_DATA!R26C19</stp>
        <tr r="S26" s="17"/>
      </tp>
      <tp>
        <v>0.57499999999999996</v>
        <stp/>
        <stp>##V3_BDPV12</stp>
        <stp>ISSW9 ICPL Curncy</stp>
        <stp>BID</stp>
        <stp>[DataSheet2.2.xlsm]ILS_DATA!R26C18</stp>
        <tr r="R26" s="17"/>
      </tp>
      <tp>
        <v>0.5</v>
        <stp/>
        <stp>##V3_BDPV12</stp>
        <stp>ISSW8 ICPL Curncy</stp>
        <stp>BID</stp>
        <stp>[DataSheet2.2.xlsm]ILS_DATA!R25C18</stp>
        <tr r="R25" s="17"/>
      </tp>
      <tp>
        <v>0.25</v>
        <stp/>
        <stp>##V3_BDPV12</stp>
        <stp>ISSW5 ICPL Curncy</stp>
        <stp>BID</stp>
        <stp>[DataSheet2.2.xlsm]ILS_DATA!R22C18</stp>
        <tr r="R22" s="17"/>
      </tp>
      <tp>
        <v>0.185</v>
        <stp/>
        <stp>##V3_BDPV12</stp>
        <stp>ISSW4 ICPL Curncy</stp>
        <stp>BID</stp>
        <stp>[DataSheet2.2.xlsm]ILS_DATA!R21C18</stp>
        <tr r="R21" s="17"/>
      </tp>
      <tp>
        <v>0.34</v>
        <stp/>
        <stp>##V3_BDPV12</stp>
        <stp>ISSW6 ICPL Curncy</stp>
        <stp>BID</stp>
        <stp>[DataSheet2.2.xlsm]ILS_DATA!R23C18</stp>
        <tr r="R23" s="17"/>
      </tp>
      <tp>
        <v>0.125</v>
        <stp/>
        <stp>##V3_BDPV12</stp>
        <stp>ISSW3 ICPL Curncy</stp>
        <stp>BID</stp>
        <stp>[DataSheet2.2.xlsm]ILS_DATA!R20C18</stp>
        <tr r="R20" s="17"/>
      </tp>
      <tp>
        <v>0.42499999999999999</v>
        <stp/>
        <stp>##V3_BDPV12</stp>
        <stp>ISSW7 ICPL Curncy</stp>
        <stp>BID</stp>
        <stp>[DataSheet2.2.xlsm]ILS_DATA!R24C18</stp>
        <tr r="R24" s="17"/>
      </tp>
      <tp>
        <v>7.4999999999999997E-2</v>
        <stp/>
        <stp>##V3_BDPV12</stp>
        <stp>ISSW2 ICPL Curncy</stp>
        <stp>BID</stp>
        <stp>[DataSheet2.2.xlsm]ILS_DATA!R19C18</stp>
        <tr r="R19" s="17"/>
      </tp>
      <tp>
        <v>0.05</v>
        <stp/>
        <stp>##V3_BDPV12</stp>
        <stp>ISSW1 ICPL Curncy</stp>
        <stp>BID</stp>
        <stp>[DataSheet2.2.xlsm]ILS_DATA!R18C18</stp>
        <tr r="R18" s="17"/>
      </tp>
      <tp>
        <v>1.49</v>
        <stp/>
        <stp>##V3_BDPV12</stp>
        <stp>SRSW4 GMGM Curncy</stp>
        <stp>ASK</stp>
        <stp>[DataSheet2.2.xlsm]INR_DATA!R20C19</stp>
        <tr r="S20" s="54"/>
      </tp>
      <tp>
        <v>1.6850000000000001</v>
        <stp/>
        <stp>##V3_BDPV12</stp>
        <stp>SRSW5 GMGM Curncy</stp>
        <stp>ASK</stp>
        <stp>[DataSheet2.2.xlsm]INR_DATA!R21C19</stp>
        <tr r="S21" s="54"/>
      </tp>
      <tp>
        <v>1.875</v>
        <stp/>
        <stp>##V3_BDPV12</stp>
        <stp>SRSW6 GMGM Curncy</stp>
        <stp>ASK</stp>
        <stp>[DataSheet2.2.xlsm]INR_DATA!R22C19</stp>
        <tr r="S22" s="54"/>
      </tp>
      <tp>
        <v>2.0390000000000001</v>
        <stp/>
        <stp>##V3_BDPV12</stp>
        <stp>SRSW7 GMGM Curncy</stp>
        <stp>ASK</stp>
        <stp>[DataSheet2.2.xlsm]INR_DATA!R23C19</stp>
        <tr r="S23" s="54"/>
      </tp>
      <tp>
        <v>1.115</v>
        <stp/>
        <stp>##V3_BDPV12</stp>
        <stp>SRSW2 GMGM Curncy</stp>
        <stp>ASK</stp>
        <stp>[DataSheet2.2.xlsm]INR_DATA!R18C19</stp>
        <tr r="S18" s="54"/>
      </tp>
      <tp>
        <v>1.306</v>
        <stp/>
        <stp>##V3_BDPV12</stp>
        <stp>SRSW3 GMGM Curncy</stp>
        <stp>ASK</stp>
        <stp>[DataSheet2.2.xlsm]INR_DATA!R19C19</stp>
        <tr r="S19" s="54"/>
      </tp>
      <tp>
        <v>0.95899999999999996</v>
        <stp/>
        <stp>##V3_BDPV12</stp>
        <stp>SRSW1 GMGM Curncy</stp>
        <stp>ASK</stp>
        <stp>[DataSheet2.2.xlsm]INR_DATA!R17C19</stp>
        <tr r="S17" s="54"/>
      </tp>
      <tp>
        <v>-8</v>
        <stp/>
        <stp>##V3_BDPV12</stp>
        <stp>HDBSF ICHK Curncy</stp>
        <stp>ASK</stp>
        <stp>[DataSheet2.2.xlsm]HKD_DATA!R7C42</stp>
        <tr r="AP7" s="52"/>
      </tp>
      <tp>
        <v>-17</v>
        <stp/>
        <stp>##V3_BDPV12</stp>
        <stp>HDBSI ICHK Curncy</stp>
        <stp>BID</stp>
        <stp>[DataSheet2.2.xlsm]HKD_DATA!R8C41</stp>
        <tr r="AO8" s="52"/>
      </tp>
      <tp>
        <v>0.89900000000000002</v>
        <stp/>
        <stp>##V3_BDPV12</stp>
        <stp>SRSW1 GMGM Curncy</stp>
        <stp>BID</stp>
        <stp>[DataSheet2.2.xlsm]INR_DATA!R17C18</stp>
        <tr r="R17" s="54"/>
      </tp>
      <tp>
        <v>1.0549999999999999</v>
        <stp/>
        <stp>##V3_BDPV12</stp>
        <stp>SRSW2 GMGM Curncy</stp>
        <stp>BID</stp>
        <stp>[DataSheet2.2.xlsm]INR_DATA!R18C18</stp>
        <tr r="R18" s="54"/>
      </tp>
      <tp>
        <v>1.246</v>
        <stp/>
        <stp>##V3_BDPV12</stp>
        <stp>SRSW3 GMGM Curncy</stp>
        <stp>BID</stp>
        <stp>[DataSheet2.2.xlsm]INR_DATA!R19C18</stp>
        <tr r="R19" s="54"/>
      </tp>
      <tp>
        <v>1.43</v>
        <stp/>
        <stp>##V3_BDPV12</stp>
        <stp>SRSW4 GMGM Curncy</stp>
        <stp>BID</stp>
        <stp>[DataSheet2.2.xlsm]INR_DATA!R20C18</stp>
        <tr r="R20" s="54"/>
      </tp>
      <tp>
        <v>1.625</v>
        <stp/>
        <stp>##V3_BDPV12</stp>
        <stp>SRSW5 GMGM Curncy</stp>
        <stp>BID</stp>
        <stp>[DataSheet2.2.xlsm]INR_DATA!R21C18</stp>
        <tr r="R21" s="54"/>
      </tp>
      <tp>
        <v>1.8149999999999999</v>
        <stp/>
        <stp>##V3_BDPV12</stp>
        <stp>SRSW6 GMGM Curncy</stp>
        <stp>BID</stp>
        <stp>[DataSheet2.2.xlsm]INR_DATA!R22C18</stp>
        <tr r="R22" s="54"/>
      </tp>
      <tp>
        <v>1.9790000000000001</v>
        <stp/>
        <stp>##V3_BDPV12</stp>
        <stp>SRSW7 GMGM Curncy</stp>
        <stp>BID</stp>
        <stp>[DataSheet2.2.xlsm]INR_DATA!R23C18</stp>
        <tr r="R23" s="54"/>
      </tp>
      <tp>
        <v>-57</v>
        <stp/>
        <stp>##V3_BDPV12</stp>
        <stp>ISBS4 ICPL Curncy</stp>
        <stp>ASK</stp>
        <stp>[DataSheet2.2.xlsm]ILS_DATA!R10C42</stp>
        <tr r="AP10" s="17"/>
      </tp>
      <tp>
        <v>-57</v>
        <stp/>
        <stp>##V3_BDPV12</stp>
        <stp>ISBS5 ICPL Curncy</stp>
        <stp>ASK</stp>
        <stp>[DataSheet2.2.xlsm]ILS_DATA!R11C42</stp>
        <tr r="AP11" s="17"/>
      </tp>
      <tp>
        <v>-67</v>
        <stp/>
        <stp>##V3_BDPV12</stp>
        <stp>ISBS4 ICPL Curncy</stp>
        <stp>BID</stp>
        <stp>[DataSheet2.2.xlsm]ILS_DATA!R10C41</stp>
        <tr r="AO10" s="17"/>
      </tp>
      <tp>
        <v>-67</v>
        <stp/>
        <stp>##V3_BDPV12</stp>
        <stp>ISBS5 ICPL Curncy</stp>
        <stp>BID</stp>
        <stp>[DataSheet2.2.xlsm]ILS_DATA!R11C41</stp>
        <tr r="AO11" s="17"/>
      </tp>
      <tp>
        <v>5.3624999999999998</v>
        <stp/>
        <stp>##V3_BDPV12</stp>
        <stp>USDBRL Curncy</stp>
        <stp>PX_LAST</stp>
        <stp>[DataSheet2.3.xlsm]BRL_DATA!R7C51</stp>
        <tr r="AY7" s="59"/>
      </tp>
      <tp>
        <v>99.805000000000007</v>
        <stp/>
        <stp>##V3_BDPV12</stp>
        <stp>ED4 Comdty</stp>
        <stp>LAST_PRICE</stp>
        <stp>[DataSheet2.3.xlsm]USD_DATA!R14C17</stp>
        <tr r="Q14" s="6"/>
      </tp>
      <tp>
        <v>99.795000000000002</v>
        <stp/>
        <stp>##V3_BDPV12</stp>
        <stp>ED5 Comdty</stp>
        <stp>LAST_PRICE</stp>
        <stp>[DataSheet2.3.xlsm]USD_DATA!R15C17</stp>
        <tr r="Q15" s="6"/>
      </tp>
      <tp>
        <v>99.77</v>
        <stp/>
        <stp>##V3_BDPV12</stp>
        <stp>ED6 Comdty</stp>
        <stp>LAST_PRICE</stp>
        <stp>[DataSheet2.3.xlsm]USD_DATA!R16C17</stp>
        <tr r="Q16" s="6"/>
      </tp>
      <tp>
        <v>99.79</v>
        <stp/>
        <stp>##V3_BDPV12</stp>
        <stp>ED7 Comdty</stp>
        <stp>LAST_PRICE</stp>
        <stp>[DataSheet2.3.xlsm]USD_DATA!R17C17</stp>
        <tr r="Q17" s="6"/>
      </tp>
      <tp>
        <v>99.754999999999995</v>
        <stp/>
        <stp>##V3_BDPV12</stp>
        <stp>ED1 Comdty</stp>
        <stp>LAST_PRICE</stp>
        <stp>[DataSheet2.3.xlsm]USD_DATA!R11C17</stp>
        <tr r="Q11" s="6"/>
      </tp>
      <tp>
        <v>99.694999999999993</v>
        <stp/>
        <stp>##V3_BDPV12</stp>
        <stp>ED2 Comdty</stp>
        <stp>LAST_PRICE</stp>
        <stp>[DataSheet2.3.xlsm]USD_DATA!R12C17</stp>
        <tr r="Q12" s="6"/>
      </tp>
      <tp>
        <v>99.79</v>
        <stp/>
        <stp>##V3_BDPV12</stp>
        <stp>ED3 Comdty</stp>
        <stp>LAST_PRICE</stp>
        <stp>[DataSheet2.3.xlsm]USD_DATA!R13C17</stp>
        <tr r="Q13" s="6"/>
      </tp>
      <tp>
        <v>99.784999999999997</v>
        <stp/>
        <stp>##V3_BDPV12</stp>
        <stp>ED8 Comdty</stp>
        <stp>LAST_PRICE</stp>
        <stp>[DataSheet2.3.xlsm]USD_DATA!R18C17</stp>
        <tr r="Q18" s="6"/>
      </tp>
      <tp>
        <v>0.23699999999999999</v>
        <stp/>
        <stp>##V3_BDPV12</stp>
        <stp>CDSO1Z FMDR Curncy</stp>
        <stp>BID</stp>
        <stp>[DataSheet2.3.xlsm]GBP_DATA!R8C10</stp>
        <tr r="J8" s="58"/>
      </tp>
      <tp>
        <v>0.13</v>
        <stp/>
        <stp>##V3_BDPV12</stp>
        <stp>CKSO1Z FMDR Curncy</stp>
        <stp>ASK</stp>
        <stp>[DataSheet2.2.xlsm]CZK_DATA!R8C11</stp>
        <tr r="K8" s="14"/>
      </tp>
      <tp>
        <v>0.23699999999999999</v>
        <stp/>
        <stp>##V3_BDPV12</stp>
        <stp>CDSO1Z FMDR Curncy</stp>
        <stp>BID</stp>
        <stp>[DataSheet2.3.xlsm]CAD_DATA!R8C10</stp>
        <tr r="J8" s="48"/>
      </tp>
      <tp>
        <v>73.64</v>
        <stp/>
        <stp>##V3_BDPV12</stp>
        <stp>IRN+1W CMPN Curncy</stp>
        <stp>ASK</stp>
        <stp>[DataSheet2.2.xlsm]INR_DATA!R9C50</stp>
        <tr r="AX9" s="54"/>
      </tp>
      <tp>
        <v>1.1760999999999999</v>
        <stp/>
        <stp>##V3_BDPV12</stp>
        <stp>EUR Curncy</stp>
        <stp>ASK</stp>
        <stp>[DataSheet2.3.xlsm]EUR_DATA!R7C53</stp>
        <tr r="BA7" s="31"/>
      </tp>
      <tp>
        <v>0.93420000000000003</v>
        <stp/>
        <stp>##V3_BDPV12</stp>
        <stp>CDSW8 BGN Curncy</stp>
        <stp>LAST_PRICE</stp>
        <stp>[DataSheet2.3.xlsm]GBP_DATA!R21C20</stp>
        <tr r="T21" s="58"/>
      </tp>
      <tp>
        <v>0.98980000000000001</v>
        <stp/>
        <stp>##V3_BDPV12</stp>
        <stp>CDSW9 BGN Curncy</stp>
        <stp>LAST_PRICE</stp>
        <stp>[DataSheet2.3.xlsm]GBP_DATA!R22C20</stp>
        <tr r="T22" s="58"/>
      </tp>
      <tp>
        <v>-2.4</v>
        <stp/>
        <stp>##V3_BDPV12</stp>
        <stp>CZK1M CMPN Curncy</stp>
        <stp>ASK</stp>
        <stp>[DataSheet2.2.xlsm]CZK_DATA!R13C50</stp>
        <tr r="AX13" s="14"/>
      </tp>
      <tp>
        <v>-100</v>
        <stp/>
        <stp>##V3_BDPV12</stp>
        <stp>CZK2Y CMPN Curncy</stp>
        <stp>ASK</stp>
        <stp>[DataSheet2.2.xlsm]CZK_DATA!R26C50</stp>
        <tr r="AX26" s="14"/>
      </tp>
      <tp>
        <v>-0.3</v>
        <stp/>
        <stp>##V3_BDPV12</stp>
        <stp>CZK1W CMPN Curncy</stp>
        <stp>ASK</stp>
        <stp>[DataSheet2.2.xlsm]CZK_DATA!R11C50</stp>
        <tr r="AX11" s="14"/>
      </tp>
      <tp>
        <v>-94</v>
        <stp/>
        <stp>##V3_BDPV12</stp>
        <stp>CZK3Y CMPN Curncy</stp>
        <stp>ASK</stp>
        <stp>[DataSheet2.2.xlsm]CZK_DATA!R27C50</stp>
        <tr r="AX27" s="14"/>
      </tp>
      <tp>
        <v>-8.1999999999999993</v>
        <stp/>
        <stp>##V3_BDPV12</stp>
        <stp>CZK3M CMPN Curncy</stp>
        <stp>ASK</stp>
        <stp>[DataSheet2.2.xlsm]CZK_DATA!R15C50</stp>
        <tr r="AX15" s="14"/>
      </tp>
      <tp>
        <v>-5.9</v>
        <stp/>
        <stp>##V3_BDPV12</stp>
        <stp>CZK2M CMPN Curncy</stp>
        <stp>ASK</stp>
        <stp>[DataSheet2.2.xlsm]CZK_DATA!R14C50</stp>
        <tr r="AX14" s="14"/>
      </tp>
      <tp>
        <v>-0.5</v>
        <stp/>
        <stp>##V3_BDPV12</stp>
        <stp>CZK2W CMPN Curncy</stp>
        <stp>ASK</stp>
        <stp>[DataSheet2.2.xlsm]CZK_DATA!R12C50</stp>
        <tr r="AX12" s="14"/>
      </tp>
      <tp>
        <v>-32.5</v>
        <stp/>
        <stp>##V3_BDPV12</stp>
        <stp>CZK5M CMPN Curncy</stp>
        <stp>ASK</stp>
        <stp>[DataSheet2.2.xlsm]CZK_DATA!R17C50</stp>
        <tr r="AX17" s="14"/>
      </tp>
      <tp>
        <v>-30</v>
        <stp/>
        <stp>##V3_BDPV12</stp>
        <stp>CZK4M CMPN Curncy</stp>
        <stp>ASK</stp>
        <stp>[DataSheet2.2.xlsm]CZK_DATA!R16C50</stp>
        <tr r="AX16" s="14"/>
      </tp>
      <tp>
        <v>-36.74</v>
        <stp/>
        <stp>##V3_BDPV12</stp>
        <stp>CZK7M CMPN Curncy</stp>
        <stp>ASK</stp>
        <stp>[DataSheet2.2.xlsm]CZK_DATA!R19C50</stp>
        <tr r="AX19" s="14"/>
      </tp>
      <tp>
        <v>61.4</v>
        <stp/>
        <stp>##V3_BDPV12</stp>
        <stp>CZK4Y CMPN Curncy</stp>
        <stp>ASK</stp>
        <stp>[DataSheet2.2.xlsm]CZK_DATA!R28C50</stp>
        <tr r="AX28" s="14"/>
      </tp>
      <tp>
        <v>-37.200000000000003</v>
        <stp/>
        <stp>##V3_BDPV12</stp>
        <stp>CZK6M CMPN Curncy</stp>
        <stp>ASK</stp>
        <stp>[DataSheet2.2.xlsm]CZK_DATA!R18C50</stp>
        <tr r="AX18" s="14"/>
      </tp>
      <tp>
        <v>-73</v>
        <stp/>
        <stp>##V3_BDPV12</stp>
        <stp>CZK5Y CMPN Curncy</stp>
        <stp>ASK</stp>
        <stp>[DataSheet2.2.xlsm]CZK_DATA!R29C50</stp>
        <tr r="AX29" s="14"/>
      </tp>
      <tp>
        <v>-38.32</v>
        <stp/>
        <stp>##V3_BDPV12</stp>
        <stp>CZK8M CMPN Curncy</stp>
        <stp>ASK</stp>
        <stp>[DataSheet2.2.xlsm]CZK_DATA!R20C50</stp>
        <tr r="AX20" s="14"/>
      </tp>
      <tp>
        <v>-46.3</v>
        <stp/>
        <stp>##V3_BDPV12</stp>
        <stp>CZK9M CMPN Curncy</stp>
        <stp>ASK</stp>
        <stp>[DataSheet2.2.xlsm]CZK_DATA!R21C50</stp>
        <tr r="AX21" s="14"/>
      </tp>
      <tp>
        <v>0.08</v>
        <stp/>
        <stp>##V3_BDPV12</stp>
        <stp>CZKSN CMPN Curncy</stp>
        <stp>ASK</stp>
        <stp>[DataSheet2.2.xlsm]CZK_DATA!R10C50</stp>
        <tr r="AX10" s="14"/>
      </tp>
      <tp>
        <v>-10.6</v>
        <stp/>
        <stp>##V3_BDPV12</stp>
        <stp>CZK2M CMPN Curncy</stp>
        <stp>BID</stp>
        <stp>[DataSheet2.2.xlsm]CZK_DATA!R14C49</stp>
        <tr r="AW14" s="14"/>
      </tp>
      <tp>
        <v>-2.1</v>
        <stp/>
        <stp>##V3_BDPV12</stp>
        <stp>CZK2W CMPN Curncy</stp>
        <stp>BID</stp>
        <stp>[DataSheet2.2.xlsm]CZK_DATA!R12C49</stp>
        <tr r="AW12" s="14"/>
      </tp>
      <tp>
        <v>-15.6</v>
        <stp/>
        <stp>##V3_BDPV12</stp>
        <stp>CZK3M CMPN Curncy</stp>
        <stp>BID</stp>
        <stp>[DataSheet2.2.xlsm]CZK_DATA!R15C49</stp>
        <tr r="AW15" s="14"/>
      </tp>
      <tp>
        <v>-145</v>
        <stp/>
        <stp>##V3_BDPV12</stp>
        <stp>CZK3Y CMPN Curncy</stp>
        <stp>BID</stp>
        <stp>[DataSheet2.2.xlsm]CZK_DATA!R27C49</stp>
        <tr r="AW27" s="14"/>
      </tp>
      <tp>
        <v>-6.5</v>
        <stp/>
        <stp>##V3_BDPV12</stp>
        <stp>CZK1M CMPN Curncy</stp>
        <stp>BID</stp>
        <stp>[DataSheet2.2.xlsm]CZK_DATA!R13C49</stp>
        <tr r="AW13" s="14"/>
      </tp>
      <tp>
        <v>-0.9</v>
        <stp/>
        <stp>##V3_BDPV12</stp>
        <stp>CZK1W CMPN Curncy</stp>
        <stp>BID</stp>
        <stp>[DataSheet2.2.xlsm]CZK_DATA!R11C49</stp>
        <tr r="AW11" s="14"/>
      </tp>
      <tp>
        <v>-141</v>
        <stp/>
        <stp>##V3_BDPV12</stp>
        <stp>CZK2Y CMPN Curncy</stp>
        <stp>BID</stp>
        <stp>[DataSheet2.2.xlsm]CZK_DATA!R26C49</stp>
        <tr r="AW26" s="14"/>
      </tp>
      <tp>
        <v>-54.3</v>
        <stp/>
        <stp>##V3_BDPV12</stp>
        <stp>CZK6M CMPN Curncy</stp>
        <stp>BID</stp>
        <stp>[DataSheet2.2.xlsm]CZK_DATA!R18C49</stp>
        <tr r="AW18" s="14"/>
      </tp>
      <tp>
        <v>-144</v>
        <stp/>
        <stp>##V3_BDPV12</stp>
        <stp>CZK5Y CMPN Curncy</stp>
        <stp>BID</stp>
        <stp>[DataSheet2.2.xlsm]CZK_DATA!R29C49</stp>
        <tr r="AW29" s="14"/>
      </tp>
      <tp>
        <v>-56.96</v>
        <stp/>
        <stp>##V3_BDPV12</stp>
        <stp>CZK7M CMPN Curncy</stp>
        <stp>BID</stp>
        <stp>[DataSheet2.2.xlsm]CZK_DATA!R19C49</stp>
        <tr r="AW19" s="14"/>
      </tp>
      <tp>
        <v>-238.6</v>
        <stp/>
        <stp>##V3_BDPV12</stp>
        <stp>CZK4Y CMPN Curncy</stp>
        <stp>BID</stp>
        <stp>[DataSheet2.2.xlsm]CZK_DATA!R28C49</stp>
        <tr r="AW28" s="14"/>
      </tp>
      <tp>
        <v>-45</v>
        <stp/>
        <stp>##V3_BDPV12</stp>
        <stp>CZK4M CMPN Curncy</stp>
        <stp>BID</stp>
        <stp>[DataSheet2.2.xlsm]CZK_DATA!R16C49</stp>
        <tr r="AW16" s="14"/>
      </tp>
      <tp>
        <v>-47.5</v>
        <stp/>
        <stp>##V3_BDPV12</stp>
        <stp>CZK5M CMPN Curncy</stp>
        <stp>BID</stp>
        <stp>[DataSheet2.2.xlsm]CZK_DATA!R17C49</stp>
        <tr r="AW17" s="14"/>
      </tp>
      <tp>
        <v>-73.599999999999994</v>
        <stp/>
        <stp>##V3_BDPV12</stp>
        <stp>CZK9M CMPN Curncy</stp>
        <stp>BID</stp>
        <stp>[DataSheet2.2.xlsm]CZK_DATA!R21C49</stp>
        <tr r="AW21" s="14"/>
      </tp>
      <tp>
        <v>-63.26</v>
        <stp/>
        <stp>##V3_BDPV12</stp>
        <stp>CZK8M CMPN Curncy</stp>
        <stp>BID</stp>
        <stp>[DataSheet2.2.xlsm]CZK_DATA!R20C49</stp>
        <tr r="AW20" s="14"/>
      </tp>
      <tp>
        <v>0.57086999999999999</v>
        <stp/>
        <stp>##V3_BDPV12</stp>
        <stp>HDSWI CMPN Curncy</stp>
        <stp>LAST_PRICE</stp>
        <stp>[DataSheet2.2.xlsm]HKD_DATA!R15C20</stp>
        <tr r="T15" s="52"/>
      </tp>
      <tp>
        <v>-0.28000000000000003</v>
        <stp/>
        <stp>##V3_BDPV12</stp>
        <stp>CZKSN CMPN Curncy</stp>
        <stp>BID</stp>
        <stp>[DataSheet2.2.xlsm]CZK_DATA!R10C49</stp>
        <tr r="AW10" s="14"/>
      </tp>
      <tp>
        <v>-0.2</v>
        <stp/>
        <stp>##V3_BDPV12</stp>
        <stp>AEDON GMGM Curncy</stp>
        <stp>BID</stp>
        <stp>[DataSheet2.2.xlsm]AED_DATA!R8C49</stp>
        <tr r="AW8" s="18"/>
      </tp>
      <tp>
        <v>-0.5</v>
        <stp/>
        <stp>##V3_BDPV12</stp>
        <stp>AEDTN GMGM Curncy</stp>
        <stp>BID</stp>
        <stp>[DataSheet2.2.xlsm]AED_DATA!R9C49</stp>
        <tr r="AW9" s="18"/>
      </tp>
      <tp>
        <v>0.54300000000000004</v>
        <stp/>
        <stp>##V3_BDPV12</stp>
        <stp>CDSW2 BGN Curncy</stp>
        <stp>LAST_PRICE</stp>
        <stp>[DataSheet2.3.xlsm]GBP_DATA!R15C20</stp>
        <tr r="T15" s="58"/>
      </tp>
      <tp>
        <v>0.60270000000000001</v>
        <stp/>
        <stp>##V3_BDPV12</stp>
        <stp>CDSW3 BGN Curncy</stp>
        <stp>LAST_PRICE</stp>
        <stp>[DataSheet2.3.xlsm]GBP_DATA!R16C20</stp>
        <tr r="T16" s="58"/>
      </tp>
      <tp>
        <v>0.51100000000000001</v>
        <stp/>
        <stp>##V3_BDPV12</stp>
        <stp>CDSW1 BGN Curncy</stp>
        <stp>LAST_PRICE</stp>
        <stp>[DataSheet2.3.xlsm]GBP_DATA!R14C20</stp>
        <tr r="T14" s="58"/>
      </tp>
      <tp>
        <v>0.50829999999999997</v>
        <stp/>
        <stp>##V3_BDPV12</stp>
        <stp>CDSWI CMPN Curncy</stp>
        <stp>LAST_PRICE</stp>
        <stp>[DataSheet2.3.xlsm]CAD_DATA!R13C20</stp>
        <tr r="T13" s="48"/>
      </tp>
      <tp>
        <v>2.08</v>
        <stp/>
        <stp>##V3_BDPV12</stp>
        <stp>RNSW3 CCMK Curncy</stp>
        <stp>ASK</stp>
        <stp>[DataSheet2.2.xlsm]RON_DATA!R14C19</stp>
        <tr r="S14" s="16"/>
      </tp>
      <tp>
        <v>2.0499999999999998</v>
        <stp/>
        <stp>##V3_BDPV12</stp>
        <stp>RNSW1 CCMK Curncy</stp>
        <stp>ASK</stp>
        <stp>[DataSheet2.2.xlsm]RON_DATA!R12C19</stp>
        <tr r="S12" s="16"/>
      </tp>
      <tp>
        <v>2.09</v>
        <stp/>
        <stp>##V3_BDPV12</stp>
        <stp>RNSW5 CCMK Curncy</stp>
        <stp>ASK</stp>
        <stp>[DataSheet2.2.xlsm]RON_DATA!R16C19</stp>
        <tr r="S16" s="16"/>
      </tp>
      <tp>
        <v>2.09</v>
        <stp/>
        <stp>##V3_BDPV12</stp>
        <stp>RNSW2 CCMK Curncy</stp>
        <stp>ASK</stp>
        <stp>[DataSheet2.2.xlsm]RON_DATA!R13C19</stp>
        <tr r="S13" s="16"/>
      </tp>
      <tp>
        <v>2.08</v>
        <stp/>
        <stp>##V3_BDPV12</stp>
        <stp>RNSW4 CCMK Curncy</stp>
        <stp>ASK</stp>
        <stp>[DataSheet2.2.xlsm]RON_DATA!R15C19</stp>
        <tr r="S15" s="16"/>
      </tp>
      <tp>
        <v>2.11</v>
        <stp/>
        <stp>##V3_BDPV12</stp>
        <stp>RNSW6 CCMK Curncy</stp>
        <stp>ASK</stp>
        <stp>[DataSheet2.2.xlsm]RON_DATA!R17C19</stp>
        <tr r="S17" s="16"/>
      </tp>
      <tp>
        <v>2.15</v>
        <stp/>
        <stp>##V3_BDPV12</stp>
        <stp>RNSW8 CCMK Curncy</stp>
        <stp>ASK</stp>
        <stp>[DataSheet2.2.xlsm]RON_DATA!R19C19</stp>
        <tr r="S19" s="16"/>
      </tp>
      <tp>
        <v>2.13</v>
        <stp/>
        <stp>##V3_BDPV12</stp>
        <stp>RNSW7 CCMK Curncy</stp>
        <stp>ASK</stp>
        <stp>[DataSheet2.2.xlsm]RON_DATA!R18C19</stp>
        <tr r="S18" s="16"/>
      </tp>
      <tp>
        <v>2.1800000000000002</v>
        <stp/>
        <stp>##V3_BDPV12</stp>
        <stp>RNSW9 CCMK Curncy</stp>
        <stp>ASK</stp>
        <stp>[DataSheet2.2.xlsm]RON_DATA!R20C19</stp>
        <tr r="S20" s="16"/>
      </tp>
      <tp>
        <v>0.87529999999999997</v>
        <stp/>
        <stp>##V3_BDPV12</stp>
        <stp>CDSW7 BGN Curncy</stp>
        <stp>LAST_PRICE</stp>
        <stp>[DataSheet2.3.xlsm]GBP_DATA!R20C20</stp>
        <tr r="T20" s="58"/>
      </tp>
      <tp>
        <v>0.67549999999999999</v>
        <stp/>
        <stp>##V3_BDPV12</stp>
        <stp>CDSW4 BGN Curncy</stp>
        <stp>LAST_PRICE</stp>
        <stp>[DataSheet2.3.xlsm]GBP_DATA!R17C20</stp>
        <tr r="T17" s="58"/>
      </tp>
      <tp>
        <v>0.74729999999999996</v>
        <stp/>
        <stp>##V3_BDPV12</stp>
        <stp>CDSW5 BGN Curncy</stp>
        <stp>LAST_PRICE</stp>
        <stp>[DataSheet2.3.xlsm]GBP_DATA!R18C20</stp>
        <tr r="T18" s="58"/>
      </tp>
      <tp>
        <v>1.78</v>
        <stp/>
        <stp>##V3_BDPV12</stp>
        <stp>RNSW9 CCMK Curncy</stp>
        <stp>BID</stp>
        <stp>[DataSheet2.2.xlsm]RON_DATA!R20C18</stp>
        <tr r="R20" s="16"/>
      </tp>
      <tp>
        <v>1.73</v>
        <stp/>
        <stp>##V3_BDPV12</stp>
        <stp>RNSW7 CCMK Curncy</stp>
        <stp>BID</stp>
        <stp>[DataSheet2.2.xlsm]RON_DATA!R18C18</stp>
        <tr r="R18" s="16"/>
      </tp>
      <tp>
        <v>1.69</v>
        <stp/>
        <stp>##V3_BDPV12</stp>
        <stp>RNSW2 CCMK Curncy</stp>
        <stp>BID</stp>
        <stp>[DataSheet2.2.xlsm]RON_DATA!R13C18</stp>
        <tr r="R13" s="16"/>
      </tp>
      <tp>
        <v>1.68</v>
        <stp/>
        <stp>##V3_BDPV12</stp>
        <stp>RNSW4 CCMK Curncy</stp>
        <stp>BID</stp>
        <stp>[DataSheet2.2.xlsm]RON_DATA!R15C18</stp>
        <tr r="R15" s="16"/>
      </tp>
      <tp>
        <v>1.71</v>
        <stp/>
        <stp>##V3_BDPV12</stp>
        <stp>RNSW6 CCMK Curncy</stp>
        <stp>BID</stp>
        <stp>[DataSheet2.2.xlsm]RON_DATA!R17C18</stp>
        <tr r="R17" s="16"/>
      </tp>
      <tp>
        <v>1.75</v>
        <stp/>
        <stp>##V3_BDPV12</stp>
        <stp>RNSW8 CCMK Curncy</stp>
        <stp>BID</stp>
        <stp>[DataSheet2.2.xlsm]RON_DATA!R19C18</stp>
        <tr r="R19" s="16"/>
      </tp>
      <tp>
        <v>1.65</v>
        <stp/>
        <stp>##V3_BDPV12</stp>
        <stp>RNSW1 CCMK Curncy</stp>
        <stp>BID</stp>
        <stp>[DataSheet2.2.xlsm]RON_DATA!R12C18</stp>
        <tr r="R12" s="16"/>
      </tp>
      <tp>
        <v>1.69</v>
        <stp/>
        <stp>##V3_BDPV12</stp>
        <stp>RNSW5 CCMK Curncy</stp>
        <stp>BID</stp>
        <stp>[DataSheet2.2.xlsm]RON_DATA!R16C18</stp>
        <tr r="R16" s="16"/>
      </tp>
      <tp>
        <v>1.68</v>
        <stp/>
        <stp>##V3_BDPV12</stp>
        <stp>RNSW3 CCMK Curncy</stp>
        <stp>BID</stp>
        <stp>[DataSheet2.2.xlsm]RON_DATA!R14C18</stp>
        <tr r="R14" s="16"/>
      </tp>
      <tp>
        <v>19</v>
        <stp/>
        <stp>##V3_BDPV12</stp>
        <stp>ZARON GFSN Curncy</stp>
        <stp>ASK</stp>
        <stp>[DataSheet2.2.xlsm]ZAR_DATA!R8C55</stp>
        <tr r="BC8" s="8"/>
      </tp>
      <tp>
        <v>22</v>
        <stp/>
        <stp>##V3_BDPV12</stp>
        <stp>ZARTN GFSN Curncy</stp>
        <stp>ASK</stp>
        <stp>[DataSheet2.2.xlsm]ZAR_DATA!R9C55</stp>
        <tr r="BC9" s="8"/>
      </tp>
      <tp>
        <v>-32</v>
        <stp/>
        <stp>##V3_BDPV12</stp>
        <stp>SABS8 ICPL Curncy</stp>
        <stp>ASK</stp>
        <stp>[DataSheet2.2.xlsm]ZAR_DATA!R14C42</stp>
        <tr r="AP14" s="8"/>
      </tp>
      <tp>
        <v>-36</v>
        <stp/>
        <stp>##V3_BDPV12</stp>
        <stp>SABS9 ICPL Curncy</stp>
        <stp>ASK</stp>
        <stp>[DataSheet2.2.xlsm]ZAR_DATA!R15C42</stp>
        <tr r="AP15" s="8"/>
      </tp>
      <tp>
        <v>-3.5</v>
        <stp/>
        <stp>##V3_BDPV12</stp>
        <stp>SABS4 ICPL Curncy</stp>
        <stp>ASK</stp>
        <stp>[DataSheet2.2.xlsm]ZAR_DATA!R10C42</stp>
        <tr r="AP10" s="8"/>
      </tp>
      <tp>
        <v>-12.5</v>
        <stp/>
        <stp>##V3_BDPV12</stp>
        <stp>SABS5 ICPL Curncy</stp>
        <stp>ASK</stp>
        <stp>[DataSheet2.2.xlsm]ZAR_DATA!R11C42</stp>
        <tr r="AP11" s="8"/>
      </tp>
      <tp>
        <v>-20.5</v>
        <stp/>
        <stp>##V3_BDPV12</stp>
        <stp>SABS6 ICPL Curncy</stp>
        <stp>ASK</stp>
        <stp>[DataSheet2.2.xlsm]ZAR_DATA!R12C42</stp>
        <tr r="AP12" s="8"/>
      </tp>
      <tp>
        <v>-27</v>
        <stp/>
        <stp>##V3_BDPV12</stp>
        <stp>SABS7 ICPL Curncy</stp>
        <stp>ASK</stp>
        <stp>[DataSheet2.2.xlsm]ZAR_DATA!R13C42</stp>
        <tr r="AP13" s="8"/>
      </tp>
      <tp>
        <v>0.875</v>
        <stp/>
        <stp>##V3_BDPV12</stp>
        <stp>UDSW3 BGN Curncy</stp>
        <stp>LAST_PRICE</stp>
        <stp>[DataSheet2.3.xlsm]GBP_DATA!R19C20</stp>
        <tr r="T19" s="58"/>
      </tp>
      <tp>
        <v>-13.5</v>
        <stp/>
        <stp>##V3_BDPV12</stp>
        <stp>SABS4 ICPL Curncy</stp>
        <stp>BID</stp>
        <stp>[DataSheet2.2.xlsm]ZAR_DATA!R10C41</stp>
        <tr r="AO10" s="8"/>
      </tp>
      <tp>
        <v>-22.5</v>
        <stp/>
        <stp>##V3_BDPV12</stp>
        <stp>SABS5 ICPL Curncy</stp>
        <stp>BID</stp>
        <stp>[DataSheet2.2.xlsm]ZAR_DATA!R11C41</stp>
        <tr r="AO11" s="8"/>
      </tp>
      <tp>
        <v>-30.5</v>
        <stp/>
        <stp>##V3_BDPV12</stp>
        <stp>SABS6 ICPL Curncy</stp>
        <stp>BID</stp>
        <stp>[DataSheet2.2.xlsm]ZAR_DATA!R12C41</stp>
        <tr r="AO12" s="8"/>
      </tp>
      <tp>
        <v>-37</v>
        <stp/>
        <stp>##V3_BDPV12</stp>
        <stp>SABS7 ICPL Curncy</stp>
        <stp>BID</stp>
        <stp>[DataSheet2.2.xlsm]ZAR_DATA!R13C41</stp>
        <tr r="AO13" s="8"/>
      </tp>
      <tp>
        <v>-42</v>
        <stp/>
        <stp>##V3_BDPV12</stp>
        <stp>SABS8 ICPL Curncy</stp>
        <stp>BID</stp>
        <stp>[DataSheet2.2.xlsm]ZAR_DATA!R14C41</stp>
        <tr r="AO14" s="8"/>
      </tp>
      <tp>
        <v>-46</v>
        <stp/>
        <stp>##V3_BDPV12</stp>
        <stp>SABS9 ICPL Curncy</stp>
        <stp>BID</stp>
        <stp>[DataSheet2.2.xlsm]ZAR_DATA!R15C41</stp>
        <tr r="AO15" s="8"/>
      </tp>
      <tp>
        <v>1.0189900000000001</v>
        <stp/>
        <stp>##V3_BDPV12</stp>
        <stp>CKSW12 BGN Curncy</stp>
        <stp>BID</stp>
        <stp>[DataSheet2.2.xlsm]CZK_DATA!R27C18</stp>
        <tr r="R27" s="14"/>
      </tp>
      <tp>
        <v>1.06101</v>
        <stp/>
        <stp>##V3_BDPV12</stp>
        <stp>CKSW12 BGN Curncy</stp>
        <stp>ASK</stp>
        <stp>[DataSheet2.2.xlsm]CZK_DATA!R27C19</stp>
        <tr r="S27" s="14"/>
      </tp>
      <tp>
        <v>2.85</v>
        <stp/>
        <stp>##V3_BDPV12</stp>
        <stp>CGSWI TPRA Curncy</stp>
        <stp>LAST_PRICE</stp>
        <stp>[DataSheet2.3.xlsm]BRL_DATA!R13C20</stp>
        <tr r="T13" s="59"/>
      </tp>
      <tp>
        <v>3.6749999999999998</v>
        <stp/>
        <stp>##V3_BDPV12</stp>
        <stp>JIBA12M Index</stp>
        <stp>PX_LAST</stp>
        <stp>[DataSheet2.2.xlsm]ZAR_DATA!R10C20</stp>
        <tr r="T10" s="8"/>
      </tp>
      <tp>
        <v>9.75</v>
        <stp/>
        <stp>##V3_BDPV12</stp>
        <stp>HFEBS4 ICPL Curncy</stp>
        <stp>PX_LAST</stp>
        <stp>[DataSheet2.2.xlsm]HUF_DATA!R10C43</stp>
        <tr r="AQ10" s="15"/>
      </tp>
      <tp>
        <v>3.907</v>
        <stp/>
        <stp>##V3_BDPV12</stp>
        <stp>IRSWOA FMDR Curncy</stp>
        <stp>ASK</stp>
        <stp>[DataSheet2.2.xlsm]INR_DATA!R8C11</stp>
        <tr r="K8" s="54"/>
      </tp>
      <tp>
        <v>35</v>
        <stp/>
        <stp>##V3_BDPV12</stp>
        <stp>AED12M NBAD Curncy</stp>
        <stp>PX_LAST</stp>
        <stp>[DataSheet2.2.xlsm]AED_DATA!R29C51</stp>
        <tr r="AY29" s="18"/>
      </tp>
      <tp>
        <v>4055</v>
        <stp/>
        <stp>##V3_BDPV12</stp>
        <stp>ZAR8M GFSN Curncy</stp>
        <stp>BID</stp>
        <stp>[DataSheet2.2.xlsm]ZAR_DATA!R19C54</stp>
        <tr r="BB19" s="8"/>
      </tp>
      <tp>
        <v>4538</v>
        <stp/>
        <stp>##V3_BDPV12</stp>
        <stp>ZAR9M GFSN Curncy</stp>
        <stp>BID</stp>
        <stp>[DataSheet2.2.xlsm]ZAR_DATA!R20C54</stp>
        <tr r="BB20" s="8"/>
      </tp>
      <tp>
        <v>2647</v>
        <stp/>
        <stp>##V3_BDPV12</stp>
        <stp>ZAR5M GFSN Curncy</stp>
        <stp>BID</stp>
        <stp>[DataSheet2.2.xlsm]ZAR_DATA!R16C54</stp>
        <tr r="BB16" s="8"/>
      </tp>
      <tp>
        <v>2148.1</v>
        <stp/>
        <stp>##V3_BDPV12</stp>
        <stp>ZAR4M GFSN Curncy</stp>
        <stp>BID</stp>
        <stp>[DataSheet2.2.xlsm]ZAR_DATA!R15C54</stp>
        <tr r="BB15" s="8"/>
      </tp>
      <tp>
        <v>51268.4</v>
        <stp/>
        <stp>##V3_BDPV12</stp>
        <stp>ZAR5Y GFSN Curncy</stp>
        <stp>BID</stp>
        <stp>[DataSheet2.2.xlsm]ZAR_DATA!R30C54</stp>
        <tr r="BB30" s="8"/>
      </tp>
      <tp>
        <v>38308.400000000001</v>
        <stp/>
        <stp>##V3_BDPV12</stp>
        <stp>ZAR4Y GFSN Curncy</stp>
        <stp>BID</stp>
        <stp>[DataSheet2.2.xlsm]ZAR_DATA!R29C54</stp>
        <tr r="BB29" s="8"/>
      </tp>
      <tp>
        <v>3598.9</v>
        <stp/>
        <stp>##V3_BDPV12</stp>
        <stp>ZAR7M GFSN Curncy</stp>
        <stp>BID</stp>
        <stp>[DataSheet2.2.xlsm]ZAR_DATA!R18C54</stp>
        <tr r="BB18" s="8"/>
      </tp>
      <tp>
        <v>3098</v>
        <stp/>
        <stp>##V3_BDPV12</stp>
        <stp>ZAR6M GFSN Curncy</stp>
        <stp>BID</stp>
        <stp>[DataSheet2.2.xlsm]ZAR_DATA!R17C54</stp>
        <tr r="BB17" s="8"/>
      </tp>
      <tp>
        <v>12388.4</v>
        <stp/>
        <stp>##V3_BDPV12</stp>
        <stp>ZAR2Y GFSN Curncy</stp>
        <stp>BID</stp>
        <stp>[DataSheet2.2.xlsm]ZAR_DATA!R27C54</stp>
        <tr r="BB27" s="8"/>
      </tp>
      <tp>
        <v>138</v>
        <stp/>
        <stp>##V3_BDPV12</stp>
        <stp>ZAR1W GFSN Curncy</stp>
        <stp>BID</stp>
        <stp>[DataSheet2.2.xlsm]ZAR_DATA!R10C54</stp>
        <tr r="BB10" s="8"/>
      </tp>
      <tp>
        <v>612</v>
        <stp/>
        <stp>##V3_BDPV12</stp>
        <stp>ZAR1M GFSN Curncy</stp>
        <stp>BID</stp>
        <stp>[DataSheet2.2.xlsm]ZAR_DATA!R12C54</stp>
        <tr r="BB12" s="8"/>
      </tp>
      <tp>
        <v>25312.9</v>
        <stp/>
        <stp>##V3_BDPV12</stp>
        <stp>ZAR3Y GFSN Curncy</stp>
        <stp>BID</stp>
        <stp>[DataSheet2.2.xlsm]ZAR_DATA!R28C54</stp>
        <tr r="BB28" s="8"/>
      </tp>
      <tp>
        <v>1657</v>
        <stp/>
        <stp>##V3_BDPV12</stp>
        <stp>ZAR3M GFSN Curncy</stp>
        <stp>BID</stp>
        <stp>[DataSheet2.2.xlsm]ZAR_DATA!R14C54</stp>
        <tr r="BB14" s="8"/>
      </tp>
      <tp>
        <v>274</v>
        <stp/>
        <stp>##V3_BDPV12</stp>
        <stp>ZAR2W GFSN Curncy</stp>
        <stp>BID</stp>
        <stp>[DataSheet2.2.xlsm]ZAR_DATA!R11C54</stp>
        <tr r="BB11" s="8"/>
      </tp>
      <tp>
        <v>1140</v>
        <stp/>
        <stp>##V3_BDPV12</stp>
        <stp>ZAR2M GFSN Curncy</stp>
        <stp>BID</stp>
        <stp>[DataSheet2.2.xlsm]ZAR_DATA!R13C54</stp>
        <tr r="BB13" s="8"/>
      </tp>
      <tp>
        <v>3160</v>
        <stp/>
        <stp>##V3_BDPV12</stp>
        <stp>ZAR6M GFSN Curncy</stp>
        <stp>ASK</stp>
        <stp>[DataSheet2.2.xlsm]ZAR_DATA!R17C55</stp>
        <tr r="BC17" s="8"/>
      </tp>
      <tp>
        <v>41606.6</v>
        <stp/>
        <stp>##V3_BDPV12</stp>
        <stp>ZAR4Y GFSN Curncy</stp>
        <stp>ASK</stp>
        <stp>[DataSheet2.2.xlsm]ZAR_DATA!R29C55</stp>
        <tr r="BC29" s="8"/>
      </tp>
      <tp>
        <v>55719.3</v>
        <stp/>
        <stp>##V3_BDPV12</stp>
        <stp>ZAR5Y GFSN Curncy</stp>
        <stp>ASK</stp>
        <stp>[DataSheet2.2.xlsm]ZAR_DATA!R30C55</stp>
        <tr r="BC30" s="8"/>
      </tp>
      <tp>
        <v>3698.1</v>
        <stp/>
        <stp>##V3_BDPV12</stp>
        <stp>ZAR7M GFSN Curncy</stp>
        <stp>ASK</stp>
        <stp>[DataSheet2.2.xlsm]ZAR_DATA!R18C55</stp>
        <tr r="BC18" s="8"/>
      </tp>
      <tp>
        <v>2186.5</v>
        <stp/>
        <stp>##V3_BDPV12</stp>
        <stp>ZAR4M GFSN Curncy</stp>
        <stp>ASK</stp>
        <stp>[DataSheet2.2.xlsm]ZAR_DATA!R15C55</stp>
        <tr r="BC15" s="8"/>
      </tp>
      <tp>
        <v>2696.3</v>
        <stp/>
        <stp>##V3_BDPV12</stp>
        <stp>ZAR5M GFSN Curncy</stp>
        <stp>ASK</stp>
        <stp>[DataSheet2.2.xlsm]ZAR_DATA!R16C55</stp>
        <tr r="BC16" s="8"/>
      </tp>
      <tp>
        <v>280</v>
        <stp/>
        <stp>##V3_BDPV12</stp>
        <stp>ZAR2W GFSN Curncy</stp>
        <stp>ASK</stp>
        <stp>[DataSheet2.2.xlsm]ZAR_DATA!R11C55</stp>
        <tr r="BC11" s="8"/>
      </tp>
      <tp>
        <v>1161</v>
        <stp/>
        <stp>##V3_BDPV12</stp>
        <stp>ZAR2M GFSN Curncy</stp>
        <stp>ASK</stp>
        <stp>[DataSheet2.2.xlsm]ZAR_DATA!R13C55</stp>
        <tr r="BC13" s="8"/>
      </tp>
      <tp>
        <v>1664</v>
        <stp/>
        <stp>##V3_BDPV12</stp>
        <stp>ZAR3M GFSN Curncy</stp>
        <stp>ASK</stp>
        <stp>[DataSheet2.2.xlsm]ZAR_DATA!R14C55</stp>
        <tr r="BC14" s="8"/>
      </tp>
      <tp>
        <v>27455.3</v>
        <stp/>
        <stp>##V3_BDPV12</stp>
        <stp>ZAR3Y GFSN Curncy</stp>
        <stp>ASK</stp>
        <stp>[DataSheet2.2.xlsm]ZAR_DATA!R28C55</stp>
        <tr r="BC28" s="8"/>
      </tp>
      <tp>
        <v>143</v>
        <stp/>
        <stp>##V3_BDPV12</stp>
        <stp>ZAR1W GFSN Curncy</stp>
        <stp>ASK</stp>
        <stp>[DataSheet2.2.xlsm]ZAR_DATA!R10C55</stp>
        <tr r="BC10" s="8"/>
      </tp>
      <tp>
        <v>13381.3</v>
        <stp/>
        <stp>##V3_BDPV12</stp>
        <stp>ZAR2Y GFSN Curncy</stp>
        <stp>ASK</stp>
        <stp>[DataSheet2.2.xlsm]ZAR_DATA!R27C55</stp>
        <tr r="BC27" s="8"/>
      </tp>
      <tp>
        <v>622</v>
        <stp/>
        <stp>##V3_BDPV12</stp>
        <stp>ZAR1M GFSN Curncy</stp>
        <stp>ASK</stp>
        <stp>[DataSheet2.2.xlsm]ZAR_DATA!R12C55</stp>
        <tr r="BC12" s="8"/>
      </tp>
      <tp>
        <v>4629</v>
        <stp/>
        <stp>##V3_BDPV12</stp>
        <stp>ZAR9M GFSN Curncy</stp>
        <stp>ASK</stp>
        <stp>[DataSheet2.2.xlsm]ZAR_DATA!R20C55</stp>
        <tr r="BC20" s="8"/>
      </tp>
      <tp>
        <v>4167.7</v>
        <stp/>
        <stp>##V3_BDPV12</stp>
        <stp>ZAR8M GFSN Curncy</stp>
        <stp>ASK</stp>
        <stp>[DataSheet2.2.xlsm]ZAR_DATA!R19C55</stp>
        <tr r="BC19" s="8"/>
      </tp>
      <tp>
        <v>0.22700000000000001</v>
        <stp/>
        <stp>##V3_BDPV12</stp>
        <stp>CDSO1 FMDR Curncy</stp>
        <stp>BID</stp>
        <stp>[DataSheet2.3.xlsm]CAD_DATA!R15C10</stp>
        <tr r="J15" s="48"/>
      </tp>
      <tp>
        <v>0.23</v>
        <stp/>
        <stp>##V3_BDPV12</stp>
        <stp>CDSOA FMDR Curncy</stp>
        <stp>BID</stp>
        <stp>[DataSheet2.3.xlsm]CAD_DATA!R10C10</stp>
        <tr r="J10" s="48"/>
      </tp>
      <tp>
        <v>0.22800000000000001</v>
        <stp/>
        <stp>##V3_BDPV12</stp>
        <stp>CDSOC FMDR Curncy</stp>
        <stp>BID</stp>
        <stp>[DataSheet2.3.xlsm]CAD_DATA!R12C10</stp>
        <tr r="J12" s="48"/>
      </tp>
      <tp>
        <v>0.22900000000000001</v>
        <stp/>
        <stp>##V3_BDPV12</stp>
        <stp>CDSOB FMDR Curncy</stp>
        <stp>BID</stp>
        <stp>[DataSheet2.3.xlsm]CAD_DATA!R11C10</stp>
        <tr r="J11" s="48"/>
      </tp>
      <tp>
        <v>0.22500000000000001</v>
        <stp/>
        <stp>##V3_BDPV12</stp>
        <stp>CDSOF FMDR Curncy</stp>
        <stp>BID</stp>
        <stp>[DataSheet2.3.xlsm]CAD_DATA!R13C10</stp>
        <tr r="J13" s="48"/>
      </tp>
      <tp>
        <v>0.224</v>
        <stp/>
        <stp>##V3_BDPV12</stp>
        <stp>CDSOI FMDR Curncy</stp>
        <stp>BID</stp>
        <stp>[DataSheet2.3.xlsm]CAD_DATA!R14C10</stp>
        <tr r="J14" s="48"/>
      </tp>
      <tp>
        <v>0.247</v>
        <stp/>
        <stp>##V3_BDPV12</stp>
        <stp>CDSO1 FMDR Curncy</stp>
        <stp>ASK</stp>
        <stp>[DataSheet2.3.xlsm]CAD_DATA!R15C11</stp>
        <tr r="K15" s="48"/>
      </tp>
      <tp>
        <v>0.24399999999999999</v>
        <stp/>
        <stp>##V3_BDPV12</stp>
        <stp>CDSOI FMDR Curncy</stp>
        <stp>ASK</stp>
        <stp>[DataSheet2.3.xlsm]CAD_DATA!R14C11</stp>
        <tr r="K14" s="48"/>
      </tp>
      <tp>
        <v>0.245</v>
        <stp/>
        <stp>##V3_BDPV12</stp>
        <stp>CDSOF FMDR Curncy</stp>
        <stp>ASK</stp>
        <stp>[DataSheet2.3.xlsm]CAD_DATA!R13C11</stp>
        <tr r="K13" s="48"/>
      </tp>
      <tp>
        <v>0.249</v>
        <stp/>
        <stp>##V3_BDPV12</stp>
        <stp>CDSOB FMDR Curncy</stp>
        <stp>ASK</stp>
        <stp>[DataSheet2.3.xlsm]CAD_DATA!R11C11</stp>
        <tr r="K11" s="48"/>
      </tp>
      <tp>
        <v>0.25</v>
        <stp/>
        <stp>##V3_BDPV12</stp>
        <stp>CDSOA FMDR Curncy</stp>
        <stp>ASK</stp>
        <stp>[DataSheet2.3.xlsm]CAD_DATA!R10C11</stp>
        <tr r="K10" s="48"/>
      </tp>
      <tp>
        <v>0.248</v>
        <stp/>
        <stp>##V3_BDPV12</stp>
        <stp>CDSOC FMDR Curncy</stp>
        <stp>ASK</stp>
        <stp>[DataSheet2.3.xlsm]CAD_DATA!R12C11</stp>
        <tr r="K12" s="48"/>
      </tp>
      <tp>
        <v>8.5330000000000003E-2</v>
        <stp/>
        <stp>##V3_BDPV12</stp>
        <stp>JY0012M Index</stp>
        <stp>PX_LAST</stp>
        <stp>[DataSheet2.3.xlsm]JPY_DATA!R10C32</stp>
        <tr r="AF10" s="46"/>
      </tp>
      <tp>
        <v>-20</v>
        <stp/>
        <stp>##V3_BDPV12</stp>
        <stp>HDBBI TPRA Curncy</stp>
        <stp>LAST_PRICE</stp>
        <stp>[DataSheet2.2.xlsm]HKD_DATA!R12C25</stp>
        <tr r="Y12" s="52"/>
      </tp>
      <tp>
        <v>2.85</v>
        <stp/>
        <stp>##V3_BDPV12</stp>
        <stp>CGSWI TPRA Curncy</stp>
        <stp>LAST_PRICE</stp>
        <stp>[DataSheet2.3.xlsm]CNH_DATA!R13C20</stp>
        <tr r="T13" s="50"/>
      </tp>
      <tp>
        <v>-101</v>
        <stp/>
        <stp>##V3_BDPV12</stp>
        <stp>RRBS4 TRPU Curncy</stp>
        <stp>ASK</stp>
        <stp>[DataSheet2.2.xlsm]RUB_DATA!R10C42</stp>
        <tr r="AP10" s="4"/>
      </tp>
      <tp>
        <v>-117</v>
        <stp/>
        <stp>##V3_BDPV12</stp>
        <stp>RRBS5 TRPU Curncy</stp>
        <stp>ASK</stp>
        <stp>[DataSheet2.2.xlsm]RUB_DATA!R11C42</stp>
        <tr r="AP11" s="4"/>
      </tp>
      <tp>
        <v>-133</v>
        <stp/>
        <stp>##V3_BDPV12</stp>
        <stp>RRBS6 TRPU Curncy</stp>
        <stp>ASK</stp>
        <stp>[DataSheet2.2.xlsm]RUB_DATA!R12C42</stp>
        <tr r="AP12" s="4"/>
      </tp>
      <tp>
        <v>-148</v>
        <stp/>
        <stp>##V3_BDPV12</stp>
        <stp>RRBS7 TRPU Curncy</stp>
        <stp>ASK</stp>
        <stp>[DataSheet2.2.xlsm]RUB_DATA!R13C42</stp>
        <tr r="AP13" s="4"/>
      </tp>
      <tp>
        <v>-111</v>
        <stp/>
        <stp>##V3_BDPV12</stp>
        <stp>RRBS4 TRPU Curncy</stp>
        <stp>BID</stp>
        <stp>[DataSheet2.2.xlsm]RUB_DATA!R10C41</stp>
        <tr r="AO10" s="4"/>
      </tp>
      <tp>
        <v>-127</v>
        <stp/>
        <stp>##V3_BDPV12</stp>
        <stp>RRBS5 TRPU Curncy</stp>
        <stp>BID</stp>
        <stp>[DataSheet2.2.xlsm]RUB_DATA!R11C41</stp>
        <tr r="AO11" s="4"/>
      </tp>
      <tp>
        <v>-143</v>
        <stp/>
        <stp>##V3_BDPV12</stp>
        <stp>RRBS6 TRPU Curncy</stp>
        <stp>BID</stp>
        <stp>[DataSheet2.2.xlsm]RUB_DATA!R12C41</stp>
        <tr r="AO12" s="4"/>
      </tp>
      <tp>
        <v>-158</v>
        <stp/>
        <stp>##V3_BDPV12</stp>
        <stp>RRBS7 TRPU Curncy</stp>
        <stp>BID</stp>
        <stp>[DataSheet2.2.xlsm]RUB_DATA!R13C41</stp>
        <tr r="AO13" s="4"/>
      </tp>
      <tp>
        <v>-28.625</v>
        <stp/>
        <stp>##V3_BDPV12</stp>
        <stp>JYBSI MTRT Curncy</stp>
        <stp>LAST_PRICE</stp>
        <stp>[DataSheet2.3.xlsm]JPY_DATA!R24C49</stp>
        <tr r="AW24" s="46"/>
      </tp>
      <tp>
        <v>0.1225</v>
        <stp/>
        <stp>##V3_BDPV12</stp>
        <stp>EIBOON Index</stp>
        <stp>LAST_PRICE</stp>
        <stp>[DataSheet2.2.xlsm]AED_DATA!R7C30</stp>
        <tr r="AD7" s="18"/>
      </tp>
      <tp>
        <v>0.36249999999999999</v>
        <stp/>
        <stp>##V3_BDPV12</stp>
        <stp>EIBO3M Index</stp>
        <stp>LAST_PRICE</stp>
        <stp>[DataSheet2.2.xlsm]AED_DATA!R9C20</stp>
        <tr r="T9" s="18"/>
      </tp>
      <tp>
        <v>0.27517999999999998</v>
        <stp/>
        <stp>##V3_BDPV12</stp>
        <stp>EIBO1M Index</stp>
        <stp>LAST_PRICE</stp>
        <stp>[DataSheet2.2.xlsm]AED_DATA!R8C20</stp>
        <tr r="T8" s="18"/>
      </tp>
      <tp>
        <v>0.1225</v>
        <stp/>
        <stp>##V3_BDPV12</stp>
        <stp>EIBOON Index</stp>
        <stp>LAST_PRICE</stp>
        <stp>[DataSheet2.2.xlsm]AED_DATA!R7C20</stp>
        <tr r="T7" s="18"/>
      </tp>
      <tp>
        <v>0.2</v>
        <stp/>
        <stp>##V3_BDPV12</stp>
        <stp>WIBR1M Index</stp>
        <stp>LAST_PRICE</stp>
        <stp>[DataSheet2.2.xlsm]PLN_DATA!R8C20</stp>
        <tr r="T8" s="12"/>
      </tp>
      <tp>
        <v>0.23</v>
        <stp/>
        <stp>##V3_BDPV12</stp>
        <stp>WIBR3M Index</stp>
        <stp>LAST_PRICE</stp>
        <stp>[DataSheet2.2.xlsm]PLN_DATA!R9C20</stp>
        <tr r="T9" s="12"/>
      </tp>
      <tp>
        <v>0.09</v>
        <stp/>
        <stp>##V3_BDPV12</stp>
        <stp>WIBRON Index</stp>
        <stp>LAST_PRICE</stp>
        <stp>[DataSheet2.2.xlsm]PLN_DATA!R7C20</stp>
        <tr r="T7" s="12"/>
      </tp>
      <tp t="s">
        <v>#N/A N/A</v>
        <stp/>
        <stp>##V3_BDPV12</stp>
        <stp>BCNSN BGN Curncy</stp>
        <stp>ASK</stp>
        <stp>[DataSheet2.3.xlsm]BRL_DATA!R8C50</stp>
        <tr r="AX8" s="59"/>
      </tp>
      <tp>
        <v>3.9980000000000002</v>
        <stp/>
        <stp>##V3_BDPV12</stp>
        <stp>IRSWOI FMDR Curncy</stp>
        <stp>LAST_PRICE</stp>
        <stp>[DataSheet2.2.xlsm]INR_DATA!R12C12</stp>
        <tr r="L12" s="54"/>
      </tp>
      <tp>
        <v>13.0923</v>
        <stp/>
        <stp>##V3_BDPV12</stp>
        <stp>TYSO6 BGN Curncy</stp>
        <stp>ASK</stp>
        <stp>[DataSheet2.2.xlsm]TRY_DATA!R20C11</stp>
        <tr r="K20" s="10"/>
      </tp>
      <tp>
        <v>12.8277</v>
        <stp/>
        <stp>##V3_BDPV12</stp>
        <stp>TYSO6 BGN Curncy</stp>
        <stp>BID</stp>
        <stp>[DataSheet2.2.xlsm]TRY_DATA!R20C10</stp>
        <tr r="J20" s="10"/>
      </tp>
      <tp>
        <v>0.55189999999999995</v>
        <stp/>
        <stp>##V3_BDPV12</stp>
        <stp>CDSW2 BGN Curncy</stp>
        <stp>ASK</stp>
        <stp>[DataSheet2.3.xlsm]GBP_DATA!R15C19</stp>
        <tr r="S15" s="58"/>
      </tp>
      <tp>
        <v>0.53410000000000002</v>
        <stp/>
        <stp>##V3_BDPV12</stp>
        <stp>CDSW2 BGN Curncy</stp>
        <stp>BID</stp>
        <stp>[DataSheet2.3.xlsm]GBP_DATA!R15C18</stp>
        <tr r="R15" s="58"/>
      </tp>
      <tp>
        <v>0.84262000000000004</v>
        <stp/>
        <stp>##V3_BDPV12</stp>
        <stp>CKSW6 BGN Curncy</stp>
        <stp>BID</stp>
        <stp>[DataSheet2.2.xlsm]CZK_DATA!R22C18</stp>
        <tr r="R22" s="14"/>
      </tp>
      <tp>
        <v>0.88239000000000001</v>
        <stp/>
        <stp>##V3_BDPV12</stp>
        <stp>CKSW6 BGN Curncy</stp>
        <stp>ASK</stp>
        <stp>[DataSheet2.2.xlsm]CZK_DATA!R22C19</stp>
        <tr r="S22" s="14"/>
      </tp>
      <tp>
        <v>277</v>
        <stp/>
        <stp>##V3_BDPV12</stp>
        <stp>ZAR2W GFSN Curncy</stp>
        <stp>LAST_PRICE</stp>
        <stp>[DataSheet2.2.xlsm]ZAR_DATA!R11C56</stp>
        <tr r="BD11" s="8"/>
      </tp>
      <tp>
        <v>140.5</v>
        <stp/>
        <stp>##V3_BDPV12</stp>
        <stp>ZAR1W GFSN Curncy</stp>
        <stp>LAST_PRICE</stp>
        <stp>[DataSheet2.2.xlsm]ZAR_DATA!R10C56</stp>
        <tr r="BD10" s="8"/>
      </tp>
      <tp>
        <v>0.4</v>
        <stp/>
        <stp>##V3_BDPV12</stp>
        <stp>SARON GMGM Curncy</stp>
        <stp>ASK</stp>
        <stp>[DataSheet2.2.xlsm]SAR_DATA!R8C50</stp>
        <tr r="AX8" s="19"/>
      </tp>
      <tp>
        <v>0.5</v>
        <stp/>
        <stp>##V3_BDPV12</stp>
        <stp>SARTN GMGM Curncy</stp>
        <stp>ASK</stp>
        <stp>[DataSheet2.2.xlsm]SAR_DATA!R9C50</stp>
        <tr r="AX9" s="19"/>
      </tp>
      <tp>
        <v>0.02</v>
        <stp/>
        <stp>##V3_BDPV12</stp>
        <stp>PZSOF BLC3 Curncy</stp>
        <stp>LAST_PRICE</stp>
        <stp>[DataSheet2.2.xlsm]PLN_DATA!R13C12</stp>
        <tr r="L13" s="12"/>
      </tp>
      <tp>
        <v>12.231199999999999</v>
        <stp/>
        <stp>##V3_BDPV12</stp>
        <stp>TRLXB9M Index</stp>
        <stp>PX_LAST</stp>
        <stp>[DataSheet2.2.xlsm]TRY_DATA!R10C20</stp>
        <tr r="T10" s="10"/>
      </tp>
      <tp>
        <v>6.8487999999999998</v>
        <stp/>
        <stp>##V3_BDPV12</stp>
        <stp>USDCNH Curncy</stp>
        <stp>PX_LAST</stp>
        <stp>[DataSheet2.3.xlsm]CNH_DATA!R7C51</stp>
        <tr r="AY7" s="50"/>
      </tp>
      <tp>
        <v>12.886799999999999</v>
        <stp/>
        <stp>##V3_BDPV12</stp>
        <stp>TYSO7 BGN Curncy</stp>
        <stp>ASK</stp>
        <stp>[DataSheet2.2.xlsm]TRY_DATA!R21C11</stp>
        <tr r="K21" s="10"/>
      </tp>
      <tp>
        <v>12.6332</v>
        <stp/>
        <stp>##V3_BDPV12</stp>
        <stp>TYSO7 BGN Curncy</stp>
        <stp>BID</stp>
        <stp>[DataSheet2.2.xlsm]TRY_DATA!R21C10</stp>
        <tr r="J21" s="10"/>
      </tp>
      <tp>
        <v>0.86680000000000001</v>
        <stp/>
        <stp>##V3_BDPV12</stp>
        <stp>CDSW7 BGN Curncy</stp>
        <stp>BID</stp>
        <stp>[DataSheet2.3.xlsm]CAD_DATA!R20C18</stp>
        <tr r="R20" s="48"/>
      </tp>
      <tp>
        <v>0.61329999999999996</v>
        <stp/>
        <stp>##V3_BDPV12</stp>
        <stp>CDSW3 BGN Curncy</stp>
        <stp>ASK</stp>
        <stp>[DataSheet2.3.xlsm]GBP_DATA!R16C19</stp>
        <tr r="S16" s="58"/>
      </tp>
      <tp>
        <v>0.59209999999999996</v>
        <stp/>
        <stp>##V3_BDPV12</stp>
        <stp>CDSW3 BGN Curncy</stp>
        <stp>BID</stp>
        <stp>[DataSheet2.3.xlsm]GBP_DATA!R16C18</stp>
        <tr r="R16" s="58"/>
      </tp>
      <tp>
        <v>0.88380000000000003</v>
        <stp/>
        <stp>##V3_BDPV12</stp>
        <stp>CDSW7 BGN Curncy</stp>
        <stp>ASK</stp>
        <stp>[DataSheet2.3.xlsm]CAD_DATA!R20C19</stp>
        <tr r="S20" s="48"/>
      </tp>
      <tp>
        <v>0.89256999999999997</v>
        <stp/>
        <stp>##V3_BDPV12</stp>
        <stp>CKSW7 BGN Curncy</stp>
        <stp>BID</stp>
        <stp>[DataSheet2.2.xlsm]CZK_DATA!R23C18</stp>
        <tr r="R23" s="14"/>
      </tp>
      <tp>
        <v>0.93242999999999998</v>
        <stp/>
        <stp>##V3_BDPV12</stp>
        <stp>CKSW7 BGN Curncy</stp>
        <stp>ASK</stp>
        <stp>[DataSheet2.2.xlsm]CZK_DATA!R23C19</stp>
        <tr r="S23" s="14"/>
      </tp>
      <tp>
        <v>3.7149999999999999</v>
        <stp/>
        <stp>##V3_BDPV12</stp>
        <stp>EURRONTN CCMK Curncy</stp>
        <stp>PX_LAST</stp>
        <stp>[DataSheet2.2.xlsm]RON_DATA!R9C51</stp>
        <tr r="AY9" s="16"/>
      </tp>
      <tp>
        <v>3.65</v>
        <stp/>
        <stp>##V3_BDPV12</stp>
        <stp>EURRONON CCMK Curncy</stp>
        <stp>PX_LAST</stp>
        <stp>[DataSheet2.2.xlsm]RON_DATA!R8C51</stp>
        <tr r="AY8" s="16"/>
      </tp>
      <tp>
        <v>0.12</v>
        <stp/>
        <stp>##V3_BDPV12</stp>
        <stp>CKSOA FMDR Curncy</stp>
        <stp>LAST_PRICE</stp>
        <stp>[DataSheet2.2.xlsm]CZK_DATA!R10C12</stp>
        <tr r="L10" s="14"/>
      </tp>
      <tp>
        <v>41.5</v>
        <stp/>
        <stp>##V3_BDPV12</stp>
        <stp>HKD3M ICHK Curncy</stp>
        <stp>LAST_PRICE</stp>
        <stp>[DataSheet2.2.xlsm]HKD_DATA!R14C51</stp>
        <tr r="AY14" s="52"/>
      </tp>
      <tp>
        <v>12</v>
        <stp/>
        <stp>##V3_BDPV12</stp>
        <stp>HKD1M ICHK Curncy</stp>
        <stp>LAST_PRICE</stp>
        <stp>[DataSheet2.2.xlsm]HKD_DATA!R12C51</stp>
        <tr r="AY12" s="52"/>
      </tp>
      <tp>
        <v>70</v>
        <stp/>
        <stp>##V3_BDPV12</stp>
        <stp>HKD6M ICHK Curncy</stp>
        <stp>LAST_PRICE</stp>
        <stp>[DataSheet2.2.xlsm]HKD_DATA!R15C51</stp>
        <tr r="AY15" s="52"/>
      </tp>
      <tp>
        <v>31</v>
        <stp/>
        <stp>##V3_BDPV12</stp>
        <stp>HKD2M ICHK Curncy</stp>
        <stp>LAST_PRICE</stp>
        <stp>[DataSheet2.2.xlsm]HKD_DATA!R13C51</stp>
        <tr r="AY13" s="52"/>
      </tp>
      <tp>
        <v>110</v>
        <stp/>
        <stp>##V3_BDPV12</stp>
        <stp>HKD9M ICHK Curncy</stp>
        <stp>LAST_PRICE</stp>
        <stp>[DataSheet2.2.xlsm]HKD_DATA!R16C51</stp>
        <tr r="AY16" s="52"/>
      </tp>
      <tp>
        <v>0.24</v>
        <stp/>
        <stp>##V3_BDPV12</stp>
        <stp>CDSOA FMDR Curncy</stp>
        <stp>LAST_PRICE</stp>
        <stp>[DataSheet2.3.xlsm]CAD_DATA!R10C12</stp>
        <tr r="L10" s="48"/>
      </tp>
      <tp>
        <v>-0.77</v>
        <stp/>
        <stp>##V3_BDPV12</stp>
        <stp>JPY1W MTRT Curncy</stp>
        <stp>LAST_PRICE</stp>
        <stp>[DataSheet2.3.xlsm]JPY_DATA!R10C49</stp>
        <tr r="AW10" s="46"/>
      </tp>
      <tp>
        <v>-3.72</v>
        <stp/>
        <stp>##V3_BDPV12</stp>
        <stp>JPY3W MTRT Curncy</stp>
        <stp>LAST_PRICE</stp>
        <stp>[DataSheet2.3.xlsm]JPY_DATA!R12C49</stp>
        <tr r="AW12" s="46"/>
      </tp>
      <tp>
        <v>-1.55</v>
        <stp/>
        <stp>##V3_BDPV12</stp>
        <stp>JPY2W MTRT Curncy</stp>
        <stp>LAST_PRICE</stp>
        <stp>[DataSheet2.3.xlsm]JPY_DATA!R11C49</stp>
        <tr r="AW11" s="46"/>
      </tp>
      <tp>
        <v>0.21</v>
        <stp/>
        <stp>##V3_BDPV12</stp>
        <stp>PZSW1 TPRA Curncy</stp>
        <stp>ASK</stp>
        <stp>[DataSheet2.2.xlsm]PLN_DATA!R17C19</stp>
        <tr r="S17" s="12"/>
      </tp>
      <tp>
        <v>0.17</v>
        <stp/>
        <stp>##V3_BDPV12</stp>
        <stp>PZSW1 TPRA Curncy</stp>
        <stp>BID</stp>
        <stp>[DataSheet2.2.xlsm]PLN_DATA!R17C18</stp>
        <tr r="R17" s="12"/>
      </tp>
      <tp>
        <v>3.0295000000000001</v>
        <stp/>
        <stp>##V3_BDPV12</stp>
        <stp>HICNH6M Index</stp>
        <stp>PX_LAST</stp>
        <stp>[DataSheet2.3.xlsm]CNH_DATA!R10C20</stp>
        <tr r="T10" s="50"/>
      </tp>
      <tp>
        <v>0.43</v>
        <stp/>
        <stp>##V3_BDPV12</stp>
        <stp>EURCZKON CMPN Curncy</stp>
        <stp>PX_LAST</stp>
        <stp>[DataSheet2.2.xlsm]CZK_DATA!R32C51</stp>
        <tr r="AY32" s="14"/>
      </tp>
      <tp>
        <v>1.3</v>
        <stp/>
        <stp>##V3_BDPV12</stp>
        <stp>EURCZKSN CMPN Curncy</stp>
        <stp>PX_LAST</stp>
        <stp>[DataSheet2.2.xlsm]CZK_DATA!R34C51</stp>
        <tr r="AY34" s="14"/>
      </tp>
      <tp>
        <v>0.43</v>
        <stp/>
        <stp>##V3_BDPV12</stp>
        <stp>EURCZKTN CMPN Curncy</stp>
        <stp>PX_LAST</stp>
        <stp>[DataSheet2.2.xlsm]CZK_DATA!R33C51</stp>
        <tr r="AY33" s="14"/>
      </tp>
      <tp>
        <v>13.748699999999999</v>
        <stp/>
        <stp>##V3_BDPV12</stp>
        <stp>TYSO4 BGN Curncy</stp>
        <stp>ASK</stp>
        <stp>[DataSheet2.2.xlsm]TRY_DATA!R18C11</stp>
        <tr r="K18" s="10"/>
      </tp>
      <tp>
        <v>13.4513</v>
        <stp/>
        <stp>##V3_BDPV12</stp>
        <stp>TYSO4 BGN Curncy</stp>
        <stp>BID</stp>
        <stp>[DataSheet2.2.xlsm]TRY_DATA!R18C10</stp>
        <tr r="J18" s="10"/>
      </tp>
      <tp>
        <v>0.6694</v>
        <stp/>
        <stp>##V3_BDPV12</stp>
        <stp>CDSW4 BGN Curncy</stp>
        <stp>BID</stp>
        <stp>[DataSheet2.3.xlsm]CAD_DATA!R17C18</stp>
        <tr r="R17" s="48"/>
      </tp>
      <tp t="s">
        <v>USD.3M:BLOOMBERG DC 330056</v>
        <stp/>
        <stp>##V3_BCURVESTRIPV12</stp>
        <stp>[DataSheet2.3.xlsm]USD_CURVES!R1C44</stp>
        <stp>S23</stp>
        <tr r="AR1" s="3"/>
      </tp>
      <tp>
        <v>0.68159999999999998</v>
        <stp/>
        <stp>##V3_BDPV12</stp>
        <stp>CDSW4 BGN Curncy</stp>
        <stp>ASK</stp>
        <stp>[DataSheet2.3.xlsm]CAD_DATA!R17C19</stp>
        <tr r="S17" s="48"/>
      </tp>
      <tp>
        <v>3.6728999999999998</v>
        <stp/>
        <stp>##V3_BDPV12</stp>
        <stp>AED Curncy</stp>
        <stp>BID</stp>
        <stp>[DataSheet2.2.xlsm]AED_DATA!R7C49</stp>
        <tr r="AW7" s="18"/>
      </tp>
      <tp>
        <v>0.68781000000000003</v>
        <stp/>
        <stp>##V3_BDPV12</stp>
        <stp>CKSW4 BGN Curncy</stp>
        <stp>BID</stp>
        <stp>[DataSheet2.2.xlsm]CZK_DATA!R20C18</stp>
        <tr r="R20" s="14"/>
      </tp>
      <tp>
        <v>0.72719</v>
        <stp/>
        <stp>##V3_BDPV12</stp>
        <stp>CKSW4 BGN Curncy</stp>
        <stp>ASK</stp>
        <stp>[DataSheet2.2.xlsm]CZK_DATA!R20C19</stp>
        <tr r="S20" s="14"/>
      </tp>
      <tp>
        <v>1</v>
        <stp/>
        <stp>##V3_BDPV12</stp>
        <stp>UDSW4 GMGM Curncy</stp>
        <stp>BID</stp>
        <stp>[DataSheet2.2.xlsm]AED_DATA!R20C18</stp>
        <tr r="R20" s="18"/>
      </tp>
      <tp>
        <v>1.155</v>
        <stp/>
        <stp>##V3_BDPV12</stp>
        <stp>UDSW5 GMGM Curncy</stp>
        <stp>BID</stp>
        <stp>[DataSheet2.2.xlsm]AED_DATA!R21C18</stp>
        <tr r="R21" s="18"/>
      </tp>
      <tp>
        <v>1.2849999999999999</v>
        <stp/>
        <stp>##V3_BDPV12</stp>
        <stp>UDSW6 GMGM Curncy</stp>
        <stp>BID</stp>
        <stp>[DataSheet2.2.xlsm]AED_DATA!R22C18</stp>
        <tr r="R22" s="18"/>
      </tp>
      <tp>
        <v>1.419</v>
        <stp/>
        <stp>##V3_BDPV12</stp>
        <stp>UDSW7 GMGM Curncy</stp>
        <stp>BID</stp>
        <stp>[DataSheet2.2.xlsm]AED_DATA!R23C18</stp>
        <tr r="R23" s="18"/>
      </tp>
      <tp>
        <v>0.53900000000000003</v>
        <stp/>
        <stp>##V3_BDPV12</stp>
        <stp>UDSW1 GMGM Curncy</stp>
        <stp>BID</stp>
        <stp>[DataSheet2.2.xlsm]AED_DATA!R17C18</stp>
        <tr r="R17" s="18"/>
      </tp>
      <tp>
        <v>0.66500000000000004</v>
        <stp/>
        <stp>##V3_BDPV12</stp>
        <stp>UDSW2 GMGM Curncy</stp>
        <stp>BID</stp>
        <stp>[DataSheet2.2.xlsm]AED_DATA!R18C18</stp>
        <tr r="R18" s="18"/>
      </tp>
      <tp>
        <v>0.85599999999999998</v>
        <stp/>
        <stp>##V3_BDPV12</stp>
        <stp>UDSW3 GMGM Curncy</stp>
        <stp>BID</stp>
        <stp>[DataSheet2.2.xlsm]AED_DATA!R19C18</stp>
        <tr r="R19" s="18"/>
      </tp>
      <tp>
        <v>0.72499999999999998</v>
        <stp/>
        <stp>##V3_BDPV12</stp>
        <stp>UDSW2 GMGM Curncy</stp>
        <stp>ASK</stp>
        <stp>[DataSheet2.2.xlsm]AED_DATA!R18C19</stp>
        <tr r="S18" s="18"/>
      </tp>
      <tp>
        <v>0.91600000000000004</v>
        <stp/>
        <stp>##V3_BDPV12</stp>
        <stp>UDSW3 GMGM Curncy</stp>
        <stp>ASK</stp>
        <stp>[DataSheet2.2.xlsm]AED_DATA!R19C19</stp>
        <tr r="S19" s="18"/>
      </tp>
      <tp>
        <v>0.59899999999999998</v>
        <stp/>
        <stp>##V3_BDPV12</stp>
        <stp>UDSW1 GMGM Curncy</stp>
        <stp>ASK</stp>
        <stp>[DataSheet2.2.xlsm]AED_DATA!R17C19</stp>
        <tr r="S17" s="18"/>
      </tp>
      <tp>
        <v>1.06</v>
        <stp/>
        <stp>##V3_BDPV12</stp>
        <stp>UDSW4 GMGM Curncy</stp>
        <stp>ASK</stp>
        <stp>[DataSheet2.2.xlsm]AED_DATA!R20C19</stp>
        <tr r="S20" s="18"/>
      </tp>
      <tp>
        <v>1.216</v>
        <stp/>
        <stp>##V3_BDPV12</stp>
        <stp>UDSW5 GMGM Curncy</stp>
        <stp>ASK</stp>
        <stp>[DataSheet2.2.xlsm]AED_DATA!R21C19</stp>
        <tr r="S21" s="18"/>
      </tp>
      <tp>
        <v>1.345</v>
        <stp/>
        <stp>##V3_BDPV12</stp>
        <stp>UDSW6 GMGM Curncy</stp>
        <stp>ASK</stp>
        <stp>[DataSheet2.2.xlsm]AED_DATA!R22C19</stp>
        <tr r="S22" s="18"/>
      </tp>
      <tp>
        <v>1.4790000000000001</v>
        <stp/>
        <stp>##V3_BDPV12</stp>
        <stp>UDSW7 GMGM Curncy</stp>
        <stp>ASK</stp>
        <stp>[DataSheet2.2.xlsm]AED_DATA!R23C19</stp>
        <tr r="S23" s="18"/>
      </tp>
      <tp>
        <v>0.12</v>
        <stp/>
        <stp>##V3_BDPV12</stp>
        <stp>CKSOB FMDR Curncy</stp>
        <stp>LAST_PRICE</stp>
        <stp>[DataSheet2.2.xlsm]CZK_DATA!R11C12</stp>
        <tr r="L11" s="14"/>
      </tp>
      <tp>
        <v>-0.35</v>
        <stp/>
        <stp>##V3_BDPV12</stp>
        <stp>ILSTN ICPL Curncy</stp>
        <stp>BID</stp>
        <stp>[DataSheet2.2.xlsm]ILS_DATA!R9C49</stp>
        <tr r="AW9" s="17"/>
      </tp>
      <tp>
        <v>-0.35</v>
        <stp/>
        <stp>##V3_BDPV12</stp>
        <stp>ILSON ICPL Curncy</stp>
        <stp>BID</stp>
        <stp>[DataSheet2.2.xlsm]ILS_DATA!R8C49</stp>
        <tr r="AW8" s="17"/>
      </tp>
      <tp>
        <v>0.23499999999999999</v>
        <stp/>
        <stp>##V3_BDPV12</stp>
        <stp>CDSOF FMDR Curncy</stp>
        <stp>LAST_PRICE</stp>
        <stp>[DataSheet2.3.xlsm]GBP_DATA!R13C12</stp>
        <tr r="L13" s="58"/>
      </tp>
      <tp>
        <v>0.3</v>
        <stp/>
        <stp>##V3_BDPV12</stp>
        <stp>HKD1W ICHK Curncy</stp>
        <stp>ASK</stp>
        <stp>[DataSheet2.2.xlsm]HKD_DATA!R10C50</stp>
        <tr r="AX10" s="52"/>
      </tp>
      <tp>
        <v>13</v>
        <stp/>
        <stp>##V3_BDPV12</stp>
        <stp>HKD1M ICHK Curncy</stp>
        <stp>ASK</stp>
        <stp>[DataSheet2.2.xlsm]HKD_DATA!R12C50</stp>
        <tr r="AX12" s="52"/>
      </tp>
      <tp>
        <v>400</v>
        <stp/>
        <stp>##V3_BDPV12</stp>
        <stp>HKD2Y ICHK Curncy</stp>
        <stp>ASK</stp>
        <stp>[DataSheet2.2.xlsm]HKD_DATA!R18C50</stp>
        <tr r="AX18" s="52"/>
      </tp>
      <tp>
        <v>0.7</v>
        <stp/>
        <stp>##V3_BDPV12</stp>
        <stp>HKD2W ICHK Curncy</stp>
        <stp>ASK</stp>
        <stp>[DataSheet2.2.xlsm]HKD_DATA!R11C50</stp>
        <tr r="AX11" s="52"/>
      </tp>
      <tp>
        <v>33</v>
        <stp/>
        <stp>##V3_BDPV12</stp>
        <stp>HKD2M ICHK Curncy</stp>
        <stp>ASK</stp>
        <stp>[DataSheet2.2.xlsm]HKD_DATA!R13C50</stp>
        <tr r="AX13" s="52"/>
      </tp>
      <tp>
        <v>44</v>
        <stp/>
        <stp>##V3_BDPV12</stp>
        <stp>HKD3M ICHK Curncy</stp>
        <stp>ASK</stp>
        <stp>[DataSheet2.2.xlsm]HKD_DATA!R14C50</stp>
        <tr r="AX14" s="52"/>
      </tp>
      <tp>
        <v>75</v>
        <stp/>
        <stp>##V3_BDPV12</stp>
        <stp>HKD6M ICHK Curncy</stp>
        <stp>ASK</stp>
        <stp>[DataSheet2.2.xlsm]HKD_DATA!R15C50</stp>
        <tr r="AX15" s="52"/>
      </tp>
      <tp>
        <v>120</v>
        <stp/>
        <stp>##V3_BDPV12</stp>
        <stp>HKD9M ICHK Curncy</stp>
        <stp>ASK</stp>
        <stp>[DataSheet2.2.xlsm]HKD_DATA!R16C50</stp>
        <tr r="AX16" s="52"/>
      </tp>
      <tp>
        <v>39</v>
        <stp/>
        <stp>##V3_BDPV12</stp>
        <stp>HKD3M ICHK Curncy</stp>
        <stp>BID</stp>
        <stp>[DataSheet2.2.xlsm]HKD_DATA!R14C49</stp>
        <tr r="AW14" s="52"/>
      </tp>
      <tp>
        <v>-0.2</v>
        <stp/>
        <stp>##V3_BDPV12</stp>
        <stp>HKD2W ICHK Curncy</stp>
        <stp>BID</stp>
        <stp>[DataSheet2.2.xlsm]HKD_DATA!R11C49</stp>
        <tr r="AW11" s="52"/>
      </tp>
      <tp>
        <v>300</v>
        <stp/>
        <stp>##V3_BDPV12</stp>
        <stp>HKD2Y ICHK Curncy</stp>
        <stp>BID</stp>
        <stp>[DataSheet2.2.xlsm]HKD_DATA!R18C49</stp>
        <tr r="AW18" s="52"/>
      </tp>
      <tp>
        <v>29</v>
        <stp/>
        <stp>##V3_BDPV12</stp>
        <stp>HKD2M ICHK Curncy</stp>
        <stp>BID</stp>
        <stp>[DataSheet2.2.xlsm]HKD_DATA!R13C49</stp>
        <tr r="AW13" s="52"/>
      </tp>
      <tp>
        <v>-0.7</v>
        <stp/>
        <stp>##V3_BDPV12</stp>
        <stp>HKD1W ICHK Curncy</stp>
        <stp>BID</stp>
        <stp>[DataSheet2.2.xlsm]HKD_DATA!R10C49</stp>
        <tr r="AW10" s="52"/>
      </tp>
      <tp>
        <v>11</v>
        <stp/>
        <stp>##V3_BDPV12</stp>
        <stp>HKD1M ICHK Curncy</stp>
        <stp>BID</stp>
        <stp>[DataSheet2.2.xlsm]HKD_DATA!R12C49</stp>
        <tr r="AW12" s="52"/>
      </tp>
      <tp>
        <v>65</v>
        <stp/>
        <stp>##V3_BDPV12</stp>
        <stp>HKD6M ICHK Curncy</stp>
        <stp>BID</stp>
        <stp>[DataSheet2.2.xlsm]HKD_DATA!R15C49</stp>
        <tr r="AW15" s="52"/>
      </tp>
      <tp>
        <v>100</v>
        <stp/>
        <stp>##V3_BDPV12</stp>
        <stp>HKD9M ICHK Curncy</stp>
        <stp>BID</stp>
        <stp>[DataSheet2.2.xlsm]HKD_DATA!R16C49</stp>
        <tr r="AW16" s="52"/>
      </tp>
      <tp>
        <v>0.23899999999999999</v>
        <stp/>
        <stp>##V3_BDPV12</stp>
        <stp>CDSOB FMDR Curncy</stp>
        <stp>LAST_PRICE</stp>
        <stp>[DataSheet2.3.xlsm]CAD_DATA!R11C12</stp>
        <tr r="L11" s="48"/>
      </tp>
      <tp>
        <v>3.7841</v>
        <stp/>
        <stp>##V3_BDPV12</stp>
        <stp>USDPLN Curncy</stp>
        <stp>PX_LAST</stp>
        <stp>[DataSheet2.2.xlsm]PLN_DATA!R7C51</stp>
        <tr r="AY7" s="12"/>
      </tp>
      <tp>
        <v>3.0295000000000001</v>
        <stp/>
        <stp>##V3_BDPV12</stp>
        <stp>HICNH6M Index</stp>
        <stp>PX_LAST</stp>
        <stp>[DataSheet2.3.xlsm]BRL_DATA!R10C20</stp>
        <tr r="T10" s="59"/>
      </tp>
      <tp>
        <v>0.15</v>
        <stp/>
        <stp>##V3_BDPV12</stp>
        <stp>USDHUFTN BGN Curncy</stp>
        <stp>PX_LAST</stp>
        <stp>[DataSheet2.2.xlsm]HUF_DATA!R9C51</stp>
        <tr r="AY9" s="15"/>
      </tp>
      <tp>
        <v>26.375</v>
        <stp/>
        <stp>##V3_BDPV12</stp>
        <stp>EURRON1W CCMK Curncy</stp>
        <stp>PX_LAST</stp>
        <stp>[DataSheet2.2.xlsm]RON_DATA!R10C51</stp>
        <tr r="AY10" s="16"/>
      </tp>
      <tp>
        <v>54.62</v>
        <stp/>
        <stp>##V3_BDPV12</stp>
        <stp>EURRON2W CCMK Curncy</stp>
        <stp>PX_LAST</stp>
        <stp>[DataSheet2.2.xlsm]RON_DATA!R11C51</stp>
        <tr r="AY11" s="16"/>
      </tp>
      <tp>
        <v>13.3812</v>
        <stp/>
        <stp>##V3_BDPV12</stp>
        <stp>TYSO5 BGN Curncy</stp>
        <stp>ASK</stp>
        <stp>[DataSheet2.2.xlsm]TRY_DATA!R19C11</stp>
        <tr r="K19" s="10"/>
      </tp>
      <tp>
        <v>13.1188</v>
        <stp/>
        <stp>##V3_BDPV12</stp>
        <stp>TYSO5 BGN Curncy</stp>
        <stp>BID</stp>
        <stp>[DataSheet2.2.xlsm]TRY_DATA!R19C10</stp>
        <tr r="J19" s="10"/>
      </tp>
      <tp>
        <v>0.7399</v>
        <stp/>
        <stp>##V3_BDPV12</stp>
        <stp>CDSW5 BGN Curncy</stp>
        <stp>BID</stp>
        <stp>[DataSheet2.3.xlsm]CAD_DATA!R18C18</stp>
        <tr r="R18" s="48"/>
      </tp>
      <tp>
        <v>0.5181</v>
        <stp/>
        <stp>##V3_BDPV12</stp>
        <stp>CDSW1 BGN Curncy</stp>
        <stp>ASK</stp>
        <stp>[DataSheet2.3.xlsm]GBP_DATA!R14C19</stp>
        <tr r="S14" s="58"/>
      </tp>
      <tp>
        <v>0.50390000000000001</v>
        <stp/>
        <stp>##V3_BDPV12</stp>
        <stp>CDSW1 BGN Curncy</stp>
        <stp>BID</stp>
        <stp>[DataSheet2.3.xlsm]GBP_DATA!R14C18</stp>
        <tr r="R14" s="58"/>
      </tp>
      <tp>
        <v>0.75470000000000004</v>
        <stp/>
        <stp>##V3_BDPV12</stp>
        <stp>CDSW5 BGN Curncy</stp>
        <stp>ASK</stp>
        <stp>[DataSheet2.3.xlsm]CAD_DATA!R18C19</stp>
        <tr r="S18" s="48"/>
      </tp>
      <tp>
        <v>0.78495000000000004</v>
        <stp/>
        <stp>##V3_BDPV12</stp>
        <stp>CKSW5 BGN Curncy</stp>
        <stp>BID</stp>
        <stp>[DataSheet2.2.xlsm]CZK_DATA!R21C18</stp>
        <tr r="R21" s="14"/>
      </tp>
      <tp>
        <v>0.81505000000000005</v>
        <stp/>
        <stp>##V3_BDPV12</stp>
        <stp>CKSW5 BGN Curncy</stp>
        <stp>ASK</stp>
        <stp>[DataSheet2.2.xlsm]CZK_DATA!R21C19</stp>
        <tr r="S21" s="14"/>
      </tp>
      <tp>
        <v>0.50780000000000003</v>
        <stp/>
        <stp>##V3_BDPV12</stp>
        <stp>CDSWF CMPN Curncy</stp>
        <stp>BID</stp>
        <stp>[DataSheet2.3.xlsm]CAD_DATA!R12C18</stp>
        <tr r="R12" s="48"/>
      </tp>
      <tp>
        <v>0.505</v>
        <stp/>
        <stp>##V3_BDPV12</stp>
        <stp>CDSWC CMPN Curncy</stp>
        <stp>BID</stp>
        <stp>[DataSheet2.3.xlsm]CAD_DATA!R11C18</stp>
        <tr r="R11" s="48"/>
      </tp>
      <tp>
        <v>0.50829999999999997</v>
        <stp/>
        <stp>##V3_BDPV12</stp>
        <stp>CDSWI CMPN Curncy</stp>
        <stp>BID</stp>
        <stp>[DataSheet2.3.xlsm]CAD_DATA!R13C18</stp>
        <tr r="R13" s="48"/>
      </tp>
      <tp>
        <v>-0.23300000000000001</v>
        <stp/>
        <stp>##V3_BDPV12</stp>
        <stp>JPYON MTRT Curncy</stp>
        <stp>BID</stp>
        <stp>[DataSheet2.3.xlsm]JPY_DATA!R8C47</stp>
        <tr r="AU8" s="46"/>
      </tp>
      <tp>
        <v>-112</v>
        <stp/>
        <stp>##V3_BDPV12</stp>
        <stp>ILS6M ICPL Curncy</stp>
        <stp>ASK</stp>
        <stp>[DataSheet2.2.xlsm]ILS_DATA!R14C50</stp>
        <tr r="AX14" s="17"/>
      </tp>
      <tp>
        <v>-55</v>
        <stp/>
        <stp>##V3_BDPV12</stp>
        <stp>ILS3M ICPL Curncy</stp>
        <stp>ASK</stp>
        <stp>[DataSheet2.2.xlsm]ILS_DATA!R13C50</stp>
        <tr r="AX13" s="17"/>
      </tp>
      <tp>
        <v>-33</v>
        <stp/>
        <stp>##V3_BDPV12</stp>
        <stp>ILS2M ICPL Curncy</stp>
        <stp>ASK</stp>
        <stp>[DataSheet2.2.xlsm]ILS_DATA!R12C50</stp>
        <tr r="AX12" s="17"/>
      </tp>
      <tp>
        <v>-14</v>
        <stp/>
        <stp>##V3_BDPV12</stp>
        <stp>ILS1M ICPL Curncy</stp>
        <stp>ASK</stp>
        <stp>[DataSheet2.2.xlsm]ILS_DATA!R11C50</stp>
        <tr r="AX11" s="17"/>
      </tp>
      <tp>
        <v>-2.25</v>
        <stp/>
        <stp>##V3_BDPV12</stp>
        <stp>ILS1W ICPL Curncy</stp>
        <stp>ASK</stp>
        <stp>[DataSheet2.2.xlsm]ILS_DATA!R10C50</stp>
        <tr r="AX10" s="17"/>
      </tp>
      <tp>
        <v>-195</v>
        <stp/>
        <stp>##V3_BDPV12</stp>
        <stp>ILS9M ICPL Curncy</stp>
        <stp>ASK</stp>
        <stp>[DataSheet2.2.xlsm]ILS_DATA!R15C50</stp>
        <tr r="AX15" s="17"/>
      </tp>
      <tp>
        <v>-132</v>
        <stp/>
        <stp>##V3_BDPV12</stp>
        <stp>ILS6M ICPL Curncy</stp>
        <stp>BID</stp>
        <stp>[DataSheet2.2.xlsm]ILS_DATA!R14C49</stp>
        <tr r="AW14" s="17"/>
      </tp>
      <tp>
        <v>-20</v>
        <stp/>
        <stp>##V3_BDPV12</stp>
        <stp>ILS1M ICPL Curncy</stp>
        <stp>BID</stp>
        <stp>[DataSheet2.2.xlsm]ILS_DATA!R11C49</stp>
        <tr r="AW11" s="17"/>
      </tp>
      <tp>
        <v>-4.25</v>
        <stp/>
        <stp>##V3_BDPV12</stp>
        <stp>ILS1W ICPL Curncy</stp>
        <stp>BID</stp>
        <stp>[DataSheet2.2.xlsm]ILS_DATA!R10C49</stp>
        <tr r="AW10" s="17"/>
      </tp>
      <tp>
        <v>-41</v>
        <stp/>
        <stp>##V3_BDPV12</stp>
        <stp>ILS2M ICPL Curncy</stp>
        <stp>BID</stp>
        <stp>[DataSheet2.2.xlsm]ILS_DATA!R12C49</stp>
        <tr r="AW12" s="17"/>
      </tp>
      <tp>
        <v>-67</v>
        <stp/>
        <stp>##V3_BDPV12</stp>
        <stp>ILS3M ICPL Curncy</stp>
        <stp>BID</stp>
        <stp>[DataSheet2.2.xlsm]ILS_DATA!R13C49</stp>
        <tr r="AW13" s="17"/>
      </tp>
      <tp>
        <v>-215</v>
        <stp/>
        <stp>##V3_BDPV12</stp>
        <stp>ILS9M ICPL Curncy</stp>
        <stp>BID</stp>
        <stp>[DataSheet2.2.xlsm]ILS_DATA!R15C49</stp>
        <tr r="AW15" s="17"/>
      </tp>
      <tp>
        <v>0.50829999999999997</v>
        <stp/>
        <stp>##V3_BDPV12</stp>
        <stp>CDSWI CMPN Curncy</stp>
        <stp>ASK</stp>
        <stp>[DataSheet2.3.xlsm]CAD_DATA!R13C19</stp>
        <tr r="S13" s="48"/>
      </tp>
      <tp>
        <v>0.505</v>
        <stp/>
        <stp>##V3_BDPV12</stp>
        <stp>CDSWC CMPN Curncy</stp>
        <stp>ASK</stp>
        <stp>[DataSheet2.3.xlsm]CAD_DATA!R11C19</stp>
        <tr r="S11" s="48"/>
      </tp>
      <tp>
        <v>0.50780000000000003</v>
        <stp/>
        <stp>##V3_BDPV12</stp>
        <stp>CDSWF CMPN Curncy</stp>
        <stp>ASK</stp>
        <stp>[DataSheet2.3.xlsm]CAD_DATA!R12C19</stp>
        <tr r="S12" s="48"/>
      </tp>
      <tp>
        <v>0.12</v>
        <stp/>
        <stp>##V3_BDPV12</stp>
        <stp>CKSOC FMDR Curncy</stp>
        <stp>LAST_PRICE</stp>
        <stp>[DataSheet2.2.xlsm]CZK_DATA!R12C12</stp>
        <tr r="L12" s="14"/>
      </tp>
      <tp>
        <v>26</v>
        <stp/>
        <stp>##V3_BDPV12</stp>
        <stp>AED9M GMGM Curncy</stp>
        <stp>ASK</stp>
        <stp>[DataSheet2.2.xlsm]AED_DATA!R15C50</stp>
        <tr r="AX15" s="18"/>
      </tp>
      <tp>
        <v>785</v>
        <stp/>
        <stp>##V3_BDPV12</stp>
        <stp>AED5Y GMGM Curncy</stp>
        <stp>ASK</stp>
        <stp>[DataSheet2.2.xlsm]AED_DATA!R20C50</stp>
        <tr r="AX20" s="18"/>
      </tp>
      <tp>
        <v>15</v>
        <stp/>
        <stp>##V3_BDPV12</stp>
        <stp>AED6M GMGM Curncy</stp>
        <stp>ASK</stp>
        <stp>[DataSheet2.2.xlsm]AED_DATA!R14C50</stp>
        <tr r="AX14" s="18"/>
      </tp>
      <tp>
        <v>555</v>
        <stp/>
        <stp>##V3_BDPV12</stp>
        <stp>AED4Y GMGM Curncy</stp>
        <stp>ASK</stp>
        <stp>[DataSheet2.2.xlsm]AED_DATA!R19C50</stp>
        <tr r="AX19" s="18"/>
      </tp>
      <tp>
        <v>180</v>
        <stp/>
        <stp>##V3_BDPV12</stp>
        <stp>AED2Y GMGM Curncy</stp>
        <stp>ASK</stp>
        <stp>[DataSheet2.2.xlsm]AED_DATA!R17C50</stp>
        <tr r="AX17" s="18"/>
      </tp>
      <tp>
        <v>4.5</v>
        <stp/>
        <stp>##V3_BDPV12</stp>
        <stp>AED2M GMGM Curncy</stp>
        <stp>ASK</stp>
        <stp>[DataSheet2.2.xlsm]AED_DATA!R12C50</stp>
        <tr r="AX12" s="18"/>
      </tp>
      <tp>
        <v>350</v>
        <stp/>
        <stp>##V3_BDPV12</stp>
        <stp>AED3Y GMGM Curncy</stp>
        <stp>ASK</stp>
        <stp>[DataSheet2.2.xlsm]AED_DATA!R18C50</stp>
        <tr r="AX18" s="18"/>
      </tp>
      <tp>
        <v>8</v>
        <stp/>
        <stp>##V3_BDPV12</stp>
        <stp>AED3M GMGM Curncy</stp>
        <stp>ASK</stp>
        <stp>[DataSheet2.2.xlsm]AED_DATA!R13C50</stp>
        <tr r="AX13" s="18"/>
      </tp>
      <tp>
        <v>0.75</v>
        <stp/>
        <stp>##V3_BDPV12</stp>
        <stp>AED1W GMGM Curncy</stp>
        <stp>ASK</stp>
        <stp>[DataSheet2.2.xlsm]AED_DATA!R10C50</stp>
        <tr r="AX10" s="18"/>
      </tp>
      <tp>
        <v>3</v>
        <stp/>
        <stp>##V3_BDPV12</stp>
        <stp>AED1M GMGM Curncy</stp>
        <stp>ASK</stp>
        <stp>[DataSheet2.2.xlsm]AED_DATA!R11C50</stp>
        <tr r="AX11" s="18"/>
      </tp>
      <tp>
        <v>-11.75</v>
        <stp/>
        <stp>##V3_BDPV12</stp>
        <stp>EUBSC ICPL Curncy</stp>
        <stp>BID</stp>
        <stp>[DataSheet2.3.xlsm]EUR_DATA!R7C44</stp>
        <tr r="AR7" s="31"/>
      </tp>
      <tp>
        <v>16</v>
        <stp/>
        <stp>##V3_BDPV12</stp>
        <stp>AED9M GMGM Curncy</stp>
        <stp>BID</stp>
        <stp>[DataSheet2.2.xlsm]AED_DATA!R15C49</stp>
        <tr r="AW15" s="18"/>
      </tp>
      <tp>
        <v>405</v>
        <stp/>
        <stp>##V3_BDPV12</stp>
        <stp>AED4Y GMGM Curncy</stp>
        <stp>BID</stp>
        <stp>[DataSheet2.2.xlsm]AED_DATA!R19C49</stp>
        <tr r="AW19" s="18"/>
      </tp>
      <tp>
        <v>585</v>
        <stp/>
        <stp>##V3_BDPV12</stp>
        <stp>AED5Y GMGM Curncy</stp>
        <stp>BID</stp>
        <stp>[DataSheet2.2.xlsm]AED_DATA!R20C49</stp>
        <tr r="AW20" s="18"/>
      </tp>
      <tp>
        <v>7</v>
        <stp/>
        <stp>##V3_BDPV12</stp>
        <stp>AED6M GMGM Curncy</stp>
        <stp>BID</stp>
        <stp>[DataSheet2.2.xlsm]AED_DATA!R14C49</stp>
        <tr r="AW14" s="18"/>
      </tp>
      <tp>
        <v>-0.25</v>
        <stp/>
        <stp>##V3_BDPV12</stp>
        <stp>AED1W GMGM Curncy</stp>
        <stp>BID</stp>
        <stp>[DataSheet2.2.xlsm]AED_DATA!R10C49</stp>
        <tr r="AW10" s="18"/>
      </tp>
      <tp>
        <v>-1</v>
        <stp/>
        <stp>##V3_BDPV12</stp>
        <stp>AED1M GMGM Curncy</stp>
        <stp>BID</stp>
        <stp>[DataSheet2.2.xlsm]AED_DATA!R11C49</stp>
        <tr r="AW11" s="18"/>
      </tp>
      <tp>
        <v>250</v>
        <stp/>
        <stp>##V3_BDPV12</stp>
        <stp>AED3Y GMGM Curncy</stp>
        <stp>BID</stp>
        <stp>[DataSheet2.2.xlsm]AED_DATA!R18C49</stp>
        <tr r="AW18" s="18"/>
      </tp>
      <tp>
        <v>2</v>
        <stp/>
        <stp>##V3_BDPV12</stp>
        <stp>AED3M GMGM Curncy</stp>
        <stp>BID</stp>
        <stp>[DataSheet2.2.xlsm]AED_DATA!R13C49</stp>
        <tr r="AW13" s="18"/>
      </tp>
      <tp>
        <v>140</v>
        <stp/>
        <stp>##V3_BDPV12</stp>
        <stp>AED2Y GMGM Curncy</stp>
        <stp>BID</stp>
        <stp>[DataSheet2.2.xlsm]AED_DATA!R17C49</stp>
        <tr r="AW17" s="18"/>
      </tp>
      <tp>
        <v>0.5</v>
        <stp/>
        <stp>##V3_BDPV12</stp>
        <stp>AED2M GMGM Curncy</stp>
        <stp>BID</stp>
        <stp>[DataSheet2.2.xlsm]AED_DATA!R12C49</stp>
        <tr r="AW12" s="18"/>
      </tp>
      <tp>
        <v>0.23799999999999999</v>
        <stp/>
        <stp>##V3_BDPV12</stp>
        <stp>CDSOC FMDR Curncy</stp>
        <stp>LAST_PRICE</stp>
        <stp>[DataSheet2.3.xlsm]CAD_DATA!R12C12</stp>
        <tr r="L12" s="48"/>
      </tp>
      <tp>
        <v>0.02</v>
        <stp/>
        <stp>##V3_BDPV12</stp>
        <stp>PZSOC BLC3 Curncy</stp>
        <stp>LAST_PRICE</stp>
        <stp>[DataSheet2.2.xlsm]PLN_DATA!R12C12</stp>
        <tr r="L12" s="12"/>
      </tp>
      <tp t="s">
        <v>#N/A Start Date</v>
        <stp/>
        <stp>##V3_BDHV12</stp>
        <stp>SAIB3M Index</stp>
        <stp>LAST_PRICE</stp>
        <stp/>
        <stp/>
        <stp>[DataSheet2.2.xlsm]INR_DATA!R4C20</stp>
        <tr r="T4" s="54"/>
      </tp>
      <tp t="s">
        <v>#N/A Start Date</v>
        <stp/>
        <stp>##V3_BDHV12</stp>
        <stp>SAIB3M Index</stp>
        <stp>LAST_PRICE</stp>
        <stp/>
        <stp/>
        <stp>[DataSheet2.2.xlsm]SAR_DATA!R4C20</stp>
        <tr r="T4" s="19"/>
      </tp>
      <tp>
        <v>-4.2500000000000003E-2</v>
        <stp/>
        <stp>##V3_BDPV12</stp>
        <stp>JYSOA MTRT Curncy</stp>
        <stp>LAST_PRICE</stp>
        <stp>[DataSheet2.3.xlsm]JPY_DATA!R9C9</stp>
        <tr r="I9" s="46"/>
      </tp>
      <tp>
        <v>91.4</v>
        <stp/>
        <stp>##V3_BDPV12</stp>
        <stp>IRN+5Y CMPN Curncy</stp>
        <stp>LAST_PRICE</stp>
        <stp>[DataSheet2.2.xlsm]INR_DATA!R18C51</stp>
        <tr r="AY18" s="54"/>
      </tp>
      <tp>
        <v>80.069999999999993</v>
        <stp/>
        <stp>##V3_BDPV12</stp>
        <stp>IRN+2Y CMPN Curncy</stp>
        <stp>LAST_PRICE</stp>
        <stp>[DataSheet2.2.xlsm]INR_DATA!R16C51</stp>
        <tr r="AY16" s="54"/>
      </tp>
      <tp>
        <v>83.84</v>
        <stp/>
        <stp>##V3_BDPV12</stp>
        <stp>IRN+3Y CMPN Curncy</stp>
        <stp>LAST_PRICE</stp>
        <stp>[DataSheet2.2.xlsm]INR_DATA!R17C51</stp>
        <tr r="AY17" s="54"/>
      </tp>
      <tp>
        <v>359</v>
        <stp/>
        <stp>##V3_BDPV12</stp>
        <stp>EURHUF9M ICPL Curncy</stp>
        <stp>PX_LAST</stp>
        <stp>[DataSheet2.2.xlsm]HUF_DATA!R33C51</stp>
        <tr r="AY33" s="15"/>
      </tp>
      <tp>
        <v>68</v>
        <stp/>
        <stp>##V3_BDPV12</stp>
        <stp>EURHUF2M ICPL Curncy</stp>
        <stp>PX_LAST</stp>
        <stp>[DataSheet2.2.xlsm]HUF_DATA!R30C51</stp>
        <tr r="AY30" s="15"/>
      </tp>
      <tp>
        <v>900.5</v>
        <stp/>
        <stp>##V3_BDPV12</stp>
        <stp>EURHUF2Y ICPL Curncy</stp>
        <stp>PX_LAST</stp>
        <stp>[DataSheet2.2.xlsm]HUF_DATA!R35C51</stp>
        <tr r="AY35" s="15"/>
      </tp>
      <tp>
        <v>112</v>
        <stp/>
        <stp>##V3_BDPV12</stp>
        <stp>EURHUF3M ICPL Curncy</stp>
        <stp>PX_LAST</stp>
        <stp>[DataSheet2.2.xlsm]HUF_DATA!R31C51</stp>
        <tr r="AY31" s="15"/>
      </tp>
      <tp>
        <v>13.45</v>
        <stp/>
        <stp>##V3_BDPV12</stp>
        <stp>EURHUF2W ICPL Curncy</stp>
        <stp>PX_LAST</stp>
        <stp>[DataSheet2.2.xlsm]HUF_DATA!R28C51</stp>
        <tr r="AY28" s="15"/>
      </tp>
      <tp t="s">
        <v>#N/A N/A</v>
        <stp/>
        <stp>##V3_BDPV12</stp>
        <stp>EURHUF3Y ICPL Curncy</stp>
        <stp>PX_LAST</stp>
        <stp>[DataSheet2.2.xlsm]HUF_DATA!R36C51</stp>
        <tr r="AY36" s="15"/>
      </tp>
      <tp>
        <v>35.25</v>
        <stp/>
        <stp>##V3_BDPV12</stp>
        <stp>EURHUF1M ICPL Curncy</stp>
        <stp>PX_LAST</stp>
        <stp>[DataSheet2.2.xlsm]HUF_DATA!R29C51</stp>
        <tr r="AY29" s="15"/>
      </tp>
      <tp>
        <v>6.38</v>
        <stp/>
        <stp>##V3_BDPV12</stp>
        <stp>EURHUF1W ICPL Curncy</stp>
        <stp>PX_LAST</stp>
        <stp>[DataSheet2.2.xlsm]HUF_DATA!R27C51</stp>
        <tr r="AY27" s="15"/>
      </tp>
      <tp>
        <v>231.5</v>
        <stp/>
        <stp>##V3_BDPV12</stp>
        <stp>EURHUF6M ICPL Curncy</stp>
        <stp>PX_LAST</stp>
        <stp>[DataSheet2.2.xlsm]HUF_DATA!R32C51</stp>
        <tr r="AY32" s="15"/>
      </tp>
      <tp t="s">
        <v>#N/A N/A</v>
        <stp/>
        <stp>##V3_BDPV12</stp>
        <stp>EURHUF4Y ICPL Curncy</stp>
        <stp>PX_LAST</stp>
        <stp>[DataSheet2.2.xlsm]HUF_DATA!R37C51</stp>
        <tr r="AY37" s="15"/>
      </tp>
      <tp t="s">
        <v>#N/A N/A</v>
        <stp/>
        <stp>##V3_BDPV12</stp>
        <stp>EURHUF5Y ICPL Curncy</stp>
        <stp>PX_LAST</stp>
        <stp>[DataSheet2.2.xlsm]HUF_DATA!R38C51</stp>
        <tr r="AY38" s="15"/>
      </tp>
      <tp>
        <v>0.92</v>
        <stp/>
        <stp>##V3_BDPV12</stp>
        <stp>EURHUFON ICPL Curncy</stp>
        <stp>PX_LAST</stp>
        <stp>[DataSheet2.2.xlsm]HUF_DATA!R24C51</stp>
        <tr r="AY24" s="15"/>
      </tp>
      <tp>
        <v>2.4</v>
        <stp/>
        <stp>##V3_BDPV12</stp>
        <stp>EURHUFSN ICPL Curncy</stp>
        <stp>PX_LAST</stp>
        <stp>[DataSheet2.2.xlsm]HUF_DATA!R26C51</stp>
        <tr r="AY26" s="15"/>
      </tp>
      <tp>
        <v>0.93</v>
        <stp/>
        <stp>##V3_BDPV12</stp>
        <stp>EURHUFTN ICPL Curncy</stp>
        <stp>PX_LAST</stp>
        <stp>[DataSheet2.2.xlsm]HUF_DATA!R25C51</stp>
        <tr r="AY25" s="15"/>
      </tp>
      <tp>
        <v>14.483499999999999</v>
        <stp/>
        <stp>##V3_BDPV12</stp>
        <stp>TYSO2 BGN Curncy</stp>
        <stp>ASK</stp>
        <stp>[DataSheet2.2.xlsm]TRY_DATA!R16C11</stp>
        <tr r="K16" s="10"/>
      </tp>
      <tp>
        <v>14.2165</v>
        <stp/>
        <stp>##V3_BDPV12</stp>
        <stp>TYSO2 BGN Curncy</stp>
        <stp>BID</stp>
        <stp>[DataSheet2.2.xlsm]TRY_DATA!R16C10</stp>
        <tr r="J16" s="10"/>
      </tp>
      <tp t="s">
        <v>#N/A N/A</v>
        <stp/>
        <stp>##V3_BDPV12</stp>
        <stp>PZSO1Z BLC3 Curncy</stp>
        <stp>BID</stp>
        <stp>[DataSheet2.2.xlsm]PLN_DATA!R8C10</stp>
        <tr r="J8" s="12"/>
      </tp>
      <tp>
        <v>0.53410000000000002</v>
        <stp/>
        <stp>##V3_BDPV12</stp>
        <stp>CDSW2 BGN Curncy</stp>
        <stp>BID</stp>
        <stp>[DataSheet2.3.xlsm]CAD_DATA!R15C18</stp>
        <tr r="R15" s="48"/>
      </tp>
      <tp>
        <v>3.4077000000000002</v>
        <stp/>
        <stp>##V3_BDPV12</stp>
        <stp>ILS Curncy</stp>
        <stp>ASK</stp>
        <stp>[DataSheet2.2.xlsm]ILS_DATA!R7C50</stp>
        <tr r="AX7" s="17"/>
      </tp>
      <tp>
        <v>0.55189999999999995</v>
        <stp/>
        <stp>##V3_BDPV12</stp>
        <stp>CDSW2 BGN Curncy</stp>
        <stp>ASK</stp>
        <stp>[DataSheet2.3.xlsm]CAD_DATA!R15C19</stp>
        <tr r="S15" s="48"/>
      </tp>
      <tp>
        <v>0.48085</v>
        <stp/>
        <stp>##V3_BDPV12</stp>
        <stp>CKSW2 BGN Curncy</stp>
        <stp>BID</stp>
        <stp>[DataSheet2.2.xlsm]CZK_DATA!R18C18</stp>
        <tr r="R18" s="14"/>
      </tp>
      <tp>
        <v>0.51895000000000002</v>
        <stp/>
        <stp>##V3_BDPV12</stp>
        <stp>CKSW2 BGN Curncy</stp>
        <stp>ASK</stp>
        <stp>[DataSheet2.2.xlsm]CZK_DATA!R18C19</stp>
        <tr r="S18" s="14"/>
      </tp>
      <tp>
        <v>4.2699999999999996</v>
        <stp/>
        <stp>##V3_BDPV12</stp>
        <stp>RRSO1 GFUN Curncy</stp>
        <stp>BID</stp>
        <stp>[DataSheet2.2.xlsm]RUB_DATA!R15C10</stp>
        <tr r="J15" s="4"/>
      </tp>
      <tp>
        <v>4.49</v>
        <stp/>
        <stp>##V3_BDPV12</stp>
        <stp>RRSO2 GFUN Curncy</stp>
        <stp>BID</stp>
        <stp>[DataSheet2.2.xlsm]RUB_DATA!R16C10</stp>
        <tr r="J16" s="4"/>
      </tp>
      <tp>
        <v>4.71</v>
        <stp/>
        <stp>##V3_BDPV12</stp>
        <stp>RRSO3 GFUN Curncy</stp>
        <stp>BID</stp>
        <stp>[DataSheet2.2.xlsm]RUB_DATA!R17C10</stp>
        <tr r="J17" s="4"/>
      </tp>
      <tp>
        <v>4.03</v>
        <stp/>
        <stp>##V3_BDPV12</stp>
        <stp>RRSOA GFUN Curncy</stp>
        <stp>BID</stp>
        <stp>[DataSheet2.2.xlsm]RUB_DATA!R10C10</stp>
        <tr r="J10" s="4"/>
      </tp>
      <tp>
        <v>4.04</v>
        <stp/>
        <stp>##V3_BDPV12</stp>
        <stp>RRSOC GFUN Curncy</stp>
        <stp>BID</stp>
        <stp>[DataSheet2.2.xlsm]RUB_DATA!R12C10</stp>
        <tr r="J12" s="4"/>
      </tp>
      <tp>
        <v>4.03</v>
        <stp/>
        <stp>##V3_BDPV12</stp>
        <stp>RRSOB GFUN Curncy</stp>
        <stp>BID</stp>
        <stp>[DataSheet2.2.xlsm]RUB_DATA!R11C10</stp>
        <tr r="J11" s="4"/>
      </tp>
      <tp>
        <v>4.05</v>
        <stp/>
        <stp>##V3_BDPV12</stp>
        <stp>RRSOF GFUN Curncy</stp>
        <stp>BID</stp>
        <stp>[DataSheet2.2.xlsm]RUB_DATA!R13C10</stp>
        <tr r="J13" s="4"/>
      </tp>
      <tp>
        <v>4.16</v>
        <stp/>
        <stp>##V3_BDPV12</stp>
        <stp>RRSOI GFUN Curncy</stp>
        <stp>BID</stp>
        <stp>[DataSheet2.2.xlsm]RUB_DATA!R14C10</stp>
        <tr r="J14" s="4"/>
      </tp>
      <tp>
        <v>4.47</v>
        <stp/>
        <stp>##V3_BDPV12</stp>
        <stp>RRSO1 GFUN Curncy</stp>
        <stp>ASK</stp>
        <stp>[DataSheet2.2.xlsm]RUB_DATA!R15C11</stp>
        <tr r="K15" s="4"/>
      </tp>
      <tp>
        <v>4.6900000000000004</v>
        <stp/>
        <stp>##V3_BDPV12</stp>
        <stp>RRSO2 GFUN Curncy</stp>
        <stp>ASK</stp>
        <stp>[DataSheet2.2.xlsm]RUB_DATA!R16C11</stp>
        <tr r="K16" s="4"/>
      </tp>
      <tp>
        <v>4.91</v>
        <stp/>
        <stp>##V3_BDPV12</stp>
        <stp>RRSO3 GFUN Curncy</stp>
        <stp>ASK</stp>
        <stp>[DataSheet2.2.xlsm]RUB_DATA!R17C11</stp>
        <tr r="K17" s="4"/>
      </tp>
      <tp>
        <v>4.3600000000000003</v>
        <stp/>
        <stp>##V3_BDPV12</stp>
        <stp>RRSOI GFUN Curncy</stp>
        <stp>ASK</stp>
        <stp>[DataSheet2.2.xlsm]RUB_DATA!R14C11</stp>
        <tr r="K14" s="4"/>
      </tp>
      <tp>
        <v>4.25</v>
        <stp/>
        <stp>##V3_BDPV12</stp>
        <stp>RRSOF GFUN Curncy</stp>
        <stp>ASK</stp>
        <stp>[DataSheet2.2.xlsm]RUB_DATA!R13C11</stp>
        <tr r="K13" s="4"/>
      </tp>
      <tp>
        <v>4.2300000000000004</v>
        <stp/>
        <stp>##V3_BDPV12</stp>
        <stp>RRSOB GFUN Curncy</stp>
        <stp>ASK</stp>
        <stp>[DataSheet2.2.xlsm]RUB_DATA!R11C11</stp>
        <tr r="K11" s="4"/>
      </tp>
      <tp>
        <v>4.2300000000000004</v>
        <stp/>
        <stp>##V3_BDPV12</stp>
        <stp>RRSOA GFUN Curncy</stp>
        <stp>ASK</stp>
        <stp>[DataSheet2.2.xlsm]RUB_DATA!R10C11</stp>
        <tr r="K10" s="4"/>
      </tp>
      <tp>
        <v>4.24</v>
        <stp/>
        <stp>##V3_BDPV12</stp>
        <stp>RRSOC GFUN Curncy</stp>
        <stp>ASK</stp>
        <stp>[DataSheet2.2.xlsm]RUB_DATA!R12C11</stp>
        <tr r="K12" s="4"/>
      </tp>
      <tp>
        <v>0.02</v>
        <stp/>
        <stp>##V3_BDPV12</stp>
        <stp>PZSOB BLC3 Curncy</stp>
        <stp>LAST_PRICE</stp>
        <stp>[DataSheet2.2.xlsm]PLN_DATA!R11C12</stp>
        <tr r="L11" s="12"/>
      </tp>
      <tp>
        <v>14.1722</v>
        <stp/>
        <stp>##V3_BDPV12</stp>
        <stp>TYSO3 BGN Curncy</stp>
        <stp>ASK</stp>
        <stp>[DataSheet2.2.xlsm]TRY_DATA!R17C11</stp>
        <tr r="K17" s="10"/>
      </tp>
      <tp>
        <v>13.9078</v>
        <stp/>
        <stp>##V3_BDPV12</stp>
        <stp>TYSO3 BGN Curncy</stp>
        <stp>BID</stp>
        <stp>[DataSheet2.2.xlsm]TRY_DATA!R17C10</stp>
        <tr r="J17" s="10"/>
      </tp>
      <tp>
        <v>0.59209999999999996</v>
        <stp/>
        <stp>##V3_BDPV12</stp>
        <stp>CDSW3 BGN Curncy</stp>
        <stp>BID</stp>
        <stp>[DataSheet2.3.xlsm]CAD_DATA!R16C18</stp>
        <tr r="R16" s="48"/>
      </tp>
      <tp>
        <v>0.88380000000000003</v>
        <stp/>
        <stp>##V3_BDPV12</stp>
        <stp>CDSW7 BGN Curncy</stp>
        <stp>ASK</stp>
        <stp>[DataSheet2.3.xlsm]GBP_DATA!R20C19</stp>
        <tr r="S20" s="58"/>
      </tp>
      <tp>
        <v>0.86680000000000001</v>
        <stp/>
        <stp>##V3_BDPV12</stp>
        <stp>CDSW7 BGN Curncy</stp>
        <stp>BID</stp>
        <stp>[DataSheet2.3.xlsm]GBP_DATA!R20C18</stp>
        <tr r="R20" s="58"/>
      </tp>
      <tp>
        <v>0.61329999999999996</v>
        <stp/>
        <stp>##V3_BDPV12</stp>
        <stp>CDSW3 BGN Curncy</stp>
        <stp>ASK</stp>
        <stp>[DataSheet2.3.xlsm]CAD_DATA!R16C19</stp>
        <tr r="S16" s="48"/>
      </tp>
      <tp>
        <v>0.58770999999999995</v>
        <stp/>
        <stp>##V3_BDPV12</stp>
        <stp>CKSW3 BGN Curncy</stp>
        <stp>BID</stp>
        <stp>[DataSheet2.2.xlsm]CZK_DATA!R19C18</stp>
        <tr r="R19" s="14"/>
      </tp>
      <tp>
        <v>0.62729000000000001</v>
        <stp/>
        <stp>##V3_BDPV12</stp>
        <stp>CKSW3 BGN Curncy</stp>
        <stp>ASK</stp>
        <stp>[DataSheet2.2.xlsm]CZK_DATA!R19C19</stp>
        <tr r="S19" s="14"/>
      </tp>
      <tp>
        <v>0.22</v>
        <stp/>
        <stp>##V3_BDPV12</stp>
        <stp>HDSOI TRHK Curncy</stp>
        <stp>LAST_PRICE</stp>
        <stp>[DataSheet2.2.xlsm]HKD_DATA!R12C12</stp>
        <tr r="L12" s="52"/>
      </tp>
      <tp>
        <v>1.21</v>
        <stp/>
        <stp>##V3_BDPV12</stp>
        <stp>HFSW4 TPRA Curncy</stp>
        <stp>ASK</stp>
        <stp>[DataSheet2.2.xlsm]HUF_DATA!R20C19</stp>
        <tr r="S20" s="15"/>
      </tp>
      <tp>
        <v>1.33</v>
        <stp/>
        <stp>##V3_BDPV12</stp>
        <stp>HFSW5 TPRA Curncy</stp>
        <stp>ASK</stp>
        <stp>[DataSheet2.2.xlsm]HUF_DATA!R21C19</stp>
        <tr r="S21" s="15"/>
      </tp>
      <tp>
        <v>1.4350000000000001</v>
        <stp/>
        <stp>##V3_BDPV12</stp>
        <stp>HFSW6 TPRA Curncy</stp>
        <stp>ASK</stp>
        <stp>[DataSheet2.2.xlsm]HUF_DATA!R22C19</stp>
        <tr r="S22" s="15"/>
      </tp>
      <tp>
        <v>1.53</v>
        <stp/>
        <stp>##V3_BDPV12</stp>
        <stp>HFSW7 TPRA Curncy</stp>
        <stp>ASK</stp>
        <stp>[DataSheet2.2.xlsm]HUF_DATA!R23C19</stp>
        <tr r="S23" s="15"/>
      </tp>
      <tp>
        <v>1.62</v>
        <stp/>
        <stp>##V3_BDPV12</stp>
        <stp>HFSW8 TPRA Curncy</stp>
        <stp>ASK</stp>
        <stp>[DataSheet2.2.xlsm]HUF_DATA!R24C19</stp>
        <tr r="S24" s="15"/>
      </tp>
      <tp>
        <v>1.7</v>
        <stp/>
        <stp>##V3_BDPV12</stp>
        <stp>HFSW9 TPRA Curncy</stp>
        <stp>ASK</stp>
        <stp>[DataSheet2.2.xlsm]HUF_DATA!R25C19</stp>
        <tr r="S25" s="15"/>
      </tp>
      <tp>
        <v>0.80500000000000005</v>
        <stp/>
        <stp>##V3_BDPV12</stp>
        <stp>HFSW1 TPRA Curncy</stp>
        <stp>ASK</stp>
        <stp>[DataSheet2.2.xlsm]HUF_DATA!R17C19</stp>
        <tr r="S17" s="15"/>
      </tp>
      <tp>
        <v>0.95499999999999996</v>
        <stp/>
        <stp>##V3_BDPV12</stp>
        <stp>HFSW2 TPRA Curncy</stp>
        <stp>ASK</stp>
        <stp>[DataSheet2.2.xlsm]HUF_DATA!R18C19</stp>
        <tr r="S18" s="15"/>
      </tp>
      <tp>
        <v>1.085</v>
        <stp/>
        <stp>##V3_BDPV12</stp>
        <stp>HFSW3 TPRA Curncy</stp>
        <stp>ASK</stp>
        <stp>[DataSheet2.2.xlsm]HUF_DATA!R19C19</stp>
        <tr r="S19" s="15"/>
      </tp>
      <tp>
        <v>0.91500000000000004</v>
        <stp/>
        <stp>##V3_BDPV12</stp>
        <stp>HFSW2 TPRA Curncy</stp>
        <stp>BID</stp>
        <stp>[DataSheet2.2.xlsm]HUF_DATA!R18C18</stp>
        <tr r="R18" s="15"/>
      </tp>
      <tp>
        <v>1.0449999999999999</v>
        <stp/>
        <stp>##V3_BDPV12</stp>
        <stp>HFSW3 TPRA Curncy</stp>
        <stp>BID</stp>
        <stp>[DataSheet2.2.xlsm]HUF_DATA!R19C18</stp>
        <tr r="R19" s="15"/>
      </tp>
      <tp>
        <v>0.76500000000000001</v>
        <stp/>
        <stp>##V3_BDPV12</stp>
        <stp>HFSW1 TPRA Curncy</stp>
        <stp>BID</stp>
        <stp>[DataSheet2.2.xlsm]HUF_DATA!R17C18</stp>
        <tr r="R17" s="15"/>
      </tp>
      <tp>
        <v>1.58</v>
        <stp/>
        <stp>##V3_BDPV12</stp>
        <stp>HFSW8 TPRA Curncy</stp>
        <stp>BID</stp>
        <stp>[DataSheet2.2.xlsm]HUF_DATA!R24C18</stp>
        <tr r="R24" s="15"/>
      </tp>
      <tp>
        <v>1.66</v>
        <stp/>
        <stp>##V3_BDPV12</stp>
        <stp>HFSW9 TPRA Curncy</stp>
        <stp>BID</stp>
        <stp>[DataSheet2.2.xlsm]HUF_DATA!R25C18</stp>
        <tr r="R25" s="15"/>
      </tp>
      <tp>
        <v>1.17</v>
        <stp/>
        <stp>##V3_BDPV12</stp>
        <stp>HFSW4 TPRA Curncy</stp>
        <stp>BID</stp>
        <stp>[DataSheet2.2.xlsm]HUF_DATA!R20C18</stp>
        <tr r="R20" s="15"/>
      </tp>
      <tp>
        <v>1.29</v>
        <stp/>
        <stp>##V3_BDPV12</stp>
        <stp>HFSW5 TPRA Curncy</stp>
        <stp>BID</stp>
        <stp>[DataSheet2.2.xlsm]HUF_DATA!R21C18</stp>
        <tr r="R21" s="15"/>
      </tp>
      <tp>
        <v>1.395</v>
        <stp/>
        <stp>##V3_BDPV12</stp>
        <stp>HFSW6 TPRA Curncy</stp>
        <stp>BID</stp>
        <stp>[DataSheet2.2.xlsm]HUF_DATA!R22C18</stp>
        <tr r="R22" s="15"/>
      </tp>
      <tp>
        <v>1.49</v>
        <stp/>
        <stp>##V3_BDPV12</stp>
        <stp>HFSW7 TPRA Curncy</stp>
        <stp>BID</stp>
        <stp>[DataSheet2.2.xlsm]HUF_DATA!R23C18</stp>
        <tr r="R23" s="15"/>
      </tp>
      <tp>
        <v>0.24</v>
        <stp/>
        <stp>##V3_BDPV12</stp>
        <stp>CDSOA FMDR Curncy</stp>
        <stp>LAST_PRICE</stp>
        <stp>[DataSheet2.3.xlsm]GBP_DATA!R10C12</stp>
        <tr r="L10" s="58"/>
      </tp>
      <tp>
        <v>0.02</v>
        <stp/>
        <stp>##V3_BDPV12</stp>
        <stp>PZSOA BLC3 Curncy</stp>
        <stp>LAST_PRICE</stp>
        <stp>[DataSheet2.2.xlsm]PLN_DATA!R10C12</stp>
        <tr r="L10" s="12"/>
      </tp>
      <tp>
        <v>0.11</v>
        <stp/>
        <stp>##V3_BDPV12</stp>
        <stp>CZEOINDX Index</stp>
        <stp>LAST_PRICE</stp>
        <stp>[DataSheet2.2.xlsm]CZK_DATA!R7C12</stp>
        <tr r="L7" s="14"/>
      </tp>
      <tp>
        <v>1361.53</v>
        <stp/>
        <stp>##V3_BDPV12</stp>
        <stp>CNH10M CMPN Curncy</stp>
        <stp>LAST_PRICE</stp>
        <stp>[DataSheet2.3.xlsm]CNH_DATA!R21C51</stp>
        <tr r="AY21" s="50"/>
      </tp>
      <tp>
        <v>1645.39</v>
        <stp/>
        <stp>##V3_BDPV12</stp>
        <stp>CNH12M CMPN Curncy</stp>
        <stp>LAST_PRICE</stp>
        <stp>[DataSheet2.3.xlsm]CNH_DATA!R23C51</stp>
        <tr r="AY23" s="50"/>
      </tp>
      <tp>
        <v>1497.1</v>
        <stp/>
        <stp>##V3_BDPV12</stp>
        <stp>CNH11M CMPN Curncy</stp>
        <stp>LAST_PRICE</stp>
        <stp>[DataSheet2.3.xlsm]CNH_DATA!R22C51</stp>
        <tr r="AY22" s="50"/>
      </tp>
      <tp>
        <v>0.68159999999999998</v>
        <stp/>
        <stp>##V3_BDPV12</stp>
        <stp>CDSW4 BGN Curncy</stp>
        <stp>ASK</stp>
        <stp>[DataSheet2.3.xlsm]GBP_DATA!R17C19</stp>
        <tr r="S17" s="58"/>
      </tp>
      <tp>
        <v>73.56</v>
        <stp/>
        <stp>##V3_BDPV12</stp>
        <stp>INR Curncy</stp>
        <stp>ASK</stp>
        <stp>[DataSheet2.2.xlsm]INR_DATA!R7C50</stp>
        <tr r="AX7" s="54"/>
      </tp>
      <tp>
        <v>0.6694</v>
        <stp/>
        <stp>##V3_BDPV12</stp>
        <stp>CDSW4 BGN Curncy</stp>
        <stp>BID</stp>
        <stp>[DataSheet2.3.xlsm]GBP_DATA!R17C18</stp>
        <tr r="R17" s="58"/>
      </tp>
      <tp>
        <v>3.7507999999999999</v>
        <stp/>
        <stp>##V3_BDPV12</stp>
        <stp>SAR Curncy</stp>
        <stp>BID</stp>
        <stp>[DataSheet2.2.xlsm]SAR_DATA!R7C49</stp>
        <tr r="AW7" s="19"/>
      </tp>
      <tp>
        <v>16.771699999999999</v>
        <stp/>
        <stp>##V3_BDPV12</stp>
        <stp>ZAR Curncy</stp>
        <stp>BID</stp>
        <stp>[DataSheet2.2.xlsm]ZAR_DATA!R7C54</stp>
        <tr r="BB7" s="8"/>
      </tp>
      <tp>
        <v>0.89900000000000002</v>
        <stp/>
        <stp>##V3_BDPV12</stp>
        <stp>SRSW1 GMGM Curncy</stp>
        <stp>BID</stp>
        <stp>[DataSheet2.2.xlsm]SAR_DATA!R17C18</stp>
        <tr r="R17" s="19"/>
      </tp>
      <tp>
        <v>1.0549999999999999</v>
        <stp/>
        <stp>##V3_BDPV12</stp>
        <stp>SRSW2 GMGM Curncy</stp>
        <stp>BID</stp>
        <stp>[DataSheet2.2.xlsm]SAR_DATA!R18C18</stp>
        <tr r="R18" s="19"/>
      </tp>
      <tp>
        <v>1.246</v>
        <stp/>
        <stp>##V3_BDPV12</stp>
        <stp>SRSW3 GMGM Curncy</stp>
        <stp>BID</stp>
        <stp>[DataSheet2.2.xlsm]SAR_DATA!R19C18</stp>
        <tr r="R19" s="19"/>
      </tp>
      <tp>
        <v>1.43</v>
        <stp/>
        <stp>##V3_BDPV12</stp>
        <stp>SRSW4 GMGM Curncy</stp>
        <stp>BID</stp>
        <stp>[DataSheet2.2.xlsm]SAR_DATA!R20C18</stp>
        <tr r="R20" s="19"/>
      </tp>
      <tp>
        <v>1.625</v>
        <stp/>
        <stp>##V3_BDPV12</stp>
        <stp>SRSW5 GMGM Curncy</stp>
        <stp>BID</stp>
        <stp>[DataSheet2.2.xlsm]SAR_DATA!R21C18</stp>
        <tr r="R21" s="19"/>
      </tp>
      <tp>
        <v>1.8149999999999999</v>
        <stp/>
        <stp>##V3_BDPV12</stp>
        <stp>SRSW6 GMGM Curncy</stp>
        <stp>BID</stp>
        <stp>[DataSheet2.2.xlsm]SAR_DATA!R22C18</stp>
        <tr r="R22" s="19"/>
      </tp>
      <tp>
        <v>1.9790000000000001</v>
        <stp/>
        <stp>##V3_BDPV12</stp>
        <stp>SRSW7 GMGM Curncy</stp>
        <stp>BID</stp>
        <stp>[DataSheet2.2.xlsm]SAR_DATA!R23C18</stp>
        <tr r="R23" s="19"/>
      </tp>
      <tp>
        <v>0.13</v>
        <stp/>
        <stp>##V3_BDPV12</stp>
        <stp>CKSOF FMDR Curncy</stp>
        <stp>LAST_PRICE</stp>
        <stp>[DataSheet2.2.xlsm]CZK_DATA!R13C12</stp>
        <tr r="L13" s="14"/>
      </tp>
      <tp>
        <v>1.49</v>
        <stp/>
        <stp>##V3_BDPV12</stp>
        <stp>SRSW4 GMGM Curncy</stp>
        <stp>ASK</stp>
        <stp>[DataSheet2.2.xlsm]SAR_DATA!R20C19</stp>
        <tr r="S20" s="19"/>
      </tp>
      <tp>
        <v>1.6850000000000001</v>
        <stp/>
        <stp>##V3_BDPV12</stp>
        <stp>SRSW5 GMGM Curncy</stp>
        <stp>ASK</stp>
        <stp>[DataSheet2.2.xlsm]SAR_DATA!R21C19</stp>
        <tr r="S21" s="19"/>
      </tp>
      <tp>
        <v>1.875</v>
        <stp/>
        <stp>##V3_BDPV12</stp>
        <stp>SRSW6 GMGM Curncy</stp>
        <stp>ASK</stp>
        <stp>[DataSheet2.2.xlsm]SAR_DATA!R22C19</stp>
        <tr r="S22" s="19"/>
      </tp>
      <tp>
        <v>2.0390000000000001</v>
        <stp/>
        <stp>##V3_BDPV12</stp>
        <stp>SRSW7 GMGM Curncy</stp>
        <stp>ASK</stp>
        <stp>[DataSheet2.2.xlsm]SAR_DATA!R23C19</stp>
        <tr r="S23" s="19"/>
      </tp>
      <tp>
        <v>1.115</v>
        <stp/>
        <stp>##V3_BDPV12</stp>
        <stp>SRSW2 GMGM Curncy</stp>
        <stp>ASK</stp>
        <stp>[DataSheet2.2.xlsm]SAR_DATA!R18C19</stp>
        <tr r="S18" s="19"/>
      </tp>
      <tp>
        <v>1.306</v>
        <stp/>
        <stp>##V3_BDPV12</stp>
        <stp>SRSW3 GMGM Curncy</stp>
        <stp>ASK</stp>
        <stp>[DataSheet2.2.xlsm]SAR_DATA!R19C19</stp>
        <tr r="S19" s="19"/>
      </tp>
      <tp>
        <v>0.95899999999999996</v>
        <stp/>
        <stp>##V3_BDPV12</stp>
        <stp>SRSW1 GMGM Curncy</stp>
        <stp>ASK</stp>
        <stp>[DataSheet2.2.xlsm]SAR_DATA!R17C19</stp>
        <tr r="S17" s="19"/>
      </tp>
      <tp>
        <v>0.23899999999999999</v>
        <stp/>
        <stp>##V3_BDPV12</stp>
        <stp>CDSOB FMDR Curncy</stp>
        <stp>LAST_PRICE</stp>
        <stp>[DataSheet2.3.xlsm]GBP_DATA!R11C12</stp>
        <tr r="L11" s="58"/>
      </tp>
      <tp>
        <v>-6.125</v>
        <stp/>
        <stp>##V3_BDPV12</stp>
        <stp>EUBSI ICPL Curncy</stp>
        <stp>ASK</stp>
        <stp>[DataSheet2.3.xlsm]EUR_DATA!R9C45</stp>
        <tr r="AS9" s="31"/>
      </tp>
      <tp>
        <v>-17.75</v>
        <stp/>
        <stp>##V3_BDPV12</stp>
        <stp>EUBSF ICPL Curncy</stp>
        <stp>BID</stp>
        <stp>[DataSheet2.3.xlsm]EUR_DATA!R8C44</stp>
        <tr r="AR8" s="31"/>
      </tp>
      <tp>
        <v>0.23499999999999999</v>
        <stp/>
        <stp>##V3_BDPV12</stp>
        <stp>CDSOF FMDR Curncy</stp>
        <stp>LAST_PRICE</stp>
        <stp>[DataSheet2.3.xlsm]CAD_DATA!R13C12</stp>
        <tr r="L13" s="48"/>
      </tp>
      <tp>
        <v>-0.01</v>
        <stp/>
        <stp>##V3_BDPV12</stp>
        <stp>CADTN BGN Curncy</stp>
        <stp>ASK</stp>
        <stp>[DataSheet2.3.xlsm]GBP_DATA!R9C50</stp>
        <tr r="AX9" s="58"/>
      </tp>
      <tp>
        <v>0.23400000000000001</v>
        <stp/>
        <stp>##V3_BDPV12</stp>
        <stp>EURON Curncy</stp>
        <stp>PX_LAST</stp>
        <stp>[DataSheet2.3.xlsm]EUR_DATA!R8C54</stp>
        <tr r="BB8" s="31"/>
      </tp>
      <tp>
        <v>-0.10100000000000001</v>
        <stp/>
        <stp>##V3_BDPV12</stp>
        <stp>JPYTN BGN Curncy</stp>
        <stp>ASK</stp>
        <stp>[DataSheet2.3.xlsm]JPY_DATA!R9C40</stp>
        <tr r="AN9" s="46"/>
      </tp>
      <tp>
        <v>18.8</v>
        <stp/>
        <stp>##V3_BDPV12</stp>
        <stp>TRYTN BGN Curncy</stp>
        <stp>ASK</stp>
        <stp>[DataSheet2.2.xlsm]TRY_DATA!R9C50</stp>
        <tr r="AX9" s="10"/>
      </tp>
      <tp>
        <v>-0.01</v>
        <stp/>
        <stp>##V3_BDPV12</stp>
        <stp>CADTN BGN Curncy</stp>
        <stp>ASK</stp>
        <stp>[DataSheet2.3.xlsm]CAD_DATA!R9C50</stp>
        <tr r="AX9" s="48"/>
      </tp>
      <tp>
        <v>14.45</v>
        <stp/>
        <stp>##V3_BDPV12</stp>
        <stp>TYSO1 BGN Curncy</stp>
        <stp>ASK</stp>
        <stp>[DataSheet2.2.xlsm]TRY_DATA!R15C11</stp>
        <tr r="K15" s="10"/>
      </tp>
      <tp>
        <v>14.15</v>
        <stp/>
        <stp>##V3_BDPV12</stp>
        <stp>TYSO1 BGN Curncy</stp>
        <stp>BID</stp>
        <stp>[DataSheet2.2.xlsm]TRY_DATA!R15C10</stp>
        <tr r="J15" s="10"/>
      </tp>
      <tp>
        <v>0.50390000000000001</v>
        <stp/>
        <stp>##V3_BDPV12</stp>
        <stp>CDSW1 BGN Curncy</stp>
        <stp>BID</stp>
        <stp>[DataSheet2.3.xlsm]CAD_DATA!R14C18</stp>
        <tr r="R14" s="48"/>
      </tp>
      <tp>
        <v>0.75470000000000004</v>
        <stp/>
        <stp>##V3_BDPV12</stp>
        <stp>CDSW5 BGN Curncy</stp>
        <stp>ASK</stp>
        <stp>[DataSheet2.3.xlsm]GBP_DATA!R18C19</stp>
        <tr r="S18" s="58"/>
      </tp>
      <tp>
        <v>0.7399</v>
        <stp/>
        <stp>##V3_BDPV12</stp>
        <stp>CDSW5 BGN Curncy</stp>
        <stp>BID</stp>
        <stp>[DataSheet2.3.xlsm]GBP_DATA!R18C18</stp>
        <tr r="R18" s="58"/>
      </tp>
      <tp>
        <v>0.5181</v>
        <stp/>
        <stp>##V3_BDPV12</stp>
        <stp>CDSW1 BGN Curncy</stp>
        <stp>ASK</stp>
        <stp>[DataSheet2.3.xlsm]CAD_DATA!R14C19</stp>
        <tr r="S14" s="48"/>
      </tp>
      <tp>
        <v>0.34239999999999998</v>
        <stp/>
        <stp>##V3_BDPV12</stp>
        <stp>CKSW1 BGN Curncy</stp>
        <stp>BID</stp>
        <stp>[DataSheet2.2.xlsm]CZK_DATA!R17C18</stp>
        <tr r="R17" s="14"/>
      </tp>
      <tp>
        <v>0.38261000000000001</v>
        <stp/>
        <stp>##V3_BDPV12</stp>
        <stp>CKSW1 BGN Curncy</stp>
        <stp>ASK</stp>
        <stp>[DataSheet2.2.xlsm]CZK_DATA!R17C19</stp>
        <tr r="S17" s="14"/>
      </tp>
      <tp>
        <v>0.50829999999999997</v>
        <stp/>
        <stp>##V3_BDPV12</stp>
        <stp>CDSWI CMPN Curncy</stp>
        <stp>ASK</stp>
        <stp>[DataSheet2.3.xlsm]GBP_DATA!R13C19</stp>
        <tr r="S13" s="58"/>
      </tp>
      <tp>
        <v>0.505</v>
        <stp/>
        <stp>##V3_BDPV12</stp>
        <stp>CDSWC CMPN Curncy</stp>
        <stp>ASK</stp>
        <stp>[DataSheet2.3.xlsm]GBP_DATA!R11C19</stp>
        <tr r="S11" s="58"/>
      </tp>
      <tp>
        <v>0.50780000000000003</v>
        <stp/>
        <stp>##V3_BDPV12</stp>
        <stp>CDSWF CMPN Curncy</stp>
        <stp>ASK</stp>
        <stp>[DataSheet2.3.xlsm]GBP_DATA!R12C19</stp>
        <tr r="S12" s="58"/>
      </tp>
      <tp>
        <v>0.50780000000000003</v>
        <stp/>
        <stp>##V3_BDPV12</stp>
        <stp>CDSWF CMPN Curncy</stp>
        <stp>BID</stp>
        <stp>[DataSheet2.3.xlsm]GBP_DATA!R12C18</stp>
        <tr r="R12" s="58"/>
      </tp>
      <tp>
        <v>0.505</v>
        <stp/>
        <stp>##V3_BDPV12</stp>
        <stp>CDSWC CMPN Curncy</stp>
        <stp>BID</stp>
        <stp>[DataSheet2.3.xlsm]GBP_DATA!R11C18</stp>
        <tr r="R11" s="58"/>
      </tp>
      <tp>
        <v>0.50829999999999997</v>
        <stp/>
        <stp>##V3_BDPV12</stp>
        <stp>CDSWI CMPN Curncy</stp>
        <stp>BID</stp>
        <stp>[DataSheet2.3.xlsm]GBP_DATA!R13C18</stp>
        <tr r="R13" s="58"/>
      </tp>
      <tp>
        <v>5.38</v>
        <stp/>
        <stp>##V3_BDPV12</stp>
        <stp>CNHTN CMPN Curncy</stp>
        <stp>ASK</stp>
        <stp>[DataSheet2.3.xlsm]CNH_DATA!R9C50</stp>
        <tr r="AX9" s="50"/>
      </tp>
      <tp>
        <v>4.8499999999999996</v>
        <stp/>
        <stp>##V3_BDPV12</stp>
        <stp>CNHON CMPN Curncy</stp>
        <stp>ASK</stp>
        <stp>[DataSheet2.3.xlsm]CNH_DATA!R8C50</stp>
        <tr r="AX8" s="50"/>
      </tp>
      <tp>
        <v>0.23799999999999999</v>
        <stp/>
        <stp>##V3_BDPV12</stp>
        <stp>CDSOC FMDR Curncy</stp>
        <stp>LAST_PRICE</stp>
        <stp>[DataSheet2.3.xlsm]GBP_DATA!R12C12</stp>
        <tr r="L12" s="58"/>
      </tp>
      <tp>
        <v>-0.08</v>
        <stp/>
        <stp>##V3_BDPV12</stp>
        <stp>CZKTN CMPN Curncy</stp>
        <stp>ASK</stp>
        <stp>[DataSheet2.2.xlsm]CZK_DATA!R9C50</stp>
        <tr r="AX9" s="14"/>
      </tp>
      <tp>
        <v>-0.01</v>
        <stp/>
        <stp>##V3_BDPV12</stp>
        <stp>CZKON CMPN Curncy</stp>
        <stp>ASK</stp>
        <stp>[DataSheet2.2.xlsm]CZK_DATA!R8C50</stp>
        <tr r="AX8" s="14"/>
      </tp>
      <tp>
        <v>5.1756000000000002</v>
        <stp/>
        <stp>##V3_BDPV12</stp>
        <stp>IRSWN7 BGN Curncy</stp>
        <stp>BID</stp>
        <stp>[DataSheet2.2.xlsm]INR_DATA!R24C49</stp>
        <tr r="AW24" s="54"/>
      </tp>
      <tp>
        <v>5.2843999999999998</v>
        <stp/>
        <stp>##V3_BDPV12</stp>
        <stp>IRSWN7 BGN Curncy</stp>
        <stp>ASK</stp>
        <stp>[DataSheet2.2.xlsm]INR_DATA!R24C50</stp>
        <tr r="AX24" s="54"/>
      </tp>
      <tp>
        <v>-0.05</v>
        <stp/>
        <stp>##V3_BDPV12</stp>
        <stp>CADTN BGN Curncy</stp>
        <stp>BID</stp>
        <stp>[DataSheet2.3.xlsm]GBP_DATA!R9C49</stp>
        <tr r="AW9" s="58"/>
      </tp>
      <tp>
        <v>-0.13200000000000001</v>
        <stp/>
        <stp>##V3_BDPV12</stp>
        <stp>JPYTN BGN Curncy</stp>
        <stp>BID</stp>
        <stp>[DataSheet2.3.xlsm]JPY_DATA!R9C39</stp>
        <tr r="AM9" s="46"/>
      </tp>
      <tp>
        <v>14.56</v>
        <stp/>
        <stp>##V3_BDPV12</stp>
        <stp>TRYTN BGN Curncy</stp>
        <stp>BID</stp>
        <stp>[DataSheet2.2.xlsm]TRY_DATA!R9C49</stp>
        <tr r="AW9" s="10"/>
      </tp>
      <tp>
        <v>-0.05</v>
        <stp/>
        <stp>##V3_BDPV12</stp>
        <stp>CADTN BGN Curncy</stp>
        <stp>BID</stp>
        <stp>[DataSheet2.3.xlsm]CAD_DATA!R9C49</stp>
        <tr r="AW9" s="48"/>
      </tp>
      <tp>
        <v>0.99375000000000002</v>
        <stp/>
        <stp>##V3_BDPV12</stp>
        <stp>SAIB12M Index</stp>
        <stp>LAST_PRICE</stp>
        <stp>[DataSheet2.2.xlsm]SAR_DATA!R11C20</stp>
        <tr r="T11" s="19"/>
      </tp>
      <tp>
        <v>9.9000000000000005E-2</v>
        <stp/>
        <stp>##V3_BDPV12</stp>
        <stp>USSO1Z CMPN Curncy</stp>
        <stp>LAST_PRICE</stp>
        <stp>[DataSheet2.3.xlsm]USD_DATA!R8C9</stp>
        <tr r="I8" s="6"/>
      </tp>
      <tp>
        <v>0.60499999999999998</v>
        <stp/>
        <stp>##V3_BDPV12</stp>
        <stp>HDSW1 CMPN Curncy</stp>
        <stp>ASK</stp>
        <stp>[DataSheet2.2.xlsm]HKD_DATA!R16C19</stp>
        <tr r="S16" s="52"/>
      </tp>
      <tp>
        <v>0.61499999999999999</v>
        <stp/>
        <stp>##V3_BDPV12</stp>
        <stp>HDSW2 CMPN Curncy</stp>
        <stp>ASK</stp>
        <stp>[DataSheet2.2.xlsm]HKD_DATA!R18C19</stp>
        <tr r="S18" s="52"/>
      </tp>
      <tp>
        <v>0.64500000000000002</v>
        <stp/>
        <stp>##V3_BDPV12</stp>
        <stp>HDSW3 CMPN Curncy</stp>
        <stp>ASK</stp>
        <stp>[DataSheet2.2.xlsm]HKD_DATA!R19C19</stp>
        <tr r="S19" s="52"/>
      </tp>
      <tp>
        <v>0.57945000000000002</v>
        <stp/>
        <stp>##V3_BDPV12</stp>
        <stp>HDSWF CMPN Curncy</stp>
        <stp>ASK</stp>
        <stp>[DataSheet2.2.xlsm]HKD_DATA!R14C19</stp>
        <tr r="S14" s="52"/>
      </tp>
      <tp>
        <v>0.60223000000000004</v>
        <stp/>
        <stp>##V3_BDPV12</stp>
        <stp>HDSWI CMPN Curncy</stp>
        <stp>ASK</stp>
        <stp>[DataSheet2.2.xlsm]HKD_DATA!R15C19</stp>
        <tr r="S15" s="52"/>
      </tp>
      <tp>
        <v>0.82</v>
        <stp/>
        <stp>##V3_BDPV12</stp>
        <stp>HDSW7 CMPN Curncy</stp>
        <stp>ASK</stp>
        <stp>[DataSheet2.2.xlsm]HKD_DATA!R22C19</stp>
        <tr r="S22" s="52"/>
      </tp>
      <tp>
        <v>0.67500000000000004</v>
        <stp/>
        <stp>##V3_BDPV12</stp>
        <stp>HDSW4 CMPN Curncy</stp>
        <stp>ASK</stp>
        <stp>[DataSheet2.2.xlsm]HKD_DATA!R20C19</stp>
        <tr r="S20" s="52"/>
      </tp>
      <tp>
        <v>0.71499999999999997</v>
        <stp/>
        <stp>##V3_BDPV12</stp>
        <stp>HDSW5 CMPN Curncy</stp>
        <stp>ASK</stp>
        <stp>[DataSheet2.2.xlsm]HKD_DATA!R21C19</stp>
        <tr r="S21" s="52"/>
      </tp>
      <tp>
        <v>0.57499999999999996</v>
        <stp/>
        <stp>##V3_BDPV12</stp>
        <stp>HDSW4 CMPN Curncy</stp>
        <stp>BID</stp>
        <stp>[DataSheet2.2.xlsm]HKD_DATA!R20C18</stp>
        <tr r="R20" s="52"/>
      </tp>
      <tp>
        <v>0.61499999999999999</v>
        <stp/>
        <stp>##V3_BDPV12</stp>
        <stp>HDSW5 CMPN Curncy</stp>
        <stp>BID</stp>
        <stp>[DataSheet2.2.xlsm]HKD_DATA!R21C18</stp>
        <tr r="R21" s="52"/>
      </tp>
      <tp>
        <v>0.72</v>
        <stp/>
        <stp>##V3_BDPV12</stp>
        <stp>HDSW7 CMPN Curncy</stp>
        <stp>BID</stp>
        <stp>[DataSheet2.2.xlsm]HKD_DATA!R22C18</stp>
        <tr r="R22" s="52"/>
      </tp>
      <tp>
        <v>0.51500000000000001</v>
        <stp/>
        <stp>##V3_BDPV12</stp>
        <stp>HDSW2 CMPN Curncy</stp>
        <stp>BID</stp>
        <stp>[DataSheet2.2.xlsm]HKD_DATA!R18C18</stp>
        <tr r="R18" s="52"/>
      </tp>
      <tp>
        <v>0.54500000000000004</v>
        <stp/>
        <stp>##V3_BDPV12</stp>
        <stp>HDSW3 CMPN Curncy</stp>
        <stp>BID</stp>
        <stp>[DataSheet2.2.xlsm]HKD_DATA!R19C18</stp>
        <tr r="R19" s="52"/>
      </tp>
      <tp>
        <v>0.505</v>
        <stp/>
        <stp>##V3_BDPV12</stp>
        <stp>HDSW1 CMPN Curncy</stp>
        <stp>BID</stp>
        <stp>[DataSheet2.2.xlsm]HKD_DATA!R16C18</stp>
        <tr r="R16" s="52"/>
      </tp>
      <tp>
        <v>0.53951000000000005</v>
        <stp/>
        <stp>##V3_BDPV12</stp>
        <stp>HDSWI CMPN Curncy</stp>
        <stp>BID</stp>
        <stp>[DataSheet2.2.xlsm]HKD_DATA!R15C18</stp>
        <tr r="R15" s="52"/>
      </tp>
      <tp>
        <v>0.53274999999999995</v>
        <stp/>
        <stp>##V3_BDPV12</stp>
        <stp>HDSWF CMPN Curncy</stp>
        <stp>BID</stp>
        <stp>[DataSheet2.2.xlsm]HKD_DATA!R14C18</stp>
        <tr r="R14" s="52"/>
      </tp>
      <tp>
        <v>3.4</v>
        <stp/>
        <stp>##V3_BDPV12</stp>
        <stp>CNHON CMPN Curncy</stp>
        <stp>BID</stp>
        <stp>[DataSheet2.3.xlsm]CNH_DATA!R8C49</stp>
        <tr r="AW8" s="50"/>
      </tp>
      <tp>
        <v>3.98</v>
        <stp/>
        <stp>##V3_BDPV12</stp>
        <stp>CNHTN CMPN Curncy</stp>
        <stp>BID</stp>
        <stp>[DataSheet2.3.xlsm]CNH_DATA!R9C49</stp>
        <tr r="AW9" s="50"/>
      </tp>
      <tp>
        <v>-0.14000000000000001</v>
        <stp/>
        <stp>##V3_BDPV12</stp>
        <stp>CZKON CMPN Curncy</stp>
        <stp>BID</stp>
        <stp>[DataSheet2.2.xlsm]CZK_DATA!R8C49</stp>
        <tr r="AW8" s="14"/>
      </tp>
      <tp>
        <v>-0.18</v>
        <stp/>
        <stp>##V3_BDPV12</stp>
        <stp>CZKTN CMPN Curncy</stp>
        <stp>BID</stp>
        <stp>[DataSheet2.2.xlsm]CZK_DATA!R9C49</stp>
        <tr r="AW9" s="14"/>
      </tp>
      <tp>
        <v>0.67445999999999995</v>
        <stp/>
        <stp>##V3_BDPV12</stp>
        <stp>HIHD06M Index</stp>
        <stp>PX_LAST</stp>
        <stp>[DataSheet2.2.xlsm]HKD_DATA!R10C20</stp>
        <tr r="T10" s="52"/>
      </tp>
      <tp>
        <v>68</v>
        <stp/>
        <stp>##V3_BDPV12</stp>
        <stp>SRSSUS0I GMGM Curncy</stp>
        <stp>LAST_PRICE</stp>
        <stp>[DataSheet2.2.xlsm]SAR_DATA!R8C35</stp>
        <tr r="AI8" s="19"/>
      </tp>
      <tp>
        <v>66.5</v>
        <stp/>
        <stp>##V3_BDPV12</stp>
        <stp>SRSSUS0F GMGM Curncy</stp>
        <stp>LAST_PRICE</stp>
        <stp>[DataSheet2.2.xlsm]SAR_DATA!R7C35</stp>
        <tr r="AI7" s="19"/>
      </tp>
      <tp>
        <v>66.5</v>
        <stp/>
        <stp>##V3_BDPV12</stp>
        <stp>SRSSUS0F GMGM Curncy</stp>
        <stp>LAST_PRICE</stp>
        <stp>[DataSheet2.2.xlsm]INR_DATA!R7C35</stp>
        <tr r="AI7" s="54"/>
      </tp>
      <tp>
        <v>68</v>
        <stp/>
        <stp>##V3_BDPV12</stp>
        <stp>SRSSUS0I GMGM Curncy</stp>
        <stp>LAST_PRICE</stp>
        <stp>[DataSheet2.2.xlsm]INR_DATA!R8C35</stp>
        <tr r="AI8" s="54"/>
      </tp>
      <tp>
        <v>73.540000000000006</v>
        <stp/>
        <stp>##V3_BDPV12</stp>
        <stp>INR Curncy</stp>
        <stp>BID</stp>
        <stp>[DataSheet2.2.xlsm]INR_DATA!R7C49</stp>
        <tr r="AW7" s="54"/>
      </tp>
      <tp>
        <v>3.7509000000000001</v>
        <stp/>
        <stp>##V3_BDPV12</stp>
        <stp>SAR Curncy</stp>
        <stp>ASK</stp>
        <stp>[DataSheet2.2.xlsm]SAR_DATA!R7C50</stp>
        <tr r="AX7" s="19"/>
      </tp>
      <tp>
        <v>9.0999999999999998E-2</v>
        <stp/>
        <stp>##V3_BDPV12</stp>
        <stp>USSO2Z CMPN Curncy</stp>
        <stp>LAST_PRICE</stp>
        <stp>[DataSheet2.3.xlsm]USD_DATA!R9C9</stp>
        <tr r="I9" s="6"/>
      </tp>
      <tp>
        <v>16.779199999999999</v>
        <stp/>
        <stp>##V3_BDPV12</stp>
        <stp>ZAR Curncy</stp>
        <stp>ASK</stp>
        <stp>[DataSheet2.2.xlsm]ZAR_DATA!R7C55</stp>
        <tr r="BC7" s="8"/>
      </tp>
      <tp>
        <v>0.14000000000000001</v>
        <stp/>
        <stp>##V3_BDPV12</stp>
        <stp>CKSOI FMDR Curncy</stp>
        <stp>LAST_PRICE</stp>
        <stp>[DataSheet2.2.xlsm]CZK_DATA!R14C12</stp>
        <tr r="L14" s="14"/>
      </tp>
      <tp>
        <v>136.29</v>
        <stp/>
        <stp>##V3_BDPV12</stp>
        <stp>CNH1M CMPN Curncy</stp>
        <stp>BID</stp>
        <stp>[DataSheet2.3.xlsm]CNH_DATA!R12C49</stp>
        <tr r="AW12" s="50"/>
      </tp>
      <tp>
        <v>26</v>
        <stp/>
        <stp>##V3_BDPV12</stp>
        <stp>CNH1W CMPN Curncy</stp>
        <stp>BID</stp>
        <stp>[DataSheet2.3.xlsm]CNH_DATA!R10C49</stp>
        <tr r="AW10" s="50"/>
      </tp>
      <tp>
        <v>3285</v>
        <stp/>
        <stp>##V3_BDPV12</stp>
        <stp>CNH2Y CMPN Curncy</stp>
        <stp>BID</stp>
        <stp>[DataSheet2.3.xlsm]CNH_DATA!R24C49</stp>
        <tr r="AW24" s="50"/>
      </tp>
      <tp>
        <v>4910</v>
        <stp/>
        <stp>##V3_BDPV12</stp>
        <stp>CNH3Y CMPN Curncy</stp>
        <stp>BID</stp>
        <stp>[DataSheet2.3.xlsm]CNH_DATA!R25C49</stp>
        <tr r="AW25" s="50"/>
      </tp>
      <tp>
        <v>392.64</v>
        <stp/>
        <stp>##V3_BDPV12</stp>
        <stp>CNH3M CMPN Curncy</stp>
        <stp>BID</stp>
        <stp>[DataSheet2.3.xlsm]CNH_DATA!R14C49</stp>
        <tr r="AW14" s="50"/>
      </tp>
      <tp>
        <v>266.81</v>
        <stp/>
        <stp>##V3_BDPV12</stp>
        <stp>CNH2M CMPN Curncy</stp>
        <stp>BID</stp>
        <stp>[DataSheet2.3.xlsm]CNH_DATA!R13C49</stp>
        <tr r="AW13" s="50"/>
      </tp>
      <tp>
        <v>57</v>
        <stp/>
        <stp>##V3_BDPV12</stp>
        <stp>CNH2W CMPN Curncy</stp>
        <stp>BID</stp>
        <stp>[DataSheet2.3.xlsm]CNH_DATA!R11C49</stp>
        <tr r="AW11" s="50"/>
      </tp>
      <tp>
        <v>665</v>
        <stp/>
        <stp>##V3_BDPV12</stp>
        <stp>CNH5M CMPN Curncy</stp>
        <stp>BID</stp>
        <stp>[DataSheet2.3.xlsm]CNH_DATA!R16C49</stp>
        <tr r="AW16" s="50"/>
      </tp>
      <tp>
        <v>530</v>
        <stp/>
        <stp>##V3_BDPV12</stp>
        <stp>CNH4M CMPN Curncy</stp>
        <stp>BID</stp>
        <stp>[DataSheet2.3.xlsm]CNH_DATA!R15C49</stp>
        <tr r="AW15" s="50"/>
      </tp>
      <tp>
        <v>943.41</v>
        <stp/>
        <stp>##V3_BDPV12</stp>
        <stp>CNH7M CMPN Curncy</stp>
        <stp>BID</stp>
        <stp>[DataSheet2.3.xlsm]CNH_DATA!R18C49</stp>
        <tr r="AW18" s="50"/>
      </tp>
      <tp>
        <v>797</v>
        <stp/>
        <stp>##V3_BDPV12</stp>
        <stp>CNH6M CMPN Curncy</stp>
        <stp>BID</stp>
        <stp>[DataSheet2.3.xlsm]CNH_DATA!R17C49</stp>
        <tr r="AW17" s="50"/>
      </tp>
      <tp>
        <v>1065.31</v>
        <stp/>
        <stp>##V3_BDPV12</stp>
        <stp>CNH8M CMPN Curncy</stp>
        <stp>BID</stp>
        <stp>[DataSheet2.3.xlsm]CNH_DATA!R19C49</stp>
        <tr r="AW19" s="50"/>
      </tp>
      <tp>
        <v>1207.2</v>
        <stp/>
        <stp>##V3_BDPV12</stp>
        <stp>CNH9M CMPN Curncy</stp>
        <stp>BID</stp>
        <stp>[DataSheet2.3.xlsm]CNH_DATA!R20C49</stp>
        <tr r="AW20" s="50"/>
      </tp>
      <tp>
        <v>-7.75</v>
        <stp/>
        <stp>##V3_BDPV12</stp>
        <stp>EUBSF ICPL Curncy</stp>
        <stp>ASK</stp>
        <stp>[DataSheet2.3.xlsm]EUR_DATA!R8C45</stp>
        <tr r="AS8" s="31"/>
      </tp>
      <tp>
        <v>-16.125</v>
        <stp/>
        <stp>##V3_BDPV12</stp>
        <stp>EUBSI ICPL Curncy</stp>
        <stp>BID</stp>
        <stp>[DataSheet2.3.xlsm]EUR_DATA!R9C44</stp>
        <tr r="AR9" s="31"/>
      </tp>
      <tp>
        <v>277.39</v>
        <stp/>
        <stp>##V3_BDPV12</stp>
        <stp>CNH2M CMPN Curncy</stp>
        <stp>ASK</stp>
        <stp>[DataSheet2.3.xlsm]CNH_DATA!R13C50</stp>
        <tr r="AX13" s="50"/>
      </tp>
      <tp>
        <v>61</v>
        <stp/>
        <stp>##V3_BDPV12</stp>
        <stp>CNH2W CMPN Curncy</stp>
        <stp>ASK</stp>
        <stp>[DataSheet2.3.xlsm]CNH_DATA!R11C50</stp>
        <tr r="AX11" s="50"/>
      </tp>
      <tp>
        <v>405.47</v>
        <stp/>
        <stp>##V3_BDPV12</stp>
        <stp>CNH3M CMPN Curncy</stp>
        <stp>ASK</stp>
        <stp>[DataSheet2.3.xlsm]CNH_DATA!R14C50</stp>
        <tr r="AX14" s="50"/>
      </tp>
      <tp>
        <v>4990</v>
        <stp/>
        <stp>##V3_BDPV12</stp>
        <stp>CNH3Y CMPN Curncy</stp>
        <stp>ASK</stp>
        <stp>[DataSheet2.3.xlsm]CNH_DATA!R25C50</stp>
        <tr r="AX25" s="50"/>
      </tp>
      <tp>
        <v>147.02000000000001</v>
        <stp/>
        <stp>##V3_BDPV12</stp>
        <stp>CNH1M CMPN Curncy</stp>
        <stp>ASK</stp>
        <stp>[DataSheet2.3.xlsm]CNH_DATA!R12C50</stp>
        <tr r="AX12" s="50"/>
      </tp>
      <tp>
        <v>3345</v>
        <stp/>
        <stp>##V3_BDPV12</stp>
        <stp>CNH2Y CMPN Curncy</stp>
        <stp>ASK</stp>
        <stp>[DataSheet2.3.xlsm]CNH_DATA!R24C50</stp>
        <tr r="AX24" s="50"/>
      </tp>
      <tp>
        <v>32</v>
        <stp/>
        <stp>##V3_BDPV12</stp>
        <stp>CNH1W CMPN Curncy</stp>
        <stp>ASK</stp>
        <stp>[DataSheet2.3.xlsm]CNH_DATA!R10C50</stp>
        <tr r="AX10" s="50"/>
      </tp>
      <tp>
        <v>812</v>
        <stp/>
        <stp>##V3_BDPV12</stp>
        <stp>CNH6M CMPN Curncy</stp>
        <stp>ASK</stp>
        <stp>[DataSheet2.3.xlsm]CNH_DATA!R17C50</stp>
        <tr r="AX17" s="50"/>
      </tp>
      <tp>
        <v>959.98</v>
        <stp/>
        <stp>##V3_BDPV12</stp>
        <stp>CNH7M CMPN Curncy</stp>
        <stp>ASK</stp>
        <stp>[DataSheet2.3.xlsm]CNH_DATA!R18C50</stp>
        <tr r="AX18" s="50"/>
      </tp>
      <tp>
        <v>540</v>
        <stp/>
        <stp>##V3_BDPV12</stp>
        <stp>CNH4M CMPN Curncy</stp>
        <stp>ASK</stp>
        <stp>[DataSheet2.3.xlsm]CNH_DATA!R15C50</stp>
        <tr r="AX15" s="50"/>
      </tp>
      <tp>
        <v>710</v>
        <stp/>
        <stp>##V3_BDPV12</stp>
        <stp>CNH5M CMPN Curncy</stp>
        <stp>ASK</stp>
        <stp>[DataSheet2.3.xlsm]CNH_DATA!R16C50</stp>
        <tr r="AX16" s="50"/>
      </tp>
      <tp>
        <v>0.23400000000000001</v>
        <stp/>
        <stp>##V3_BDPV12</stp>
        <stp>CDSOI FMDR Curncy</stp>
        <stp>LAST_PRICE</stp>
        <stp>[DataSheet2.3.xlsm]CAD_DATA!R14C12</stp>
        <tr r="L14" s="48"/>
      </tp>
      <tp>
        <v>1235.2</v>
        <stp/>
        <stp>##V3_BDPV12</stp>
        <stp>CNH9M CMPN Curncy</stp>
        <stp>ASK</stp>
        <stp>[DataSheet2.3.xlsm]CNH_DATA!R20C50</stp>
        <tr r="AX20" s="50"/>
      </tp>
      <tp>
        <v>1095.99</v>
        <stp/>
        <stp>##V3_BDPV12</stp>
        <stp>CNH8M CMPN Curncy</stp>
        <stp>ASK</stp>
        <stp>[DataSheet2.3.xlsm]CNH_DATA!R19C50</stp>
        <tr r="AX19" s="50"/>
      </tp>
      <tp>
        <v>5.1759000000000004</v>
        <stp/>
        <stp>##V3_BDPV12</stp>
        <stp>IRSWN5 BGN Curncy</stp>
        <stp>BID</stp>
        <stp>[DataSheet2.2.xlsm]INR_DATA!R23C49</stp>
        <tr r="AW23" s="54"/>
      </tp>
      <tp>
        <v>5.2840999999999996</v>
        <stp/>
        <stp>##V3_BDPV12</stp>
        <stp>IRSWN5 BGN Curncy</stp>
        <stp>ASK</stp>
        <stp>[DataSheet2.2.xlsm]INR_DATA!R23C50</stp>
        <tr r="AX23" s="54"/>
      </tp>
      <tp>
        <v>-75.5</v>
        <stp/>
        <stp>##V3_BDPV12</stp>
        <stp>SRUSSW4 GMGM Curncy</stp>
        <stp>PX_LAST</stp>
        <stp>[DataSheet2.2.xlsm]INR_DATA!R10C43</stp>
        <tr r="AQ10" s="54"/>
      </tp>
      <tp>
        <v>3.923</v>
        <stp/>
        <stp>##V3_BDPV12</stp>
        <stp>IRSWOC FMDR Curncy</stp>
        <stp>LAST_PRICE</stp>
        <stp>[DataSheet2.2.xlsm]INR_DATA!R10C12</stp>
        <tr r="L10" s="54"/>
      </tp>
      <tp>
        <v>1.895</v>
        <stp/>
        <stp>##V3_BDPV12</stp>
        <stp>BUBR6M Index</stp>
        <stp>PX_LAST</stp>
        <stp>[DataSheet2.2.xlsm]RON_DATA!R10C20</stp>
        <tr r="T10" s="16"/>
      </tp>
      <tp>
        <v>0.94569999999999999</v>
        <stp/>
        <stp>##V3_BDPV12</stp>
        <stp>CDSW8 BGN Curncy</stp>
        <stp>ASK</stp>
        <stp>[DataSheet2.3.xlsm]GBP_DATA!R21C19</stp>
        <tr r="S21" s="58"/>
      </tp>
      <tp>
        <v>0.92269999999999996</v>
        <stp/>
        <stp>##V3_BDPV12</stp>
        <stp>CDSW8 BGN Curncy</stp>
        <stp>BID</stp>
        <stp>[DataSheet2.3.xlsm]GBP_DATA!R21C18</stp>
        <tr r="R21" s="58"/>
      </tp>
      <tp>
        <v>0.2</v>
        <stp/>
        <stp>##V3_BDPV12</stp>
        <stp>HDSOF TRHK Curncy</stp>
        <stp>LAST_PRICE</stp>
        <stp>[DataSheet2.2.xlsm]HKD_DATA!R11C12</stp>
        <tr r="L11" s="52"/>
      </tp>
      <tp>
        <v>0.42699999999999999</v>
        <stp/>
        <stp>##V3_BDPV12</stp>
        <stp>US0012M Index</stp>
        <stp>PX_LAST</stp>
        <stp>[DataSheet2.3.xlsm]USD_DATA!R10C17</stp>
        <tr r="Q10" s="6"/>
      </tp>
      <tp>
        <v>330</v>
        <stp/>
        <stp>##V3_BDPV12</stp>
        <stp>AED3Y NBAD Curncy</stp>
        <stp>ASK</stp>
        <stp>[DataSheet2.2.xlsm]AED_DATA!R31C50</stp>
        <tr r="AX31" s="18"/>
      </tp>
      <tp>
        <v>4</v>
        <stp/>
        <stp>##V3_BDPV12</stp>
        <stp>AED2M NBAD Curncy</stp>
        <stp>ASK</stp>
        <stp>[DataSheet2.2.xlsm]AED_DATA!R25C50</stp>
        <tr r="AX25" s="18"/>
      </tp>
      <tp>
        <v>150</v>
        <stp/>
        <stp>##V3_BDPV12</stp>
        <stp>AED2Y NBAD Curncy</stp>
        <stp>ASK</stp>
        <stp>[DataSheet2.2.xlsm]AED_DATA!R30C50</stp>
        <tr r="AX30" s="18"/>
      </tp>
      <tp>
        <v>6</v>
        <stp/>
        <stp>##V3_BDPV12</stp>
        <stp>AED3M NBAD Curncy</stp>
        <stp>ASK</stp>
        <stp>[DataSheet2.2.xlsm]AED_DATA!R26C50</stp>
        <tr r="AX26" s="18"/>
      </tp>
      <tp>
        <v>0.7</v>
        <stp/>
        <stp>##V3_BDPV12</stp>
        <stp>AED1W NBAD Curncy</stp>
        <stp>ASK</stp>
        <stp>[DataSheet2.2.xlsm]AED_DATA!R23C50</stp>
        <tr r="AX23" s="18"/>
      </tp>
      <tp>
        <v>2.5</v>
        <stp/>
        <stp>##V3_BDPV12</stp>
        <stp>AED1M NBAD Curncy</stp>
        <stp>ASK</stp>
        <stp>[DataSheet2.2.xlsm]AED_DATA!R24C50</stp>
        <tr r="AX24" s="18"/>
      </tp>
      <tp>
        <v>14</v>
        <stp/>
        <stp>##V3_BDPV12</stp>
        <stp>AED6M NBAD Curncy</stp>
        <stp>ASK</stp>
        <stp>[DataSheet2.2.xlsm]AED_DATA!R27C50</stp>
        <tr r="AX27" s="18"/>
      </tp>
      <tp>
        <v>725</v>
        <stp/>
        <stp>##V3_BDPV12</stp>
        <stp>AED5Y NBAD Curncy</stp>
        <stp>ASK</stp>
        <stp>[DataSheet2.2.xlsm]AED_DATA!R33C50</stp>
        <tr r="AX33" s="18"/>
      </tp>
      <tp>
        <v>525</v>
        <stp/>
        <stp>##V3_BDPV12</stp>
        <stp>AED4Y NBAD Curncy</stp>
        <stp>ASK</stp>
        <stp>[DataSheet2.2.xlsm]AED_DATA!R32C50</stp>
        <tr r="AX32" s="18"/>
      </tp>
      <tp>
        <v>26</v>
        <stp/>
        <stp>##V3_BDPV12</stp>
        <stp>AED9M NBAD Curncy</stp>
        <stp>ASK</stp>
        <stp>[DataSheet2.2.xlsm]AED_DATA!R28C50</stp>
        <tr r="AX28" s="18"/>
      </tp>
      <tp>
        <v>0.4</v>
        <stp/>
        <stp>##V3_BDPV12</stp>
        <stp>AEDTN NBAD Curncy</stp>
        <stp>ASK</stp>
        <stp>[DataSheet2.2.xlsm]AED_DATA!R22C50</stp>
        <tr r="AX22" s="18"/>
      </tp>
      <tp>
        <v>-1</v>
        <stp/>
        <stp>##V3_BDPV12</stp>
        <stp>AED1W NBAD Curncy</stp>
        <stp>BID</stp>
        <stp>[DataSheet2.2.xlsm]AED_DATA!R23C49</stp>
        <tr r="AW23" s="18"/>
      </tp>
      <tp t="s">
        <v>#N/A N/A</v>
        <stp/>
        <stp>##V3_BDPV12</stp>
        <stp>AED1M NBAD Curncy</stp>
        <stp>BID</stp>
        <stp>[DataSheet2.2.xlsm]AED_DATA!R24C49</stp>
        <tr r="AW24" s="18"/>
      </tp>
      <tp>
        <v>100</v>
        <stp/>
        <stp>##V3_BDPV12</stp>
        <stp>AED2Y NBAD Curncy</stp>
        <stp>BID</stp>
        <stp>[DataSheet2.2.xlsm]AED_DATA!R30C49</stp>
        <tr r="AW30" s="18"/>
      </tp>
      <tp>
        <v>2</v>
        <stp/>
        <stp>##V3_BDPV12</stp>
        <stp>AED3M NBAD Curncy</stp>
        <stp>BID</stp>
        <stp>[DataSheet2.2.xlsm]AED_DATA!R26C49</stp>
        <tr r="AW26" s="18"/>
      </tp>
      <tp>
        <v>230</v>
        <stp/>
        <stp>##V3_BDPV12</stp>
        <stp>AED3Y NBAD Curncy</stp>
        <stp>BID</stp>
        <stp>[DataSheet2.2.xlsm]AED_DATA!R31C49</stp>
        <tr r="AW31" s="18"/>
      </tp>
      <tp>
        <v>1</v>
        <stp/>
        <stp>##V3_BDPV12</stp>
        <stp>AED2M NBAD Curncy</stp>
        <stp>BID</stp>
        <stp>[DataSheet2.2.xlsm]AED_DATA!R25C49</stp>
        <tr r="AW25" s="18"/>
      </tp>
      <tp>
        <v>350</v>
        <stp/>
        <stp>##V3_BDPV12</stp>
        <stp>AED4Y NBAD Curncy</stp>
        <stp>BID</stp>
        <stp>[DataSheet2.2.xlsm]AED_DATA!R32C49</stp>
        <tr r="AW32" s="18"/>
      </tp>
      <tp>
        <v>425</v>
        <stp/>
        <stp>##V3_BDPV12</stp>
        <stp>AED5Y NBAD Curncy</stp>
        <stp>BID</stp>
        <stp>[DataSheet2.2.xlsm]AED_DATA!R33C49</stp>
        <tr r="AW33" s="18"/>
      </tp>
      <tp>
        <v>9</v>
        <stp/>
        <stp>##V3_BDPV12</stp>
        <stp>AED6M NBAD Curncy</stp>
        <stp>BID</stp>
        <stp>[DataSheet2.2.xlsm]AED_DATA!R27C49</stp>
        <tr r="AW27" s="18"/>
      </tp>
      <tp>
        <v>18</v>
        <stp/>
        <stp>##V3_BDPV12</stp>
        <stp>AED9M NBAD Curncy</stp>
        <stp>BID</stp>
        <stp>[DataSheet2.2.xlsm]AED_DATA!R28C49</stp>
        <tr r="AW28" s="18"/>
      </tp>
      <tp>
        <v>-0.5</v>
        <stp/>
        <stp>##V3_BDPV12</stp>
        <stp>AEDTN NBAD Curncy</stp>
        <stp>BID</stp>
        <stp>[DataSheet2.2.xlsm]AED_DATA!R22C49</stp>
        <tr r="AW22" s="18"/>
      </tp>
      <tp>
        <v>0.89</v>
        <stp/>
        <stp>##V3_BDPV12</stp>
        <stp>SAIB3M Index</stp>
        <stp>LAST_PRICE</stp>
        <stp>[DataSheet2.2.xlsm]INR_DATA!R9C20</stp>
        <tr r="T9" s="54"/>
      </tp>
      <tp>
        <v>0.72499999999999998</v>
        <stp/>
        <stp>##V3_BDPV12</stp>
        <stp>SAIB1M Index</stp>
        <stp>LAST_PRICE</stp>
        <stp>[DataSheet2.2.xlsm]INR_DATA!R8C20</stp>
        <tr r="T8" s="54"/>
      </tp>
      <tp>
        <v>0.57125000000000004</v>
        <stp/>
        <stp>##V3_BDPV12</stp>
        <stp>SAIBON Index</stp>
        <stp>LAST_PRICE</stp>
        <stp>[DataSheet2.2.xlsm]INR_DATA!R7C20</stp>
        <tr r="T7" s="54"/>
      </tp>
      <tp>
        <v>0.09</v>
        <stp/>
        <stp>##V3_BDPV12</stp>
        <stp>FEDL01 Index</stp>
        <stp>LAST_PRICE</stp>
        <stp>[DataSheet2.3.xlsm]USD_DATA!R7C9</stp>
        <tr r="I7" s="6"/>
      </tp>
      <tp>
        <v>0.72499999999999998</v>
        <stp/>
        <stp>##V3_BDPV12</stp>
        <stp>SAIB1M Index</stp>
        <stp>LAST_PRICE</stp>
        <stp>[DataSheet2.2.xlsm]SAR_DATA!R8C20</stp>
        <tr r="T8" s="19"/>
      </tp>
      <tp>
        <v>0.89</v>
        <stp/>
        <stp>##V3_BDPV12</stp>
        <stp>SAIB3M Index</stp>
        <stp>LAST_PRICE</stp>
        <stp>[DataSheet2.2.xlsm]SAR_DATA!R9C20</stp>
        <tr r="T9" s="19"/>
      </tp>
      <tp>
        <v>0.57125000000000004</v>
        <stp/>
        <stp>##V3_BDPV12</stp>
        <stp>SAIBON Index</stp>
        <stp>LAST_PRICE</stp>
        <stp>[DataSheet2.2.xlsm]SAR_DATA!R7C20</stp>
        <tr r="T7" s="19"/>
      </tp>
      <tp>
        <v>-46.673999999999999</v>
        <stp/>
        <stp>##V3_BDPV12</stp>
        <stp>UDUSSW4 GFID Curncy</stp>
        <stp>PX_LAST</stp>
        <stp>[DataSheet2.2.xlsm]AED_DATA!R10C43</stp>
        <tr r="AQ10" s="18"/>
      </tp>
      <tp t="s">
        <v>#N/A N/A</v>
        <stp/>
        <stp>##V3_BDPV12</stp>
        <stp>PZSO1Z BLC3 Curncy</stp>
        <stp>ASK</stp>
        <stp>[DataSheet2.2.xlsm]PLN_DATA!R8C11</stp>
        <tr r="K8" s="12"/>
      </tp>
      <tp>
        <v>0.99670000000000003</v>
        <stp/>
        <stp>##V3_BDPV12</stp>
        <stp>CDSW9 BGN Curncy</stp>
        <stp>ASK</stp>
        <stp>[DataSheet2.3.xlsm]GBP_DATA!R22C19</stp>
        <tr r="S22" s="58"/>
      </tp>
      <tp>
        <v>3.4060999999999999</v>
        <stp/>
        <stp>##V3_BDPV12</stp>
        <stp>ILS Curncy</stp>
        <stp>BID</stp>
        <stp>[DataSheet2.2.xlsm]ILS_DATA!R7C49</stp>
        <tr r="AW7" s="17"/>
      </tp>
      <tp>
        <v>0.9829</v>
        <stp/>
        <stp>##V3_BDPV12</stp>
        <stp>CDSW9 BGN Curncy</stp>
        <stp>BID</stp>
        <stp>[DataSheet2.3.xlsm]GBP_DATA!R22C18</stp>
        <tr r="R22" s="58"/>
      </tp>
      <tp>
        <v>144</v>
        <stp/>
        <stp>##V3_BDPV12</stp>
        <stp>TYBS4 ICPL Curncy</stp>
        <stp>BID</stp>
        <stp>[DataSheet2.2.xlsm]TRY_DATA!R10C41</stp>
        <tr r="AO10" s="10"/>
      </tp>
      <tp>
        <v>125</v>
        <stp/>
        <stp>##V3_BDPV12</stp>
        <stp>TYBS5 ICPL Curncy</stp>
        <stp>BID</stp>
        <stp>[DataSheet2.2.xlsm]TRY_DATA!R11C41</stp>
        <tr r="AO11" s="10"/>
      </tp>
      <tp>
        <v>70</v>
        <stp/>
        <stp>##V3_BDPV12</stp>
        <stp>TYBS6 ICPL Curncy</stp>
        <stp>BID</stp>
        <stp>[DataSheet2.2.xlsm]TRY_DATA!R12C41</stp>
        <tr r="AO12" s="10"/>
      </tp>
      <tp>
        <v>69</v>
        <stp/>
        <stp>##V3_BDPV12</stp>
        <stp>TYBS7 ICPL Curncy</stp>
        <stp>BID</stp>
        <stp>[DataSheet2.2.xlsm]TRY_DATA!R13C41</stp>
        <tr r="AO13" s="10"/>
      </tp>
      <tp>
        <v>55</v>
        <stp/>
        <stp>##V3_BDPV12</stp>
        <stp>TYBS8 ICPL Curncy</stp>
        <stp>BID</stp>
        <stp>[DataSheet2.2.xlsm]TRY_DATA!R14C41</stp>
        <tr r="AO14" s="10"/>
      </tp>
      <tp>
        <v>54</v>
        <stp/>
        <stp>##V3_BDPV12</stp>
        <stp>TYBS9 ICPL Curncy</stp>
        <stp>BID</stp>
        <stp>[DataSheet2.2.xlsm]TRY_DATA!R15C41</stp>
        <tr r="AO15" s="10"/>
      </tp>
      <tp>
        <v>105</v>
        <stp/>
        <stp>##V3_BDPV12</stp>
        <stp>TYBS8 ICPL Curncy</stp>
        <stp>ASK</stp>
        <stp>[DataSheet2.2.xlsm]TRY_DATA!R14C42</stp>
        <tr r="AP14" s="10"/>
      </tp>
      <tp>
        <v>104</v>
        <stp/>
        <stp>##V3_BDPV12</stp>
        <stp>TYBS9 ICPL Curncy</stp>
        <stp>ASK</stp>
        <stp>[DataSheet2.2.xlsm]TRY_DATA!R15C42</stp>
        <tr r="AP15" s="10"/>
      </tp>
      <tp>
        <v>194</v>
        <stp/>
        <stp>##V3_BDPV12</stp>
        <stp>TYBS4 ICPL Curncy</stp>
        <stp>ASK</stp>
        <stp>[DataSheet2.2.xlsm]TRY_DATA!R10C42</stp>
        <tr r="AP10" s="10"/>
      </tp>
      <tp>
        <v>175</v>
        <stp/>
        <stp>##V3_BDPV12</stp>
        <stp>TYBS5 ICPL Curncy</stp>
        <stp>ASK</stp>
        <stp>[DataSheet2.2.xlsm]TRY_DATA!R11C42</stp>
        <tr r="AP11" s="10"/>
      </tp>
      <tp>
        <v>120</v>
        <stp/>
        <stp>##V3_BDPV12</stp>
        <stp>TYBS6 ICPL Curncy</stp>
        <stp>ASK</stp>
        <stp>[DataSheet2.2.xlsm]TRY_DATA!R12C42</stp>
        <tr r="AP12" s="10"/>
      </tp>
      <tp>
        <v>119</v>
        <stp/>
        <stp>##V3_BDPV12</stp>
        <stp>TYBS7 ICPL Curncy</stp>
        <stp>ASK</stp>
        <stp>[DataSheet2.2.xlsm]TRY_DATA!R13C42</stp>
        <tr r="AP13" s="10"/>
      </tp>
      <tp>
        <v>4.6989999999999998</v>
        <stp/>
        <stp>##V3_BDPV12</stp>
        <stp>IRSWN3 BGN Curncy</stp>
        <stp>BID</stp>
        <stp>[DataSheet2.2.xlsm]INR_DATA!R22C49</stp>
        <tr r="AW22" s="54"/>
      </tp>
      <tp>
        <v>4.8209999999999997</v>
        <stp/>
        <stp>##V3_BDPV12</stp>
        <stp>IRSWN3 BGN Curncy</stp>
        <stp>ASK</stp>
        <stp>[DataSheet2.2.xlsm]INR_DATA!R22C50</stp>
        <tr r="AX22" s="54"/>
      </tp>
      <tp>
        <v>0.02</v>
        <stp/>
        <stp>##V3_BDPV12</stp>
        <stp>PZCFPLNI Index</stp>
        <stp>LAST_PRICE</stp>
        <stp>[DataSheet2.2.xlsm]PLN_DATA!R7C12</stp>
        <tr r="L7" s="12"/>
      </tp>
      <tp>
        <v>1.9619999999999999E-2</v>
        <stp/>
        <stp>##V3_BDPV12</stp>
        <stp>HOISHKD Index</stp>
        <stp>LAST_PRICE</stp>
        <stp>[DataSheet2.2.xlsm]HKD_DATA!R7C12</stp>
        <tr r="L7" s="52"/>
      </tp>
      <tp>
        <v>0.81537000000000004</v>
        <stp/>
        <stp>##V3_BDPV12</stp>
        <stp>EIBO12M Index</stp>
        <stp>LAST_PRICE</stp>
        <stp>[DataSheet2.2.xlsm]AED_DATA!R11C20</stp>
        <tr r="T11" s="18"/>
      </tp>
      <tp>
        <v>0.56000000000000005</v>
        <stp/>
        <stp>##V3_BDPV12</stp>
        <stp>HDSW1F CMPN Curncy</stp>
        <stp>LAST_PRICE</stp>
        <stp>[DataSheet2.2.xlsm]HKD_DATA!R17C20</stp>
        <tr r="T17" s="52"/>
      </tp>
      <tp>
        <v>-3.3000000000000002E-2</v>
        <stp/>
        <stp>##V3_BDPV12</stp>
        <stp>JPYON MTRT Curncy</stp>
        <stp>ASK</stp>
        <stp>[DataSheet2.3.xlsm]JPY_DATA!R8C48</stp>
        <tr r="AV8" s="46"/>
      </tp>
      <tp>
        <v>-0.40699999999999997</v>
        <stp/>
        <stp>##V3_BDPV12</stp>
        <stp>EE0012M Index</stp>
        <stp>PX_LAST</stp>
        <stp>[DataSheet2.3.xlsm]EUR_DATA!R10C25</stp>
        <tr r="Y10" s="31"/>
      </tp>
      <tp>
        <v>-0.40699999999999997</v>
        <stp/>
        <stp>##V3_BDPV12</stp>
        <stp>EE0012M Index</stp>
        <stp>PX_LAST</stp>
        <stp>[DataSheet2.3.xlsm]EUR_DATA!R10C20</stp>
        <tr r="T10" s="31"/>
      </tp>
      <tp>
        <v>0.28499999999999998</v>
        <stp/>
        <stp>##V3_BDPV12</stp>
        <stp>PZSW2 ICPL Curncy</stp>
        <stp>ASK</stp>
        <stp>[DataSheet2.2.xlsm]PLN_DATA!R18C19</stp>
        <tr r="S18" s="12"/>
      </tp>
      <tp>
        <v>0.36</v>
        <stp/>
        <stp>##V3_BDPV12</stp>
        <stp>PZSW3 ICPL Curncy</stp>
        <stp>ASK</stp>
        <stp>[DataSheet2.2.xlsm]PLN_DATA!R19C19</stp>
        <tr r="S19" s="12"/>
      </tp>
      <tp>
        <v>0.93500000000000005</v>
        <stp/>
        <stp>##V3_BDPV12</stp>
        <stp>PZSW8 ICPL Curncy</stp>
        <stp>ASK</stp>
        <stp>[DataSheet2.2.xlsm]PLN_DATA!R24C19</stp>
        <tr r="S24" s="12"/>
      </tp>
      <tp>
        <v>1.0049999999999999</v>
        <stp/>
        <stp>##V3_BDPV12</stp>
        <stp>PZSW9 ICPL Curncy</stp>
        <stp>ASK</stp>
        <stp>[DataSheet2.2.xlsm]PLN_DATA!R25C19</stp>
        <tr r="S25" s="12"/>
      </tp>
      <tp>
        <v>0.4975</v>
        <stp/>
        <stp>##V3_BDPV12</stp>
        <stp>PZSW4 ICPL Curncy</stp>
        <stp>ASK</stp>
        <stp>[DataSheet2.2.xlsm]PLN_DATA!R20C19</stp>
        <tr r="S20" s="12"/>
      </tp>
      <tp>
        <v>0.63749999999999996</v>
        <stp/>
        <stp>##V3_BDPV12</stp>
        <stp>PZSW5 ICPL Curncy</stp>
        <stp>ASK</stp>
        <stp>[DataSheet2.2.xlsm]PLN_DATA!R21C19</stp>
        <tr r="S21" s="12"/>
      </tp>
      <tp>
        <v>0.75749999999999995</v>
        <stp/>
        <stp>##V3_BDPV12</stp>
        <stp>PZSW6 ICPL Curncy</stp>
        <stp>ASK</stp>
        <stp>[DataSheet2.2.xlsm]PLN_DATA!R22C19</stp>
        <tr r="S22" s="12"/>
      </tp>
      <tp>
        <v>0.85499999999999998</v>
        <stp/>
        <stp>##V3_BDPV12</stp>
        <stp>PZSW7 ICPL Curncy</stp>
        <stp>ASK</stp>
        <stp>[DataSheet2.2.xlsm]PLN_DATA!R23C19</stp>
        <tr r="S23" s="12"/>
      </tp>
      <tp>
        <v>0.45750000000000002</v>
        <stp/>
        <stp>##V3_BDPV12</stp>
        <stp>PZSW4 ICPL Curncy</stp>
        <stp>BID</stp>
        <stp>[DataSheet2.2.xlsm]PLN_DATA!R20C18</stp>
        <tr r="R20" s="12"/>
      </tp>
      <tp>
        <v>0.59750000000000003</v>
        <stp/>
        <stp>##V3_BDPV12</stp>
        <stp>PZSW5 ICPL Curncy</stp>
        <stp>BID</stp>
        <stp>[DataSheet2.2.xlsm]PLN_DATA!R21C18</stp>
        <tr r="R21" s="12"/>
      </tp>
      <tp>
        <v>0.71750000000000003</v>
        <stp/>
        <stp>##V3_BDPV12</stp>
        <stp>PZSW6 ICPL Curncy</stp>
        <stp>BID</stp>
        <stp>[DataSheet2.2.xlsm]PLN_DATA!R22C18</stp>
        <tr r="R22" s="12"/>
      </tp>
      <tp>
        <v>0.81499999999999995</v>
        <stp/>
        <stp>##V3_BDPV12</stp>
        <stp>PZSW7 ICPL Curncy</stp>
        <stp>BID</stp>
        <stp>[DataSheet2.2.xlsm]PLN_DATA!R23C18</stp>
        <tr r="R23" s="12"/>
      </tp>
      <tp>
        <v>0.89500000000000002</v>
        <stp/>
        <stp>##V3_BDPV12</stp>
        <stp>PZSW8 ICPL Curncy</stp>
        <stp>BID</stp>
        <stp>[DataSheet2.2.xlsm]PLN_DATA!R24C18</stp>
        <tr r="R24" s="12"/>
      </tp>
      <tp>
        <v>0.96499999999999997</v>
        <stp/>
        <stp>##V3_BDPV12</stp>
        <stp>PZSW9 ICPL Curncy</stp>
        <stp>BID</stp>
        <stp>[DataSheet2.2.xlsm]PLN_DATA!R25C18</stp>
        <tr r="R25" s="12"/>
      </tp>
      <tp>
        <v>0.245</v>
        <stp/>
        <stp>##V3_BDPV12</stp>
        <stp>PZSW2 ICPL Curncy</stp>
        <stp>BID</stp>
        <stp>[DataSheet2.2.xlsm]PLN_DATA!R18C18</stp>
        <tr r="R18" s="12"/>
      </tp>
      <tp>
        <v>0.32</v>
        <stp/>
        <stp>##V3_BDPV12</stp>
        <stp>PZSW3 ICPL Curncy</stp>
        <stp>BID</stp>
        <stp>[DataSheet2.2.xlsm]PLN_DATA!R19C18</stp>
        <tr r="R19" s="12"/>
      </tp>
      <tp>
        <v>-1.75</v>
        <stp/>
        <stp>##V3_BDPV12</stp>
        <stp>EUBSC ICPL Curncy</stp>
        <stp>ASK</stp>
        <stp>[DataSheet2.3.xlsm]EUR_DATA!R7C45</stp>
        <tr r="AS7" s="31"/>
      </tp>
      <tp>
        <v>4.4924999999999997</v>
        <stp/>
        <stp>##V3_BDPV12</stp>
        <stp>IRSWN2 BGN Curncy</stp>
        <stp>BID</stp>
        <stp>[DataSheet2.2.xlsm]INR_DATA!R21C49</stp>
        <tr r="AW21" s="54"/>
      </tp>
      <tp>
        <v>4.6074999999999999</v>
        <stp/>
        <stp>##V3_BDPV12</stp>
        <stp>IRSWN2 BGN Curncy</stp>
        <stp>ASK</stp>
        <stp>[DataSheet2.2.xlsm]INR_DATA!R21C50</stp>
        <tr r="AX21" s="54"/>
      </tp>
      <tp>
        <v>4</v>
        <stp/>
        <stp>##V3_BDPV12</stp>
        <stp>RUONIA Index</stp>
        <stp>LAST_PRICE</stp>
        <stp>[DataSheet2.2.xlsm]RUB_DATA!R7C12</stp>
        <tr r="L7" s="4"/>
      </tp>
      <tp>
        <v>3.673</v>
        <stp/>
        <stp>##V3_BDPV12</stp>
        <stp>AED Curncy</stp>
        <stp>ASK</stp>
        <stp>[DataSheet2.2.xlsm]AED_DATA!R7C50</stp>
        <tr r="AX7" s="18"/>
      </tp>
      <tp>
        <v>0.8</v>
        <stp/>
        <stp>##V3_BDPV12</stp>
        <stp>UDSW3 TPRA Curncy</stp>
        <stp>BID</stp>
        <stp>[DataSheet2.3.xlsm]BRL_DATA!R19C18</stp>
        <tr r="R19" s="59"/>
      </tp>
      <tp>
        <v>-0.25</v>
        <stp/>
        <stp>##V3_BDPV12</stp>
        <stp>ILSON ICPL Curncy</stp>
        <stp>ASK</stp>
        <stp>[DataSheet2.2.xlsm]ILS_DATA!R8C50</stp>
        <tr r="AX8" s="17"/>
      </tp>
      <tp>
        <v>-0.3</v>
        <stp/>
        <stp>##V3_BDPV12</stp>
        <stp>ILSTN ICPL Curncy</stp>
        <stp>ASK</stp>
        <stp>[DataSheet2.2.xlsm]ILS_DATA!R9C50</stp>
        <tr r="AX9" s="17"/>
      </tp>
      <tp>
        <v>0.9</v>
        <stp/>
        <stp>##V3_BDPV12</stp>
        <stp>UDSW3 TPRA Curncy</stp>
        <stp>ASK</stp>
        <stp>[DataSheet2.3.xlsm]BRL_DATA!R19C19</stp>
        <tr r="S19" s="59"/>
      </tp>
      <tp>
        <v>-20</v>
        <stp/>
        <stp>##V3_BDPV12</stp>
        <stp>PLN2Y ICPL Curncy</stp>
        <stp>LAST_PRICE</stp>
        <stp>[DataSheet2.2.xlsm]PLN_DATA!R26C51</stp>
        <tr r="AY26" s="12"/>
      </tp>
      <tp>
        <v>60</v>
        <stp/>
        <stp>##V3_BDPV12</stp>
        <stp>PLN3Y ICPL Curncy</stp>
        <stp>LAST_PRICE</stp>
        <stp>[DataSheet2.2.xlsm]PLN_DATA!R27C51</stp>
        <tr r="AY27" s="12"/>
      </tp>
      <tp t="s">
        <v>#N/A N/A</v>
        <stp/>
        <stp>##V3_BDPV12</stp>
        <stp>PLN4Y ICPL Curncy</stp>
        <stp>LAST_PRICE</stp>
        <stp>[DataSheet2.2.xlsm]PLN_DATA!R28C51</stp>
        <tr r="AY28" s="12"/>
      </tp>
      <tp t="s">
        <v>#N/A N/A</v>
        <stp/>
        <stp>##V3_BDPV12</stp>
        <stp>PLN5Y ICPL Curncy</stp>
        <stp>LAST_PRICE</stp>
        <stp>[DataSheet2.2.xlsm]PLN_DATA!R29C51</stp>
        <tr r="AY29" s="12"/>
      </tp>
      <tp>
        <v>3315</v>
        <stp/>
        <stp>##V3_BDPV12</stp>
        <stp>CNH2Y CMPN Curncy</stp>
        <stp>LAST_PRICE</stp>
        <stp>[DataSheet2.3.xlsm]CNH_DATA!R24C51</stp>
        <tr r="AY24" s="50"/>
      </tp>
      <tp>
        <v>4950</v>
        <stp/>
        <stp>##V3_BDPV12</stp>
        <stp>CNH3Y CMPN Curncy</stp>
        <stp>LAST_PRICE</stp>
        <stp>[DataSheet2.3.xlsm]CNH_DATA!R25C51</stp>
        <tr r="AY25" s="50"/>
      </tp>
      <tp>
        <v>-88.6</v>
        <stp/>
        <stp>##V3_BDPV12</stp>
        <stp>CZK4Y CMPN Curncy</stp>
        <stp>LAST_PRICE</stp>
        <stp>[DataSheet2.2.xlsm]CZK_DATA!R28C51</stp>
        <tr r="AY28" s="14"/>
      </tp>
      <tp>
        <v>-108.5</v>
        <stp/>
        <stp>##V3_BDPV12</stp>
        <stp>CZK5Y CMPN Curncy</stp>
        <stp>LAST_PRICE</stp>
        <stp>[DataSheet2.2.xlsm]CZK_DATA!R29C51</stp>
        <tr r="AY29" s="14"/>
      </tp>
      <tp>
        <v>-120.5</v>
        <stp/>
        <stp>##V3_BDPV12</stp>
        <stp>CZK2Y CMPN Curncy</stp>
        <stp>LAST_PRICE</stp>
        <stp>[DataSheet2.2.xlsm]CZK_DATA!R26C51</stp>
        <tr r="AY26" s="14"/>
      </tp>
      <tp>
        <v>-119.5</v>
        <stp/>
        <stp>##V3_BDPV12</stp>
        <stp>CZK3Y CMPN Curncy</stp>
        <stp>LAST_PRICE</stp>
        <stp>[DataSheet2.2.xlsm]CZK_DATA!R27C51</stp>
        <tr r="AY27" s="14"/>
      </tp>
      <tp>
        <v>0.23400000000000001</v>
        <stp/>
        <stp>##V3_BDPV12</stp>
        <stp>CDSOI FMDR Curncy</stp>
        <stp>LAST_PRICE</stp>
        <stp>[DataSheet2.3.xlsm]GBP_DATA!R14C12</stp>
        <tr r="L14" s="58"/>
      </tp>
      <tp>
        <v>-17</v>
        <stp/>
        <stp>##V3_BDPV12</stp>
        <stp>HDBS4 ICHK Curncy</stp>
        <stp>BID</stp>
        <stp>[DataSheet2.2.xlsm]HKD_DATA!R13C41</stp>
        <tr r="AO13" s="52"/>
      </tp>
      <tp>
        <v>-18</v>
        <stp/>
        <stp>##V3_BDPV12</stp>
        <stp>HDBS7 ICHK Curncy</stp>
        <stp>BID</stp>
        <stp>[DataSheet2.2.xlsm]HKD_DATA!R15C41</stp>
        <tr r="AO15" s="52"/>
      </tp>
      <tp>
        <v>-16</v>
        <stp/>
        <stp>##V3_BDPV12</stp>
        <stp>HDBS2 ICHK Curncy</stp>
        <stp>BID</stp>
        <stp>[DataSheet2.2.xlsm]HKD_DATA!R11C41</stp>
        <tr r="AO11" s="52"/>
      </tp>
      <tp>
        <v>-17</v>
        <stp/>
        <stp>##V3_BDPV12</stp>
        <stp>HDBS3 ICHK Curncy</stp>
        <stp>BID</stp>
        <stp>[DataSheet2.2.xlsm]HKD_DATA!R12C41</stp>
        <tr r="AO12" s="52"/>
      </tp>
      <tp>
        <v>-19</v>
        <stp/>
        <stp>##V3_BDPV12</stp>
        <stp>HDBS5 ICHK Curncy</stp>
        <stp>BID</stp>
        <stp>[DataSheet2.2.xlsm]HKD_DATA!R14C41</stp>
        <tr r="AO14" s="52"/>
      </tp>
      <tp>
        <v>-9</v>
        <stp/>
        <stp>##V3_BDPV12</stp>
        <stp>HDBS3 ICHK Curncy</stp>
        <stp>ASK</stp>
        <stp>[DataSheet2.2.xlsm]HKD_DATA!R12C42</stp>
        <tr r="AP12" s="52"/>
      </tp>
      <tp>
        <v>-11</v>
        <stp/>
        <stp>##V3_BDPV12</stp>
        <stp>HDBS5 ICHK Curncy</stp>
        <stp>ASK</stp>
        <stp>[DataSheet2.2.xlsm]HKD_DATA!R14C42</stp>
        <tr r="AP14" s="52"/>
      </tp>
      <tp>
        <v>-8</v>
        <stp/>
        <stp>##V3_BDPV12</stp>
        <stp>HDBS2 ICHK Curncy</stp>
        <stp>ASK</stp>
        <stp>[DataSheet2.2.xlsm]HKD_DATA!R11C42</stp>
        <tr r="AP11" s="52"/>
      </tp>
      <tp>
        <v>-10</v>
        <stp/>
        <stp>##V3_BDPV12</stp>
        <stp>HDBS7 ICHK Curncy</stp>
        <stp>ASK</stp>
        <stp>[DataSheet2.2.xlsm]HKD_DATA!R15C42</stp>
        <tr r="AP15" s="52"/>
      </tp>
      <tp>
        <v>-9</v>
        <stp/>
        <stp>##V3_BDPV12</stp>
        <stp>HDBS4 ICHK Curncy</stp>
        <stp>ASK</stp>
        <stp>[DataSheet2.2.xlsm]HKD_DATA!R13C42</stp>
        <tr r="AP13" s="52"/>
      </tp>
      <tp>
        <v>0.14000000000000001</v>
        <stp/>
        <stp>##V3_BDPV12</stp>
        <stp>HDSO1 TRHK Curncy</stp>
        <stp>BID</stp>
        <stp>[DataSheet2.2.xlsm]HKD_DATA!R13C10</stp>
        <tr r="J13" s="52"/>
      </tp>
      <tp>
        <v>0.1</v>
        <stp/>
        <stp>##V3_BDPV12</stp>
        <stp>HDSOF TRHK Curncy</stp>
        <stp>BID</stp>
        <stp>[DataSheet2.2.xlsm]HKD_DATA!R11C10</stp>
        <tr r="J11" s="52"/>
      </tp>
      <tp>
        <v>0.03</v>
        <stp/>
        <stp>##V3_BDPV12</stp>
        <stp>HDSOC TRHK Curncy</stp>
        <stp>BID</stp>
        <stp>[DataSheet2.2.xlsm]HKD_DATA!R10C10</stp>
        <tr r="J10" s="52"/>
      </tp>
      <tp>
        <v>0.12</v>
        <stp/>
        <stp>##V3_BDPV12</stp>
        <stp>HDSOI TRHK Curncy</stp>
        <stp>BID</stp>
        <stp>[DataSheet2.2.xlsm]HKD_DATA!R12C10</stp>
        <tr r="J12" s="52"/>
      </tp>
      <tp>
        <v>0.34</v>
        <stp/>
        <stp>##V3_BDPV12</stp>
        <stp>HDSO1 TRHK Curncy</stp>
        <stp>ASK</stp>
        <stp>[DataSheet2.2.xlsm]HKD_DATA!R13C11</stp>
        <tr r="K13" s="52"/>
      </tp>
      <tp>
        <v>0.32</v>
        <stp/>
        <stp>##V3_BDPV12</stp>
        <stp>HDSOI TRHK Curncy</stp>
        <stp>ASK</stp>
        <stp>[DataSheet2.2.xlsm]HKD_DATA!R12C11</stp>
        <tr r="K12" s="52"/>
      </tp>
      <tp>
        <v>0.23</v>
        <stp/>
        <stp>##V3_BDPV12</stp>
        <stp>HDSOC TRHK Curncy</stp>
        <stp>ASK</stp>
        <stp>[DataSheet2.2.xlsm]HKD_DATA!R10C11</stp>
        <tr r="K10" s="52"/>
      </tp>
      <tp>
        <v>0.3</v>
        <stp/>
        <stp>##V3_BDPV12</stp>
        <stp>HDSOF TRHK Curncy</stp>
        <stp>ASK</stp>
        <stp>[DataSheet2.2.xlsm]HKD_DATA!R11C11</stp>
        <tr r="K11" s="52"/>
      </tp>
      <tp>
        <v>0.02</v>
        <stp/>
        <stp>##V3_BDPV12</stp>
        <stp>PZSOI BLC3 Curncy</stp>
        <stp>LAST_PRICE</stp>
        <stp>[DataSheet2.2.xlsm]PLN_DATA!R14C12</stp>
        <tr r="L14" s="12"/>
      </tp>
      <tp>
        <v>4.3285999999999998</v>
        <stp/>
        <stp>##V3_BDPV12</stp>
        <stp>IRSWN1 BGN Curncy</stp>
        <stp>BID</stp>
        <stp>[DataSheet2.2.xlsm]INR_DATA!R20C49</stp>
        <tr r="AW20" s="54"/>
      </tp>
      <tp>
        <v>4.5313999999999997</v>
        <stp/>
        <stp>##V3_BDPV12</stp>
        <stp>IRSWN1 BGN Curncy</stp>
        <stp>ASK</stp>
        <stp>[DataSheet2.2.xlsm]INR_DATA!R20C50</stp>
        <tr r="AX20" s="54"/>
      </tp>
      <tp>
        <v>1.3226</v>
        <stp/>
        <stp>##V3_BDPV12</stp>
        <stp>USDCAD Curncy</stp>
        <stp>PX_LAST</stp>
        <stp>[DataSheet2.3.xlsm]CAD_DATA!R7C51</stp>
        <tr r="AY7" s="48"/>
      </tp>
      <tp>
        <v>1.3226</v>
        <stp/>
        <stp>##V3_BDPV12</stp>
        <stp>USDCAD Curncy</stp>
        <stp>PX_LAST</stp>
        <stp>[DataSheet2.3.xlsm]GBP_DATA!R7C51</stp>
        <tr r="AY7" s="58"/>
      </tp>
      <tp>
        <v>74</v>
        <stp/>
        <stp>##V3_BDPV12</stp>
        <stp>SAR12M GMGM Curncy</stp>
        <stp>LAST_PRICE</stp>
        <stp>[DataSheet2.2.xlsm]SAR_DATA!R16C51</stp>
        <tr r="AY16" s="19"/>
      </tp>
      <tp>
        <v>-7.0000000000000007E-2</v>
        <stp/>
        <stp>##V3_BDPV12</stp>
        <stp>JYMUON MTRT Curncy</stp>
        <stp>LAST_PRICE</stp>
        <stp>[DataSheet2.3.xlsm]JPY_DATA!R7C9</stp>
        <tr r="I7" s="46"/>
      </tp>
      <tp>
        <v>-270</v>
        <stp/>
        <stp>##V3_BDPV12</stp>
        <stp>ILS12M ICPL Curncy</stp>
        <stp>LAST_PRICE</stp>
        <stp>[DataSheet2.2.xlsm]ILS_DATA!R16C51</stp>
        <tr r="AY16" s="17"/>
      </tp>
      <tp>
        <v>12.732799999999999</v>
        <stp/>
        <stp>##V3_BDPV12</stp>
        <stp>TYSO8 BGN Curncy</stp>
        <stp>ASK</stp>
        <stp>[DataSheet2.2.xlsm]TRY_DATA!R22C11</stp>
        <tr r="K22" s="10"/>
      </tp>
      <tp>
        <v>12.4672</v>
        <stp/>
        <stp>##V3_BDPV12</stp>
        <stp>TYSO8 BGN Curncy</stp>
        <stp>BID</stp>
        <stp>[DataSheet2.2.xlsm]TRY_DATA!R22C10</stp>
        <tr r="J22" s="10"/>
      </tp>
      <tp>
        <v>0.92269999999999996</v>
        <stp/>
        <stp>##V3_BDPV12</stp>
        <stp>CDSW8 BGN Curncy</stp>
        <stp>BID</stp>
        <stp>[DataSheet2.3.xlsm]CAD_DATA!R21C18</stp>
        <tr r="R21" s="48"/>
      </tp>
      <tp>
        <v>0.94569999999999999</v>
        <stp/>
        <stp>##V3_BDPV12</stp>
        <stp>CDSW8 BGN Curncy</stp>
        <stp>ASK</stp>
        <stp>[DataSheet2.3.xlsm]CAD_DATA!R21C19</stp>
        <tr r="S21" s="48"/>
      </tp>
      <tp>
        <v>0.93289999999999995</v>
        <stp/>
        <stp>##V3_BDPV12</stp>
        <stp>CKSW8 BGN Curncy</stp>
        <stp>BID</stp>
        <stp>[DataSheet2.2.xlsm]CZK_DATA!R24C18</stp>
        <tr r="R24" s="14"/>
      </tp>
      <tp>
        <v>0.97209999999999996</v>
        <stp/>
        <stp>##V3_BDPV12</stp>
        <stp>CKSW8 BGN Curncy</stp>
        <stp>ASK</stp>
        <stp>[DataSheet2.2.xlsm]CZK_DATA!R24C19</stp>
        <tr r="S24" s="14"/>
      </tp>
      <tp>
        <v>2.7</v>
        <stp/>
        <stp>##V3_BDPV12</stp>
        <stp>CGSWF TPRA Curncy</stp>
        <stp>BID</stp>
        <stp>[DataSheet2.3.xlsm]BRL_DATA!R12C18</stp>
        <tr r="R12" s="59"/>
      </tp>
      <tp>
        <v>2.75</v>
        <stp/>
        <stp>##V3_BDPV12</stp>
        <stp>CGSWI TPRA Curncy</stp>
        <stp>BID</stp>
        <stp>[DataSheet2.3.xlsm]BRL_DATA!R13C18</stp>
        <tr r="R13" s="59"/>
      </tp>
      <tp>
        <v>2.95</v>
        <stp/>
        <stp>##V3_BDPV12</stp>
        <stp>CGSWI TPRA Curncy</stp>
        <stp>ASK</stp>
        <stp>[DataSheet2.3.xlsm]BRL_DATA!R13C19</stp>
        <tr r="S13" s="59"/>
      </tp>
      <tp>
        <v>2.9</v>
        <stp/>
        <stp>##V3_BDPV12</stp>
        <stp>CGSWF TPRA Curncy</stp>
        <stp>ASK</stp>
        <stp>[DataSheet2.3.xlsm]BRL_DATA!R12C19</stp>
        <tr r="S12" s="59"/>
      </tp>
      <tp>
        <v>21</v>
        <stp/>
        <stp>##V3_BDPV12</stp>
        <stp>AED9M GMGM Curncy</stp>
        <stp>LAST_PRICE</stp>
        <stp>[DataSheet2.2.xlsm]AED_DATA!R15C51</stp>
        <tr r="AY15" s="18"/>
      </tp>
      <tp>
        <v>48</v>
        <stp/>
        <stp>##V3_BDPV12</stp>
        <stp>SAR9M GMGM Curncy</stp>
        <stp>LAST_PRICE</stp>
        <stp>[DataSheet2.2.xlsm]SAR_DATA!R15C51</stp>
        <tr r="AY15" s="19"/>
      </tp>
      <tp>
        <v>5</v>
        <stp/>
        <stp>##V3_BDPV12</stp>
        <stp>AED3M GMGM Curncy</stp>
        <stp>LAST_PRICE</stp>
        <stp>[DataSheet2.2.xlsm]AED_DATA!R13C51</stp>
        <tr r="AY13" s="18"/>
      </tp>
      <tp>
        <v>12</v>
        <stp/>
        <stp>##V3_BDPV12</stp>
        <stp>SAR3M GMGM Curncy</stp>
        <stp>LAST_PRICE</stp>
        <stp>[DataSheet2.2.xlsm]SAR_DATA!R13C51</stp>
        <tr r="AY13" s="19"/>
      </tp>
      <tp>
        <v>11</v>
        <stp/>
        <stp>##V3_BDPV12</stp>
        <stp>AED6M GMGM Curncy</stp>
        <stp>LAST_PRICE</stp>
        <stp>[DataSheet2.2.xlsm]AED_DATA!R14C51</stp>
        <tr r="AY14" s="18"/>
      </tp>
      <tp>
        <v>28</v>
        <stp/>
        <stp>##V3_BDPV12</stp>
        <stp>SAR6M GMGM Curncy</stp>
        <stp>LAST_PRICE</stp>
        <stp>[DataSheet2.2.xlsm]SAR_DATA!R14C51</stp>
        <tr r="AY14" s="19"/>
      </tp>
      <tp>
        <v>53493.9</v>
        <stp/>
        <stp>##V3_BDPV12</stp>
        <stp>ZAR5Y GFSN Curncy</stp>
        <stp>LAST_PRICE</stp>
        <stp>[DataSheet2.2.xlsm]ZAR_DATA!R30C56</stp>
        <tr r="BD30" s="8"/>
      </tp>
      <tp>
        <v>12884.8</v>
        <stp/>
        <stp>##V3_BDPV12</stp>
        <stp>ZAR2Y GFSN Curncy</stp>
        <stp>LAST_PRICE</stp>
        <stp>[DataSheet2.2.xlsm]ZAR_DATA!R27C56</stp>
        <tr r="BD27" s="8"/>
      </tp>
      <tp>
        <v>26384.1</v>
        <stp/>
        <stp>##V3_BDPV12</stp>
        <stp>ZAR3Y GFSN Curncy</stp>
        <stp>LAST_PRICE</stp>
        <stp>[DataSheet2.2.xlsm]ZAR_DATA!R28C56</stp>
        <tr r="BD28" s="8"/>
      </tp>
      <tp>
        <v>39957.5</v>
        <stp/>
        <stp>##V3_BDPV12</stp>
        <stp>ZAR4Y GFSN Curncy</stp>
        <stp>LAST_PRICE</stp>
        <stp>[DataSheet2.2.xlsm]ZAR_DATA!R29C56</stp>
        <tr r="BD29" s="8"/>
      </tp>
      <tp>
        <v>130600</v>
        <stp/>
        <stp>##V3_BDPV12</stp>
        <stp>RUB4Y TRSU Curncy</stp>
        <stp>LAST_PRICE</stp>
        <stp>[DataSheet2.2.xlsm]RUB_DATA!R23C51</stp>
        <tr r="AY23" s="4"/>
      </tp>
      <tp>
        <v>63450</v>
        <stp/>
        <stp>##V3_BDPV12</stp>
        <stp>RUB2Y TRSU Curncy</stp>
        <stp>LAST_PRICE</stp>
        <stp>[DataSheet2.2.xlsm]RUB_DATA!R21C51</stp>
        <tr r="AY21" s="4"/>
      </tp>
      <tp>
        <v>96830</v>
        <stp/>
        <stp>##V3_BDPV12</stp>
        <stp>RUB3Y TRSU Curncy</stp>
        <stp>LAST_PRICE</stp>
        <stp>[DataSheet2.2.xlsm]RUB_DATA!R22C51</stp>
        <tr r="AY22" s="4"/>
      </tp>
      <tp>
        <v>164230</v>
        <stp/>
        <stp>##V3_BDPV12</stp>
        <stp>RUB5Y TRSU Curncy</stp>
        <stp>LAST_PRICE</stp>
        <stp>[DataSheet2.2.xlsm]RUB_DATA!R24C51</stp>
        <tr r="AY24" s="4"/>
      </tp>
      <tp t="s">
        <v>#N/A N/A</v>
        <stp/>
        <stp>##V3_BDPV12</stp>
        <stp>BCNSN BGN Curncy</stp>
        <stp>BID</stp>
        <stp>[DataSheet2.3.xlsm]BRL_DATA!R8C49</stp>
        <tr r="AW8" s="59"/>
      </tp>
      <tp>
        <v>3.956</v>
        <stp/>
        <stp>##V3_BDPV12</stp>
        <stp>IRSWOF FMDR Curncy</stp>
        <stp>LAST_PRICE</stp>
        <stp>[DataSheet2.2.xlsm]INR_DATA!R11C12</stp>
        <tr r="L11" s="54"/>
      </tp>
      <tp>
        <v>46390</v>
        <stp/>
        <stp>##V3_BDPV12</stp>
        <stp>RUB18M TRSU Curncy</stp>
        <stp>LAST_PRICE</stp>
        <stp>[DataSheet2.2.xlsm]RUB_DATA!R20C51</stp>
        <tr r="AY20" s="4"/>
      </tp>
      <tp>
        <v>30520</v>
        <stp/>
        <stp>##V3_BDPV12</stp>
        <stp>RUB12M TRSU Curncy</stp>
        <stp>LAST_PRICE</stp>
        <stp>[DataSheet2.2.xlsm]RUB_DATA!R19C51</stp>
        <tr r="AY19" s="4"/>
      </tp>
      <tp>
        <v>12.584899999999999</v>
        <stp/>
        <stp>##V3_BDPV12</stp>
        <stp>TYSO9 BGN Curncy</stp>
        <stp>ASK</stp>
        <stp>[DataSheet2.2.xlsm]TRY_DATA!R23C11</stp>
        <tr r="K23" s="10"/>
      </tp>
      <tp>
        <v>12.315099999999999</v>
        <stp/>
        <stp>##V3_BDPV12</stp>
        <stp>TYSO9 BGN Curncy</stp>
        <stp>BID</stp>
        <stp>[DataSheet2.2.xlsm]TRY_DATA!R23C10</stp>
        <tr r="J23" s="10"/>
      </tp>
      <tp>
        <v>0.9829</v>
        <stp/>
        <stp>##V3_BDPV12</stp>
        <stp>CDSW9 BGN Curncy</stp>
        <stp>BID</stp>
        <stp>[DataSheet2.3.xlsm]CAD_DATA!R22C18</stp>
        <tr r="R22" s="48"/>
      </tp>
      <tp>
        <v>0.99670000000000003</v>
        <stp/>
        <stp>##V3_BDPV12</stp>
        <stp>CDSW9 BGN Curncy</stp>
        <stp>ASK</stp>
        <stp>[DataSheet2.3.xlsm]CAD_DATA!R22C19</stp>
        <tr r="S22" s="48"/>
      </tp>
      <tp>
        <v>0.96506000000000003</v>
        <stp/>
        <stp>##V3_BDPV12</stp>
        <stp>CKSW9 BGN Curncy</stp>
        <stp>BID</stp>
        <stp>[DataSheet2.2.xlsm]CZK_DATA!R25C18</stp>
        <tr r="R25" s="14"/>
      </tp>
      <tp>
        <v>1.0049399999999999</v>
        <stp/>
        <stp>##V3_BDPV12</stp>
        <stp>CKSW9 BGN Curncy</stp>
        <stp>ASK</stp>
        <stp>[DataSheet2.2.xlsm]CZK_DATA!R25C19</stp>
        <tr r="S25" s="14"/>
      </tp>
      <tp>
        <v>0.13</v>
        <stp/>
        <stp>##V3_BDPV12</stp>
        <stp>HDSOC TRHK Curncy</stp>
        <stp>LAST_PRICE</stp>
        <stp>[DataSheet2.2.xlsm]HKD_DATA!R10C12</stp>
        <tr r="L10" s="52"/>
      </tp>
      <tp>
        <v>-0.3</v>
        <stp/>
        <stp>##V3_BDPV12</stp>
        <stp>SARTN GMGM Curncy</stp>
        <stp>BID</stp>
        <stp>[DataSheet2.2.xlsm]SAR_DATA!R9C49</stp>
        <tr r="AW9" s="19"/>
      </tp>
      <tp>
        <v>-0.4</v>
        <stp/>
        <stp>##V3_BDPV12</stp>
        <stp>SARON GMGM Curncy</stp>
        <stp>BID</stp>
        <stp>[DataSheet2.2.xlsm]SAR_DATA!R8C49</stp>
        <tr r="AW8" s="19"/>
      </tp>
      <tp>
        <v>2.7</v>
        <stp/>
        <stp>##V3_BDPV12</stp>
        <stp>CGSWF TPRA Curncy</stp>
        <stp>BID</stp>
        <stp>[DataSheet2.3.xlsm]CNH_DATA!R12C18</stp>
        <tr r="R12" s="50"/>
      </tp>
      <tp>
        <v>2.75</v>
        <stp/>
        <stp>##V3_BDPV12</stp>
        <stp>CGSWI TPRA Curncy</stp>
        <stp>BID</stp>
        <stp>[DataSheet2.3.xlsm]CNH_DATA!R13C18</stp>
        <tr r="R13" s="50"/>
      </tp>
      <tp>
        <v>2.95</v>
        <stp/>
        <stp>##V3_BDPV12</stp>
        <stp>CGSWI TPRA Curncy</stp>
        <stp>ASK</stp>
        <stp>[DataSheet2.3.xlsm]CNH_DATA!R13C19</stp>
        <tr r="S13" s="50"/>
      </tp>
      <tp>
        <v>2.9</v>
        <stp/>
        <stp>##V3_BDPV12</stp>
        <stp>CGSWF TPRA Curncy</stp>
        <stp>ASK</stp>
        <stp>[DataSheet2.3.xlsm]CNH_DATA!R12C19</stp>
        <tr r="S12" s="50"/>
      </tp>
      <tp>
        <v>6.5</v>
        <stp/>
        <stp>##V3_BDPV12</stp>
        <stp>JYBB1 MTRT Curncy</stp>
        <stp>LAST_PRICE</stp>
        <stp>[DataSheet2.3.xlsm]JPY_DATA!R7C27</stp>
        <tr r="AA7" s="46"/>
      </tp>
      <tp>
        <v>6.625</v>
        <stp/>
        <stp>##V3_BDPV12</stp>
        <stp>JYBB2 MTRT Curncy</stp>
        <stp>LAST_PRICE</stp>
        <stp>[DataSheet2.3.xlsm]JPY_DATA!R9C27</stp>
        <tr r="AA9" s="46"/>
      </tp>
    </main>
    <main first="bloomberg.rtd">
      <tp>
        <v>2.4</v>
        <stp/>
        <stp>##V3_BDPV12</stp>
        <stp>PZBSAV8 ICPL Curncy</stp>
        <stp>LAST_PRICE</stp>
        <stp>[DataSheet2.2.xlsm]PLN_DATA!R14C30</stp>
        <tr r="AD14" s="12"/>
      </tp>
      <tp>
        <v>-31</v>
        <stp/>
        <stp>##V3_BDPV12</stp>
        <stp>CKEUBS1 ICPL Curncy</stp>
        <stp>ASK</stp>
        <stp>[DataSheet2.2.xlsm]CZK_DATA!R8C42</stp>
        <tr r="AP8" s="14"/>
      </tp>
      <tp>
        <v>25.75</v>
        <stp/>
        <stp>##V3_BDPV12</stp>
        <stp>PZBSEC8 ICPL Curncy</stp>
        <stp>LAST_PRICE</stp>
        <stp>[DataSheet2.2.xlsm]PLN_DATA!R14C43</stp>
        <tr r="AQ14" s="12"/>
      </tp>
      <tp>
        <v>-61</v>
        <stp/>
        <stp>##V3_BDPV12</stp>
        <stp>ISBS3 ICPL Curncy</stp>
        <stp>PX_LAST</stp>
        <stp>[DataSheet2.2.xlsm]ILS_DATA!R9C43</stp>
        <tr r="AQ9" s="17"/>
      </tp>
      <tp>
        <v>5.5</v>
        <stp/>
        <stp>##V3_BDPV12</stp>
        <stp>JYBSL10 MTRT Curncy</stp>
        <stp>LAST_PRICE</stp>
        <stp>[DataSheet2.3.xlsm]JPY_DATA!R44C9</stp>
        <tr r="I44" s="46"/>
      </tp>
      <tp>
        <v>5.125</v>
        <stp/>
        <stp>##V3_BDPV12</stp>
        <stp>JYBSL20 MTRT Curncy</stp>
        <stp>LAST_PRICE</stp>
        <stp>[DataSheet2.3.xlsm]JPY_DATA!R47C9</stp>
        <tr r="I47" s="46"/>
      </tp>
      <tp>
        <v>4.75</v>
        <stp/>
        <stp>##V3_BDPV12</stp>
        <stp>JYBSL40 MTRT Curncy</stp>
        <stp>LAST_PRICE</stp>
        <stp>[DataSheet2.3.xlsm]JPY_DATA!R51C9</stp>
        <tr r="I51" s="46"/>
      </tp>
      <tp>
        <v>2.5249999999999999</v>
        <stp/>
        <stp>##V3_BDPV12</stp>
        <stp>EURNSW7 CCMK Curncy</stp>
        <stp>LAST_PRICE</stp>
        <stp>[DataSheet2.2.xlsm]RON_DATA!R27C51</stp>
        <tr r="AY27" s="16"/>
      </tp>
      <tp>
        <v>-1.25</v>
        <stp/>
        <stp>##V3_BDPV12</stp>
        <stp>JYJSLC25 MTRT Curncy</stp>
        <stp>LAST_PRICE</stp>
        <stp>[DataSheet2.3.xlsm]JPY_DATA!R28C22</stp>
        <tr r="V28" s="46"/>
      </tp>
      <tp>
        <v>-0.75</v>
        <stp/>
        <stp>##V3_BDPV12</stp>
        <stp>JYJSLC15 MTRT Curncy</stp>
        <stp>LAST_PRICE</stp>
        <stp>[DataSheet2.3.xlsm]JPY_DATA!R26C22</stp>
        <tr r="V26" s="46"/>
      </tp>
      <tp>
        <v>-1.625</v>
        <stp/>
        <stp>##V3_BDPV12</stp>
        <stp>JYJSLC35 MTRT Curncy</stp>
        <stp>LAST_PRICE</stp>
        <stp>[DataSheet2.3.xlsm]JPY_DATA!R30C22</stp>
        <tr r="V30" s="46"/>
      </tp>
      <tp>
        <v>0.61370000000000002</v>
        <stp/>
        <stp>##V3_BDPV12</stp>
        <stp>USSWAP9 PREB Curncy</stp>
        <stp>LAST_PRICE</stp>
        <stp>[DataSheet2.3.xlsm]USD_DATA!R26C17</stp>
        <tr r="Q26" s="6"/>
      </tp>
      <tp>
        <v>6.5</v>
        <stp/>
        <stp>##V3_BDPV12</stp>
        <stp>USDHUF1M BGN Curncy</stp>
        <stp>LAST_PRICE</stp>
        <stp>[DataSheet2.2.xlsm]HUF_DATA!R12C51</stp>
        <tr r="AY12" s="15"/>
      </tp>
      <tp>
        <v>19.75</v>
        <stp/>
        <stp>##V3_BDPV12</stp>
        <stp>USBG10 CMPN Curncy</stp>
        <stp>LAST_PRICE</stp>
        <stp>[DataSheet2.3.xlsm]USD_DATA!R33C9</stp>
        <tr r="I33" s="6"/>
      </tp>
      <tp>
        <v>3.7866</v>
        <stp/>
        <stp>##V3_BDPV12</stp>
        <stp>USDPLN Curncy</stp>
        <stp>LAST_PRICE</stp>
        <stp>[DataSheet2.3.xlsm]FX!R2C15</stp>
        <tr r="O2" s="20"/>
      </tp>
      <tp>
        <v>4.1322000000000001</v>
        <stp/>
        <stp>##V3_BDPV12</stp>
        <stp>USDRON Curncy</stp>
        <stp>LAST_PRICE</stp>
        <stp>[DataSheet2.3.xlsm]FX!R2C16</stp>
        <tr r="P2" s="20"/>
      </tp>
      <tp>
        <v>0.30875000000000002</v>
        <stp/>
        <stp>##V3_BDPV12</stp>
        <stp>JYSW25 MTRT Curncy</stp>
        <stp>LAST_PRICE</stp>
        <stp>[DataSheet2.3.xlsm]JPY_DATA!R66C9</stp>
        <tr r="I66" s="46"/>
      </tp>
      <tp>
        <v>0.34875</v>
        <stp/>
        <stp>##V3_BDPV12</stp>
        <stp>JYSW30 MTRT Curncy</stp>
        <stp>LAST_PRICE</stp>
        <stp>[DataSheet2.3.xlsm]JPY_DATA!R67C9</stp>
        <tr r="I67" s="46"/>
      </tp>
      <tp>
        <v>8.7999999999999995E-2</v>
        <stp/>
        <stp>##V3_BDPV12</stp>
        <stp>USSO3Z CMPN Curncy</stp>
        <stp>LAST_PRICE</stp>
        <stp>[DataSheet2.3.xlsm]USD_DATA!R10C9</stp>
        <tr r="I10" s="6"/>
      </tp>
      <tp>
        <v>2.4</v>
        <stp/>
        <stp>##V3_BDPV12</stp>
        <stp>PZBSAV9 ICPL Curncy</stp>
        <stp>LAST_PRICE</stp>
        <stp>[DataSheet2.2.xlsm]PLN_DATA!R15C30</stp>
        <tr r="AD15" s="12"/>
      </tp>
      <tp>
        <v>27</v>
        <stp/>
        <stp>##V3_BDPV12</stp>
        <stp>PZBSEC9 ICPL Curncy</stp>
        <stp>LAST_PRICE</stp>
        <stp>[DataSheet2.2.xlsm]PLN_DATA!R15C43</stp>
        <tr r="AQ15" s="12"/>
      </tp>
      <tp>
        <v>-60</v>
        <stp/>
        <stp>##V3_BDPV12</stp>
        <stp>ISBS2 ICPL Curncy</stp>
        <stp>PX_LAST</stp>
        <stp>[DataSheet2.2.xlsm]ILS_DATA!R8C43</stp>
        <tr r="AQ8" s="17"/>
      </tp>
      <tp>
        <v>5.375</v>
        <stp/>
        <stp>##V3_BDPV12</stp>
        <stp>JYBSL12 MTRT Curncy</stp>
        <stp>LAST_PRICE</stp>
        <stp>[DataSheet2.3.xlsm]JPY_DATA!R45C9</stp>
        <tr r="I45" s="46"/>
      </tp>
      <tp>
        <v>2.5049999999999999</v>
        <stp/>
        <stp>##V3_BDPV12</stp>
        <stp>EURNSW6 CCMK Curncy</stp>
        <stp>LAST_PRICE</stp>
        <stp>[DataSheet2.2.xlsm]RON_DATA!R26C51</stp>
        <tr r="AY26" s="16"/>
      </tp>
      <tp>
        <v>-11.75</v>
        <stp/>
        <stp>##V3_BDPV12</stp>
        <stp>CDBS10 Curncy</stp>
        <stp>LAST_PRICE</stp>
        <stp>[DataSheet2.3.xlsm]GBP_DATA!R16C43</stp>
        <tr r="AQ16" s="58"/>
      </tp>
      <tp>
        <v>0.54549999999999998</v>
        <stp/>
        <stp>##V3_BDPV12</stp>
        <stp>USSWAP8 PREB Curncy</stp>
        <stp>LAST_PRICE</stp>
        <stp>[DataSheet2.3.xlsm]USD_DATA!R25C17</stp>
        <tr r="Q25" s="6"/>
      </tp>
      <tp>
        <v>2.625</v>
        <stp/>
        <stp>##V3_BDPV12</stp>
        <stp>JYBSL1F MTRT Curncy</stp>
        <stp>LAST_PRICE</stp>
        <stp>[DataSheet2.3.xlsm]JPY_DATA!R35C9</stp>
        <tr r="I35" s="46"/>
      </tp>
      <tp>
        <v>128.22999999999999</v>
        <stp/>
        <stp>##V3_BDPV12</stp>
        <stp>EUR15M Curncy</stp>
        <stp>LAST_PRICE</stp>
        <stp>[DataSheet2.3.xlsm]EUR_DATA!R25C54</stp>
        <tr r="BB25" s="31"/>
      </tp>
      <tp>
        <v>0.25</v>
        <stp/>
        <stp>##V3_BDPV12</stp>
        <stp>CAONREPO Index</stp>
        <stp>PX_LAST</stp>
        <stp>[DataSheet2.3.xlsm]GBP_DATA!R7C12</stp>
        <tr r="L7" s="58"/>
      </tp>
      <tp>
        <v>0.25</v>
        <stp/>
        <stp>##V3_BDPV12</stp>
        <stp>CAONREPO Index</stp>
        <stp>PX_LAST</stp>
        <stp>[DataSheet2.3.xlsm]CAD_DATA!R7C12</stp>
        <tr r="L7" s="48"/>
      </tp>
      <tp>
        <v>12</v>
        <stp/>
        <stp>##V3_BDPV12</stp>
        <stp>TRLXB3M Index</stp>
        <stp>PX_LAST</stp>
        <stp>[DataSheet2.2.xlsm]TRY_DATA!R8C20</stp>
        <tr r="T8" s="10"/>
      </tp>
      <tp>
        <v>11.122</v>
        <stp/>
        <stp>##V3_BDPV12</stp>
        <stp>TRLXB1M Index</stp>
        <stp>PX_LAST</stp>
        <stp>[DataSheet2.2.xlsm]TRY_DATA!R7C20</stp>
        <tr r="T7" s="10"/>
      </tp>
      <tp>
        <v>12.1676</v>
        <stp/>
        <stp>##V3_BDPV12</stp>
        <stp>TRLXB6M Index</stp>
        <stp>PX_LAST</stp>
        <stp>[DataSheet2.2.xlsm]TRY_DATA!R9C20</stp>
        <tr r="T9" s="10"/>
      </tp>
      <tp>
        <v>0.15625</v>
        <stp/>
        <stp>##V3_BDPV12</stp>
        <stp>JYSW15 MTRT Curncy</stp>
        <stp>LAST_PRICE</stp>
        <stp>[DataSheet2.3.xlsm]JPY_DATA!R64C9</stp>
        <tr r="I64" s="46"/>
      </tp>
      <tp>
        <v>-6.7500000000000004E-2</v>
        <stp/>
        <stp>##V3_BDPV12</stp>
        <stp>JYSO1F MTRT Curncy</stp>
        <stp>LAST_PRICE</stp>
        <stp>[DataSheet2.3.xlsm]JPY_DATA!R17C9</stp>
        <tr r="I17" s="46"/>
      </tp>
      <tp>
        <v>-58</v>
        <stp/>
        <stp>##V3_BDPV12</stp>
        <stp>ISBS1 ICPL Curncy</stp>
        <stp>PX_LAST</stp>
        <stp>[DataSheet2.2.xlsm]ILS_DATA!R7C43</stp>
        <tr r="AQ7" s="17"/>
      </tp>
      <tp>
        <v>6</v>
        <stp/>
        <stp>##V3_BDPV12</stp>
        <stp>HDBA12  TPRA Curncy</stp>
        <stp>LAST_PRICE</stp>
        <stp>[DataSheet2.2.xlsm]HKD_DATA!R16C30</stp>
        <tr r="AD16" s="52"/>
      </tp>
      <tp>
        <v>6</v>
        <stp/>
        <stp>##V3_BDPV12</stp>
        <stp>HDBA10  TPRA Curncy</stp>
        <stp>LAST_PRICE</stp>
        <stp>[DataSheet2.2.xlsm]HKD_DATA!R15C30</stp>
        <tr r="AD15" s="52"/>
      </tp>
      <tp>
        <v>6</v>
        <stp/>
        <stp>##V3_BDPV12</stp>
        <stp>HDBA15  TPRA Curncy</stp>
        <stp>LAST_PRICE</stp>
        <stp>[DataSheet2.2.xlsm]HKD_DATA!R17C30</stp>
        <tr r="AD17" s="52"/>
      </tp>
      <tp>
        <v>2.4849999999999999</v>
        <stp/>
        <stp>##V3_BDPV12</stp>
        <stp>EURNSW5 CCMK Curncy</stp>
        <stp>LAST_PRICE</stp>
        <stp>[DataSheet2.2.xlsm]RON_DATA!R25C51</stp>
        <tr r="AY25" s="16"/>
      </tp>
      <tp>
        <v>5.375</v>
        <stp/>
        <stp>##V3_BDPV12</stp>
        <stp>JYBSL15 MTRT Curncy</stp>
        <stp>LAST_PRICE</stp>
        <stp>[DataSheet2.3.xlsm]JPY_DATA!R46C9</stp>
        <tr r="I46" s="46"/>
      </tp>
      <tp>
        <v>-14.75</v>
        <stp/>
        <stp>##V3_BDPV12</stp>
        <stp>CDBS20 Curncy</stp>
        <stp>LAST_PRICE</stp>
        <stp>[DataSheet2.3.xlsm]GBP_DATA!R17C43</stp>
        <tr r="AQ17" s="58"/>
      </tp>
      <tp>
        <v>31.63</v>
        <stp/>
        <stp>##V3_BDPV12</stp>
        <stp>USDHUF3M BGN Curncy</stp>
        <stp>LAST_PRICE</stp>
        <stp>[DataSheet2.2.xlsm]HUF_DATA!R14C51</stp>
        <tr r="AY14" s="15"/>
      </tp>
      <tp>
        <v>751.6</v>
        <stp/>
        <stp>##V3_BDPV12</stp>
        <stp>USDHUF3Y BGN Curncy</stp>
        <stp>LAST_PRICE</stp>
        <stp>[DataSheet2.2.xlsm]HUF_DATA!R19C51</stp>
        <tr r="AY19" s="15"/>
      </tp>
      <tp>
        <v>5.3624999999999998</v>
        <stp/>
        <stp>##V3_BDPV12</stp>
        <stp>USDBRL Curncy</stp>
        <stp>LAST_PRICE</stp>
        <stp>[DataSheet2.3.xlsm]FX!R2C23</stp>
        <tr r="W2" s="20"/>
      </tp>
      <tp>
        <v>0.03</v>
        <stp/>
        <stp>##V3_BDPV12</stp>
        <stp>JYSO12 MTRT Curncy</stp>
        <stp>LAST_PRICE</stp>
        <stp>[DataSheet2.3.xlsm]JPY_DATA!R27C9</stp>
        <tr r="I27" s="46"/>
      </tp>
      <tp>
        <v>144.97999999999999</v>
        <stp/>
        <stp>##V3_BDPV12</stp>
        <stp>USDHUF12M BGN Curncy</stp>
        <stp>BID</stp>
        <stp>[DataSheet2.2.xlsm]HUF_DATA!R17C49</stp>
        <tr r="AW17" s="15"/>
      </tp>
      <tp>
        <v>192.27</v>
        <stp/>
        <stp>##V3_BDPV12</stp>
        <stp>USDHUF12M BGN Curncy</stp>
        <stp>ASK</stp>
        <stp>[DataSheet2.2.xlsm]HUF_DATA!R17C50</stp>
        <tr r="AX17" s="15"/>
      </tp>
      <tp>
        <v>0.91</v>
        <stp/>
        <stp>##V3_BDPV12</stp>
        <stp>SRFR0I1 GMGM Curncy</stp>
        <stp>LAST_PRICE</stp>
        <stp>[DataSheet2.2.xlsm]INR_DATA!R16C20</stp>
        <tr r="T16" s="54"/>
      </tp>
      <tp>
        <v>-31</v>
        <stp/>
        <stp>##V3_BDPV12</stp>
        <stp>CKEUBS2 ICPL Curncy</stp>
        <stp>ASK</stp>
        <stp>[DataSheet2.2.xlsm]CZK_DATA!R9C42</stp>
        <tr r="AP9" s="14"/>
      </tp>
      <tp>
        <v>2.4750000000000001</v>
        <stp/>
        <stp>##V3_BDPV12</stp>
        <stp>EURNSW4 CCMK Curncy</stp>
        <stp>LAST_PRICE</stp>
        <stp>[DataSheet2.2.xlsm]RON_DATA!R24C51</stp>
        <tr r="AY24" s="16"/>
      </tp>
      <tp>
        <v>-18</v>
        <stp/>
        <stp>##V3_BDPV12</stp>
        <stp>CDBS30 Curncy</stp>
        <stp>LAST_PRICE</stp>
        <stp>[DataSheet2.3.xlsm]GBP_DATA!R18C43</stp>
        <tr r="AQ18" s="58"/>
      </tp>
      <tp>
        <v>15.76</v>
        <stp/>
        <stp>##V3_BDPV12</stp>
        <stp>USDHUF2M BGN Curncy</stp>
        <stp>LAST_PRICE</stp>
        <stp>[DataSheet2.2.xlsm]HUF_DATA!R13C51</stp>
        <tr r="AY13" s="15"/>
      </tp>
      <tp>
        <v>385.55</v>
        <stp/>
        <stp>##V3_BDPV12</stp>
        <stp>USDHUF2Y BGN Curncy</stp>
        <stp>LAST_PRICE</stp>
        <stp>[DataSheet2.2.xlsm]HUF_DATA!R18C51</stp>
        <tr r="AY18" s="15"/>
      </tp>
      <tp>
        <v>16.775500000000001</v>
        <stp/>
        <stp>##V3_BDPV12</stp>
        <stp>ZAR Curncy</stp>
        <stp>LAST_PRICE</stp>
        <stp>[DataSheet2.2.xlsm]ZAR_DATA!R7C56</stp>
        <tr r="BD7" s="8"/>
      </tp>
      <tp>
        <v>0.31624999999999998</v>
        <stp/>
        <stp>##V3_BDPV12</stp>
        <stp>JYSO40 MTRT Curncy</stp>
        <stp>LAST_PRICE</stp>
        <stp>[DataSheet2.3.xlsm]JPY_DATA!R33C9</stp>
        <tr r="I33" s="46"/>
      </tp>
      <tp>
        <v>-1.7500000000000002E-2</v>
        <stp/>
        <stp>##V3_BDPV12</stp>
        <stp>JYSO10 MTRT Curncy</stp>
        <stp>LAST_PRICE</stp>
        <stp>[DataSheet2.3.xlsm]JPY_DATA!R26C9</stp>
        <tr r="I26" s="46"/>
      </tp>
      <tp>
        <v>0.24875</v>
        <stp/>
        <stp>##V3_BDPV12</stp>
        <stp>JYSW20 MTRT Curncy</stp>
        <stp>LAST_PRICE</stp>
        <stp>[DataSheet2.3.xlsm]JPY_DATA!R65C9</stp>
        <tr r="I65" s="46"/>
      </tp>
      <tp>
        <v>-50</v>
        <stp/>
        <stp>##V3_BDPV12</stp>
        <stp>SRUSSW2 GMGM Curncy</stp>
        <stp>ASK</stp>
        <stp>[DataSheet2.2.xlsm]INR_DATA!R8C42</stp>
        <tr r="AP8" s="54"/>
      </tp>
      <tp>
        <v>-42.902000000000001</v>
        <stp/>
        <stp>##V3_BDPV12</stp>
        <stp>UDUSSW3 GFID Curncy</stp>
        <stp>BID</stp>
        <stp>[DataSheet2.2.xlsm]AED_DATA!R9C41</stp>
        <tr r="AO9" s="18"/>
      </tp>
      <tp>
        <v>2.4750000000000001</v>
        <stp/>
        <stp>##V3_BDPV12</stp>
        <stp>EURNSW3 CCMK Curncy</stp>
        <stp>LAST_PRICE</stp>
        <stp>[DataSheet2.2.xlsm]RON_DATA!R23C51</stp>
        <tr r="AY23" s="16"/>
      </tp>
      <tp>
        <v>-50</v>
        <stp/>
        <stp>##V3_BDPV12</stp>
        <stp>SRUSSW2 GMGM Curncy</stp>
        <stp>ASK</stp>
        <stp>[DataSheet2.2.xlsm]SAR_DATA!R8C42</stp>
        <tr r="AP8" s="19"/>
      </tp>
      <tp>
        <v>16.75</v>
        <stp/>
        <stp>##V3_BDPV12</stp>
        <stp>PZBSEC2 ICPL Curncy</stp>
        <stp>ASK</stp>
        <stp>[DataSheet2.2.xlsm]PLN_DATA!R8C42</stp>
        <tr r="AP8" s="12"/>
      </tp>
      <tp>
        <v>85.6</v>
        <stp/>
        <stp>##V3_BDPV12</stp>
        <stp>EUR10M Curncy</stp>
        <stp>LAST_PRICE</stp>
        <stp>[DataSheet2.3.xlsm]EUR_DATA!R22C54</stp>
        <tr r="BB22" s="31"/>
      </tp>
      <tp t="s">
        <v>#N/A N/A</v>
        <stp/>
        <stp>##V3_BDPV12</stp>
        <stp>USDHUF5Y BGN Curncy</stp>
        <stp>LAST_PRICE</stp>
        <stp>[DataSheet2.2.xlsm]HUF_DATA!R21C51</stp>
        <tr r="AY21" s="15"/>
      </tp>
      <tp>
        <v>2.35</v>
        <stp/>
        <stp>##V3_BDPV12</stp>
        <stp>PZBSAV3 ICPL Curncy</stp>
        <stp>LAST_PRICE</stp>
        <stp>[DataSheet2.2.xlsm]PLN_DATA!R9C30</stp>
        <tr r="AD9" s="12"/>
      </tp>
      <tp>
        <v>2.4500000000000002</v>
        <stp/>
        <stp>##V3_BDPV12</stp>
        <stp>PZBSAV2 ICPL Curncy</stp>
        <stp>LAST_PRICE</stp>
        <stp>[DataSheet2.2.xlsm]PLN_DATA!R8C30</stp>
        <tr r="AD8" s="12"/>
      </tp>
      <tp>
        <v>1410</v>
        <stp/>
        <stp>##V3_BDPV12</stp>
        <stp>EUR10Y Curncy</stp>
        <stp>LAST_PRICE</stp>
        <stp>[DataSheet2.3.xlsm]EUR_DATA!R36C54</stp>
        <tr r="BB36" s="31"/>
      </tp>
      <tp>
        <v>2.6</v>
        <stp/>
        <stp>##V3_BDPV12</stp>
        <stp>PZBSAV1 ICPL Curncy</stp>
        <stp>LAST_PRICE</stp>
        <stp>[DataSheet2.2.xlsm]PLN_DATA!R7C30</stp>
        <tr r="AD7" s="12"/>
      </tp>
      <tp>
        <v>3.4670000000000001</v>
        <stp/>
        <stp>##V3_BDPV12</stp>
        <stp>JIBA6M Index</stp>
        <stp>PX_LAST</stp>
        <stp>[DataSheet2.2.xlsm]ZAR_DATA!R9C20</stp>
        <tr r="T9" s="8"/>
      </tp>
      <tp>
        <v>3.4169999999999998</v>
        <stp/>
        <stp>##V3_BDPV12</stp>
        <stp>JIBA3M Index</stp>
        <stp>PX_LAST</stp>
        <stp>[DataSheet2.2.xlsm]ZAR_DATA!R8C20</stp>
        <tr r="T8" s="8"/>
      </tp>
      <tp>
        <v>3.375</v>
        <stp/>
        <stp>##V3_BDPV12</stp>
        <stp>JIBA1M Index</stp>
        <stp>PX_LAST</stp>
        <stp>[DataSheet2.2.xlsm]ZAR_DATA!R7C20</stp>
        <tr r="T7" s="8"/>
      </tp>
      <tp>
        <v>1.45</v>
        <stp/>
        <stp>##V3_BDPV12</stp>
        <stp>EUBSV25 Curncy</stp>
        <stp>LAST_PRICE</stp>
        <stp>[DataSheet2.3.xlsm]EUR_DATA!R20C35</stp>
        <tr r="AI20" s="31"/>
      </tp>
      <tp>
        <v>21.3</v>
        <stp/>
        <stp>##V3_BDPV12</stp>
        <stp>ZARTN GFSN Curncy</stp>
        <stp>LAST_PRICE</stp>
        <stp>[DataSheet2.2.xlsm]ZAR_DATA!R9C56</stp>
        <tr r="BD9" s="8"/>
      </tp>
      <tp>
        <v>2.0499999999999998</v>
        <stp/>
        <stp>##V3_BDPV12</stp>
        <stp>EUBSV20 Curncy</stp>
        <stp>LAST_PRICE</stp>
        <stp>[DataSheet2.3.xlsm]EUR_DATA!R19C35</stp>
        <tr r="AI19" s="31"/>
      </tp>
      <tp>
        <v>-58</v>
        <stp/>
        <stp>##V3_BDPV12</stp>
        <stp>SRUSSW3 GMGM Curncy</stp>
        <stp>ASK</stp>
        <stp>[DataSheet2.2.xlsm]INR_DATA!R9C42</stp>
        <tr r="AP9" s="54"/>
      </tp>
      <tp>
        <v>-33.981999999999999</v>
        <stp/>
        <stp>##V3_BDPV12</stp>
        <stp>UDUSSW2 GFID Curncy</stp>
        <stp>BID</stp>
        <stp>[DataSheet2.2.xlsm]AED_DATA!R8C41</stp>
        <tr r="AO8" s="18"/>
      </tp>
      <tp>
        <v>2.4849999999999999</v>
        <stp/>
        <stp>##V3_BDPV12</stp>
        <stp>EURNSW2 CCMK Curncy</stp>
        <stp>LAST_PRICE</stp>
        <stp>[DataSheet2.2.xlsm]RON_DATA!R22C51</stp>
        <tr r="AY22" s="16"/>
      </tp>
      <tp>
        <v>-11.75</v>
        <stp/>
        <stp>##V3_BDPV12</stp>
        <stp>CDBS10 Curncy</stp>
        <stp>LAST_PRICE</stp>
        <stp>[DataSheet2.3.xlsm]CAD_DATA!R16C43</stp>
        <tr r="AQ16" s="48"/>
      </tp>
      <tp>
        <v>-1.5</v>
        <stp/>
        <stp>##V3_BDPV12</stp>
        <stp>JYJSLC30 MTRT Curncy</stp>
        <stp>LAST_PRICE</stp>
        <stp>[DataSheet2.3.xlsm]JPY_DATA!R29C22</stp>
        <tr r="V29" s="46"/>
      </tp>
      <tp>
        <v>-0.375</v>
        <stp/>
        <stp>##V3_BDPV12</stp>
        <stp>JYJSLC10 MTRT Curncy</stp>
        <stp>LAST_PRICE</stp>
        <stp>[DataSheet2.3.xlsm]JPY_DATA!R24C22</stp>
        <tr r="V24" s="46"/>
      </tp>
      <tp>
        <v>-1</v>
        <stp/>
        <stp>##V3_BDPV12</stp>
        <stp>JYJSLC20 MTRT Curncy</stp>
        <stp>LAST_PRICE</stp>
        <stp>[DataSheet2.3.xlsm]JPY_DATA!R27C22</stp>
        <tr r="V27" s="46"/>
      </tp>
      <tp>
        <v>-1.75</v>
        <stp/>
        <stp>##V3_BDPV12</stp>
        <stp>JYJSLC40 MTRT Curncy</stp>
        <stp>LAST_PRICE</stp>
        <stp>[DataSheet2.3.xlsm]JPY_DATA!R31C22</stp>
        <tr r="V31" s="46"/>
      </tp>
      <tp>
        <v>-58</v>
        <stp/>
        <stp>##V3_BDPV12</stp>
        <stp>SRUSSW3 GMGM Curncy</stp>
        <stp>ASK</stp>
        <stp>[DataSheet2.2.xlsm]SAR_DATA!R9C42</stp>
        <tr r="AP9" s="19"/>
      </tp>
      <tp>
        <v>19.75</v>
        <stp/>
        <stp>##V3_BDPV12</stp>
        <stp>PZBSEC3 ICPL Curncy</stp>
        <stp>ASK</stp>
        <stp>[DataSheet2.2.xlsm]PLN_DATA!R9C42</stp>
        <tr r="AP9" s="12"/>
      </tp>
      <tp>
        <v>93.55</v>
        <stp/>
        <stp>##V3_BDPV12</stp>
        <stp>EUR11M Curncy</stp>
        <stp>LAST_PRICE</stp>
        <stp>[DataSheet2.3.xlsm]EUR_DATA!R23C54</stp>
        <tr r="BB23" s="31"/>
      </tp>
      <tp>
        <v>181.49</v>
        <stp/>
        <stp>##V3_BDPV12</stp>
        <stp>EUR21M Curncy</stp>
        <stp>LAST_PRICE</stp>
        <stp>[DataSheet2.3.xlsm]EUR_DATA!R27C54</stp>
        <tr r="BB27" s="31"/>
      </tp>
      <tp t="s">
        <v>#N/A N/A</v>
        <stp/>
        <stp>##V3_BDPV12</stp>
        <stp>USDHUF4Y BGN Curncy</stp>
        <stp>LAST_PRICE</stp>
        <stp>[DataSheet2.2.xlsm]HUF_DATA!R20C51</stp>
        <tr r="AY20" s="15"/>
      </tp>
      <tp>
        <v>68.510000000000005</v>
        <stp/>
        <stp>##V3_BDPV12</stp>
        <stp>EUR8M Curncy</stp>
        <stp>BID</stp>
        <stp>[DataSheet2.3.xlsm]EUR_DATA!R20C52</stp>
        <tr r="AZ20" s="31"/>
      </tp>
      <tp>
        <v>76.55</v>
        <stp/>
        <stp>##V3_BDPV12</stp>
        <stp>EUR9M Curncy</stp>
        <stp>BID</stp>
        <stp>[DataSheet2.3.xlsm]EUR_DATA!R21C52</stp>
        <tr r="AZ21" s="31"/>
      </tp>
      <tp>
        <v>16.54</v>
        <stp/>
        <stp>##V3_BDPV12</stp>
        <stp>EUR2M Curncy</stp>
        <stp>BID</stp>
        <stp>[DataSheet2.3.xlsm]EUR_DATA!R14C52</stp>
        <tr r="AZ14" s="31"/>
      </tp>
      <tp>
        <v>23.94</v>
        <stp/>
        <stp>##V3_BDPV12</stp>
        <stp>EUR3M Curncy</stp>
        <stp>BID</stp>
        <stp>[DataSheet2.3.xlsm]EUR_DATA!R15C52</stp>
        <tr r="AZ15" s="31"/>
      </tp>
      <tp>
        <v>8.8000000000000007</v>
        <stp/>
        <stp>##V3_BDPV12</stp>
        <stp>EUR1M Curncy</stp>
        <stp>BID</stp>
        <stp>[DataSheet2.3.xlsm]EUR_DATA!R13C52</stp>
        <tr r="AZ13" s="31"/>
      </tp>
      <tp>
        <v>37.44</v>
        <stp/>
        <stp>##V3_BDPV12</stp>
        <stp>EUR4M Curncy</stp>
        <stp>BID</stp>
        <stp>[DataSheet2.3.xlsm]EUR_DATA!R16C52</stp>
        <tr r="AZ16" s="31"/>
      </tp>
      <tp>
        <v>45.36</v>
        <stp/>
        <stp>##V3_BDPV12</stp>
        <stp>EUR5M Curncy</stp>
        <stp>BID</stp>
        <stp>[DataSheet2.3.xlsm]EUR_DATA!R17C52</stp>
        <tr r="AZ17" s="31"/>
      </tp>
      <tp>
        <v>52.41</v>
        <stp/>
        <stp>##V3_BDPV12</stp>
        <stp>EUR6M Curncy</stp>
        <stp>BID</stp>
        <stp>[DataSheet2.3.xlsm]EUR_DATA!R18C52</stp>
        <tr r="AZ18" s="31"/>
      </tp>
      <tp>
        <v>60.95</v>
        <stp/>
        <stp>##V3_BDPV12</stp>
        <stp>EUR7M Curncy</stp>
        <stp>BID</stp>
        <stp>[DataSheet2.3.xlsm]EUR_DATA!R19C52</stp>
        <tr r="AZ19" s="31"/>
      </tp>
      <tp>
        <v>53.09</v>
        <stp/>
        <stp>##V3_BDPV12</stp>
        <stp>EUR6M Curncy</stp>
        <stp>ASK</stp>
        <stp>[DataSheet2.3.xlsm]EUR_DATA!R18C53</stp>
        <tr r="BA18" s="31"/>
      </tp>
      <tp>
        <v>61.95</v>
        <stp/>
        <stp>##V3_BDPV12</stp>
        <stp>EUR7M Curncy</stp>
        <stp>ASK</stp>
        <stp>[DataSheet2.3.xlsm]EUR_DATA!R19C53</stp>
        <tr r="BA19" s="31"/>
      </tp>
      <tp>
        <v>8.9</v>
        <stp/>
        <stp>##V3_BDPV12</stp>
        <stp>EUR1M Curncy</stp>
        <stp>ASK</stp>
        <stp>[DataSheet2.3.xlsm]EUR_DATA!R13C53</stp>
        <tr r="BA13" s="31"/>
      </tp>
      <tp>
        <v>37.86</v>
        <stp/>
        <stp>##V3_BDPV12</stp>
        <stp>EUR4M Curncy</stp>
        <stp>ASK</stp>
        <stp>[DataSheet2.3.xlsm]EUR_DATA!R16C53</stp>
        <tr r="BA16" s="31"/>
      </tp>
      <tp>
        <v>45.88</v>
        <stp/>
        <stp>##V3_BDPV12</stp>
        <stp>EUR5M Curncy</stp>
        <stp>ASK</stp>
        <stp>[DataSheet2.3.xlsm]EUR_DATA!R17C53</stp>
        <tr r="BA17" s="31"/>
      </tp>
      <tp>
        <v>16.73</v>
        <stp/>
        <stp>##V3_BDPV12</stp>
        <stp>EUR2M Curncy</stp>
        <stp>ASK</stp>
        <stp>[DataSheet2.3.xlsm]EUR_DATA!R14C53</stp>
        <tr r="BA14" s="31"/>
      </tp>
      <tp>
        <v>24.18</v>
        <stp/>
        <stp>##V3_BDPV12</stp>
        <stp>EUR3M Curncy</stp>
        <stp>ASK</stp>
        <stp>[DataSheet2.3.xlsm]EUR_DATA!R15C53</stp>
        <tr r="BA15" s="31"/>
      </tp>
      <tp>
        <v>69.489999999999995</v>
        <stp/>
        <stp>##V3_BDPV12</stp>
        <stp>EUR8M Curncy</stp>
        <stp>ASK</stp>
        <stp>[DataSheet2.3.xlsm]EUR_DATA!R20C53</stp>
        <tr r="BA20" s="31"/>
      </tp>
      <tp>
        <v>77.55</v>
        <stp/>
        <stp>##V3_BDPV12</stp>
        <stp>EUR9M Curncy</stp>
        <stp>ASK</stp>
        <stp>[DataSheet2.3.xlsm]EUR_DATA!R21C53</stp>
        <tr r="BA21" s="31"/>
      </tp>
      <tp>
        <v>8.8164999999999996</v>
        <stp/>
        <stp>##V3_BDPV12</stp>
        <stp>USDSEK Curncy</stp>
        <stp>LAST_PRICE</stp>
        <stp>[DataSheet2.3.xlsm]FX!R2C10</stp>
        <tr r="J2" s="20"/>
      </tp>
      <tp>
        <v>22.5732</v>
        <stp/>
        <stp>##V3_BDPV12</stp>
        <stp>USDCZK Curncy</stp>
        <stp>LAST_PRICE</stp>
        <stp>[DataSheet2.3.xlsm]FX!R2C13</stp>
        <tr r="M2" s="20"/>
      </tp>
      <tp>
        <v>0.31125000000000003</v>
        <stp/>
        <stp>##V3_BDPV12</stp>
        <stp>JYSO35 MTRT Curncy</stp>
        <stp>LAST_PRICE</stp>
        <stp>[DataSheet2.3.xlsm]JPY_DATA!R32C9</stp>
        <tr r="I32" s="46"/>
      </tp>
      <tp>
        <v>0.95</v>
        <stp/>
        <stp>##V3_BDPV12</stp>
        <stp>EUBSV30 Curncy</stp>
        <stp>LAST_PRICE</stp>
        <stp>[DataSheet2.3.xlsm]EUR_DATA!R21C35</stp>
        <tr r="AI21" s="31"/>
      </tp>
      <tp>
        <v>-4.1250000000000002E-2</v>
        <stp/>
        <stp>##V3_BDPV12</stp>
        <stp>JYSW1F MTRT Curncy</stp>
        <stp>LAST_PRICE</stp>
        <stp>[DataSheet2.3.xlsm]JPY_DATA!R53C9</stp>
        <tr r="I53" s="46"/>
      </tp>
      <tp>
        <v>37</v>
        <stp/>
        <stp>##V3_BDPV12</stp>
        <stp>SABS1 ICPL Curncy</stp>
        <stp>LAST_PRICE</stp>
        <stp>[DataSheet2.2.xlsm]ZAR_DATA!R7C43</stp>
        <tr r="AQ7" s="8"/>
      </tp>
      <tp>
        <v>3</v>
        <stp/>
        <stp>##V3_BDPV12</stp>
        <stp>SABS3 ICPL Curncy</stp>
        <stp>LAST_PRICE</stp>
        <stp>[DataSheet2.2.xlsm]ZAR_DATA!R9C43</stp>
        <tr r="AQ9" s="8"/>
      </tp>
      <tp>
        <v>15</v>
        <stp/>
        <stp>##V3_BDPV12</stp>
        <stp>SABS2 ICPL Curncy</stp>
        <stp>LAST_PRICE</stp>
        <stp>[DataSheet2.2.xlsm]ZAR_DATA!R8C43</stp>
        <tr r="AQ8" s="8"/>
      </tp>
      <tp>
        <v>37.68</v>
        <stp/>
        <stp>##V3_BDPV12</stp>
        <stp>USDHUF3M BGN Curncy</stp>
        <stp>ASK</stp>
        <stp>[DataSheet2.2.xlsm]HUF_DATA!R14C50</stp>
        <tr r="AX14" s="15"/>
      </tp>
      <tp>
        <v>19.5</v>
        <stp/>
        <stp>##V3_BDPV12</stp>
        <stp>USDHUF2M BGN Curncy</stp>
        <stp>ASK</stp>
        <stp>[DataSheet2.2.xlsm]HUF_DATA!R13C50</stp>
        <tr r="AX13" s="15"/>
      </tp>
      <tp>
        <v>8.51</v>
        <stp/>
        <stp>##V3_BDPV12</stp>
        <stp>USDHUF1M BGN Curncy</stp>
        <stp>ASK</stp>
        <stp>[DataSheet2.2.xlsm]HUF_DATA!R12C50</stp>
        <tr r="AX12" s="15"/>
      </tp>
      <tp>
        <v>78.31</v>
        <stp/>
        <stp>##V3_BDPV12</stp>
        <stp>USDHUF6M BGN Curncy</stp>
        <stp>ASK</stp>
        <stp>[DataSheet2.2.xlsm]HUF_DATA!R15C50</stp>
        <tr r="AX15" s="15"/>
      </tp>
      <tp>
        <v>123.97</v>
        <stp/>
        <stp>##V3_BDPV12</stp>
        <stp>USDHUF9M BGN Curncy</stp>
        <stp>ASK</stp>
        <stp>[DataSheet2.2.xlsm]HUF_DATA!R16C50</stp>
        <tr r="AX16" s="15"/>
      </tp>
      <tp>
        <v>83.74</v>
        <stp/>
        <stp>##V3_BDPV12</stp>
        <stp>USDHUF9M BGN Curncy</stp>
        <stp>BID</stp>
        <stp>[DataSheet2.2.xlsm]HUF_DATA!R16C49</stp>
        <tr r="AW16" s="15"/>
      </tp>
      <tp>
        <v>4.49</v>
        <stp/>
        <stp>##V3_BDPV12</stp>
        <stp>USDHUF1M BGN Curncy</stp>
        <stp>BID</stp>
        <stp>[DataSheet2.2.xlsm]HUF_DATA!R12C49</stp>
        <tr r="AW12" s="15"/>
      </tp>
      <tp>
        <v>35.85</v>
        <stp/>
        <stp>##V3_BDPV12</stp>
        <stp>USDHUF6M BGN Curncy</stp>
        <stp>BID</stp>
        <stp>[DataSheet2.2.xlsm]HUF_DATA!R15C49</stp>
        <tr r="AW15" s="15"/>
      </tp>
      <tp>
        <v>12.03</v>
        <stp/>
        <stp>##V3_BDPV12</stp>
        <stp>USDHUF2M BGN Curncy</stp>
        <stp>BID</stp>
        <stp>[DataSheet2.2.xlsm]HUF_DATA!R13C49</stp>
        <tr r="AW13" s="15"/>
      </tp>
      <tp>
        <v>25.58</v>
        <stp/>
        <stp>##V3_BDPV12</stp>
        <stp>USDHUF3M BGN Curncy</stp>
        <stp>BID</stp>
        <stp>[DataSheet2.2.xlsm]HUF_DATA!R14C49</stp>
        <tr r="AW14" s="15"/>
      </tp>
      <tp>
        <v>-13</v>
        <stp/>
        <stp>##V3_BDPV12</stp>
        <stp>HDBS1 ICHK Curncy</stp>
        <stp>LAST_PRICE</stp>
        <stp>[DataSheet2.2.xlsm]HKD_DATA!R9C43</stp>
        <tr r="AQ9" s="52"/>
      </tp>
      <tp>
        <v>-31.445</v>
        <stp/>
        <stp>##V3_BDPV12</stp>
        <stp>UDUSSW1 GFID Curncy</stp>
        <stp>BID</stp>
        <stp>[DataSheet2.2.xlsm]AED_DATA!R7C41</stp>
        <tr r="AO7" s="18"/>
      </tp>
      <tp>
        <v>2.5049999999999999</v>
        <stp/>
        <stp>##V3_BDPV12</stp>
        <stp>EURNSW1 CCMK Curncy</stp>
        <stp>LAST_PRICE</stp>
        <stp>[DataSheet2.2.xlsm]RON_DATA!R21C51</stp>
        <tr r="AY21" s="16"/>
      </tp>
      <tp>
        <v>-14.75</v>
        <stp/>
        <stp>##V3_BDPV12</stp>
        <stp>CDBS20 Curncy</stp>
        <stp>LAST_PRICE</stp>
        <stp>[DataSheet2.3.xlsm]CAD_DATA!R17C43</stp>
        <tr r="AQ17" s="48"/>
      </tp>
      <tp>
        <v>4.75</v>
        <stp/>
        <stp>##V3_BDPV12</stp>
        <stp>JYBSL35 MTRT Curncy</stp>
        <stp>LAST_PRICE</stp>
        <stp>[DataSheet2.3.xlsm]JPY_DATA!R50C9</stp>
        <tr r="I50" s="46"/>
      </tp>
      <tp>
        <v>-0.03</v>
        <stp/>
        <stp>##V3_BDPV12</stp>
        <stp>JYFR6/12 MTRT Curncy</stp>
        <stp>LAST_PRICE</stp>
        <stp>[DataSheet2.3.xlsm]JPY_DATA!R14C32</stp>
        <tr r="AF14" s="46"/>
      </tp>
      <tp>
        <v>-0.03</v>
        <stp/>
        <stp>##V3_BDPV12</stp>
        <stp>JYFR6/12 MTRT Curncy</stp>
        <stp>LAST_PRICE</stp>
        <stp>[DataSheet2.3.xlsm]JPY_DATA!R13C22</stp>
        <tr r="V13" s="46"/>
      </tp>
      <tp>
        <v>102.39</v>
        <stp/>
        <stp>##V3_BDPV12</stp>
        <stp>EUR12M Curncy</stp>
        <stp>LAST_PRICE</stp>
        <stp>[DataSheet2.3.xlsm]EUR_DATA!R24C54</stp>
        <tr r="BB24" s="31"/>
      </tp>
      <tp>
        <v>-13</v>
        <stp/>
        <stp>##V3_BDPV12</stp>
        <stp>HDBSI ICHK Curncy</stp>
        <stp>LAST_PRICE</stp>
        <stp>[DataSheet2.2.xlsm]HKD_DATA!R8C43</stp>
        <tr r="AQ8" s="52"/>
      </tp>
      <tp>
        <v>19.1875</v>
        <stp/>
        <stp>##V3_BDPV12</stp>
        <stp>USBG20 CMPN Curncy</stp>
        <stp>LAST_PRICE</stp>
        <stp>[DataSheet2.3.xlsm]USD_DATA!R36C9</stp>
        <tr r="I36" s="6"/>
      </tp>
      <tp>
        <v>19.375</v>
        <stp/>
        <stp>##V3_BDPV12</stp>
        <stp>USBG15 CMPN Curncy</stp>
        <stp>LAST_PRICE</stp>
        <stp>[DataSheet2.3.xlsm]USD_DATA!R35C9</stp>
        <tr r="I35" s="6"/>
      </tp>
      <tp>
        <v>0.69899999999999995</v>
        <stp/>
        <stp>##V3_BDPV12</stp>
        <stp>EURSN Curncy</stp>
        <stp>BID</stp>
        <stp>[DataSheet2.3.xlsm]EUR_DATA!R38C52</stp>
        <tr r="AZ38" s="31"/>
      </tp>
      <tp>
        <v>6.8480999999999996</v>
        <stp/>
        <stp>##V3_BDPV12</stp>
        <stp>USDCNH Curncy</stp>
        <stp>LAST_PRICE</stp>
        <stp>[DataSheet2.3.xlsm]FX!R2C25</stp>
        <tr r="Y2" s="20"/>
      </tp>
      <tp>
        <v>0.72599999999999998</v>
        <stp/>
        <stp>##V3_BDPV12</stp>
        <stp>EURSN Curncy</stp>
        <stp>ASK</stp>
        <stp>[DataSheet2.3.xlsm]EUR_DATA!R38C53</stp>
        <tr r="BA38" s="31"/>
      </tp>
      <tp>
        <v>-12</v>
        <stp/>
        <stp>##V3_BDPV12</stp>
        <stp>HDBSF ICHK Curncy</stp>
        <stp>LAST_PRICE</stp>
        <stp>[DataSheet2.2.xlsm]HKD_DATA!R7C43</stp>
        <tr r="AQ7" s="52"/>
      </tp>
      <tp>
        <v>0.26</v>
        <stp/>
        <stp>##V3_BDPV12</stp>
        <stp>JYSO25 MTRT Curncy</stp>
        <stp>LAST_PRICE</stp>
        <stp>[DataSheet2.3.xlsm]JPY_DATA!R30C9</stp>
        <tr r="I30" s="46"/>
      </tp>
      <tp>
        <v>-6.75</v>
        <stp/>
        <stp>##V3_BDPV12</stp>
        <stp>EUBSC ICPL Curncy</stp>
        <stp>LAST_PRICE</stp>
        <stp>[DataSheet2.3.xlsm]EUR_DATA!R7C46</stp>
        <tr r="AT7" s="31"/>
      </tp>
      <tp>
        <v>0.30125000000000002</v>
        <stp/>
        <stp>##V3_BDPV12</stp>
        <stp>JYSO30 MTRT Curncy</stp>
        <stp>LAST_PRICE</stp>
        <stp>[DataSheet2.3.xlsm]JPY_DATA!R31C9</stp>
        <tr r="I31" s="46"/>
      </tp>
      <tp>
        <v>8.3750000000000005E-2</v>
        <stp/>
        <stp>##V3_BDPV12</stp>
        <stp>JYSW12 MTRT Curncy</stp>
        <stp>LAST_PRICE</stp>
        <stp>[DataSheet2.3.xlsm]JPY_DATA!R63C9</stp>
        <tr r="I63" s="46"/>
      </tp>
      <tp>
        <v>-12.75</v>
        <stp/>
        <stp>##V3_BDPV12</stp>
        <stp>EUBSF ICPL Curncy</stp>
        <stp>LAST_PRICE</stp>
        <stp>[DataSheet2.3.xlsm]EUR_DATA!R8C46</stp>
        <tr r="AT8" s="31"/>
      </tp>
      <tp>
        <v>-11.125</v>
        <stp/>
        <stp>##V3_BDPV12</stp>
        <stp>EUBSI ICPL Curncy</stp>
        <stp>LAST_PRICE</stp>
        <stp>[DataSheet2.3.xlsm]EUR_DATA!R9C46</stp>
        <tr r="AT9" s="31"/>
      </tp>
      <tp>
        <v>0.38</v>
        <stp/>
        <stp>##V3_BDPV12</stp>
        <stp>BUBORON Index</stp>
        <stp>PX_LAST</stp>
        <stp>[DataSheet2.2.xlsm]HUF_DATA!R7C20</stp>
        <tr r="T7" s="15"/>
      </tp>
      <tp>
        <v>3.42</v>
        <stp/>
        <stp>##V3_BDPV12</stp>
        <stp>SAFR0I1 ICPL Curncy</stp>
        <stp>LAST_PRICE</stp>
        <stp>[DataSheet2.2.xlsm]ZAR_DATA!R15C20</stp>
        <tr r="T15" s="8"/>
      </tp>
      <tp>
        <v>-44</v>
        <stp/>
        <stp>##V3_BDPV12</stp>
        <stp>SRUSSW1 GMGM Curncy</stp>
        <stp>ASK</stp>
        <stp>[DataSheet2.2.xlsm]INR_DATA!R7C42</stp>
        <tr r="AP7" s="54"/>
      </tp>
      <tp>
        <v>156.15</v>
        <stp/>
        <stp>##V3_BDPV12</stp>
        <stp>EUR18M Curncy</stp>
        <stp>ASK</stp>
        <stp>[DataSheet2.3.xlsm]EUR_DATA!R26C53</stp>
        <tr r="BA26" s="31"/>
      </tp>
      <tp>
        <v>103.13</v>
        <stp/>
        <stp>##V3_BDPV12</stp>
        <stp>EUR12M Curncy</stp>
        <stp>ASK</stp>
        <stp>[DataSheet2.3.xlsm]EUR_DATA!R24C53</stp>
        <tr r="BA24" s="31"/>
      </tp>
      <tp>
        <v>129.54</v>
        <stp/>
        <stp>##V3_BDPV12</stp>
        <stp>EUR15M Curncy</stp>
        <stp>ASK</stp>
        <stp>[DataSheet2.3.xlsm]EUR_DATA!R25C53</stp>
        <tr r="BA25" s="31"/>
      </tp>
      <tp>
        <v>86.1</v>
        <stp/>
        <stp>##V3_BDPV12</stp>
        <stp>EUR10M Curncy</stp>
        <stp>ASK</stp>
        <stp>[DataSheet2.3.xlsm]EUR_DATA!R22C53</stp>
        <tr r="BA22" s="31"/>
      </tp>
      <tp>
        <v>94.07</v>
        <stp/>
        <stp>##V3_BDPV12</stp>
        <stp>EUR11M Curncy</stp>
        <stp>ASK</stp>
        <stp>[DataSheet2.3.xlsm]EUR_DATA!R23C53</stp>
        <tr r="BA23" s="31"/>
      </tp>
      <tp>
        <v>183.48</v>
        <stp/>
        <stp>##V3_BDPV12</stp>
        <stp>EUR21M Curncy</stp>
        <stp>ASK</stp>
        <stp>[DataSheet2.3.xlsm]EUR_DATA!R27C53</stp>
        <tr r="BA27" s="31"/>
      </tp>
      <tp>
        <v>179.51</v>
        <stp/>
        <stp>##V3_BDPV12</stp>
        <stp>EUR21M Curncy</stp>
        <stp>BID</stp>
        <stp>[DataSheet2.3.xlsm]EUR_DATA!R27C52</stp>
        <tr r="AZ27" s="31"/>
      </tp>
      <tp>
        <v>85.1</v>
        <stp/>
        <stp>##V3_BDPV12</stp>
        <stp>EUR10M Curncy</stp>
        <stp>BID</stp>
        <stp>[DataSheet2.3.xlsm]EUR_DATA!R22C52</stp>
        <tr r="AZ22" s="31"/>
      </tp>
      <tp>
        <v>93.03</v>
        <stp/>
        <stp>##V3_BDPV12</stp>
        <stp>EUR11M Curncy</stp>
        <stp>BID</stp>
        <stp>[DataSheet2.3.xlsm]EUR_DATA!R23C52</stp>
        <tr r="AZ23" s="31"/>
      </tp>
      <tp>
        <v>126.93</v>
        <stp/>
        <stp>##V3_BDPV12</stp>
        <stp>EUR15M Curncy</stp>
        <stp>BID</stp>
        <stp>[DataSheet2.3.xlsm]EUR_DATA!R25C52</stp>
        <tr r="AZ25" s="31"/>
      </tp>
      <tp>
        <v>101.66</v>
        <stp/>
        <stp>##V3_BDPV12</stp>
        <stp>EUR12M Curncy</stp>
        <stp>BID</stp>
        <stp>[DataSheet2.3.xlsm]EUR_DATA!R24C52</stp>
        <tr r="AZ24" s="31"/>
      </tp>
      <tp>
        <v>153.15</v>
        <stp/>
        <stp>##V3_BDPV12</stp>
        <stp>EUR18M Curncy</stp>
        <stp>BID</stp>
        <stp>[DataSheet2.3.xlsm]EUR_DATA!R26C52</stp>
        <tr r="AZ26" s="31"/>
      </tp>
      <tp>
        <v>-18</v>
        <stp/>
        <stp>##V3_BDPV12</stp>
        <stp>CDBS30 Curncy</stp>
        <stp>LAST_PRICE</stp>
        <stp>[DataSheet2.3.xlsm]CAD_DATA!R18C43</stp>
        <tr r="AQ18" s="48"/>
      </tp>
      <tp>
        <v>-0.625</v>
        <stp/>
        <stp>##V3_BDPV12</stp>
        <stp>JYJSLC12 MTRT Curncy</stp>
        <stp>LAST_PRICE</stp>
        <stp>[DataSheet2.3.xlsm]JPY_DATA!R25C22</stp>
        <tr r="V25" s="46"/>
      </tp>
      <tp>
        <v>-44</v>
        <stp/>
        <stp>##V3_BDPV12</stp>
        <stp>SRUSSW1 GMGM Curncy</stp>
        <stp>ASK</stp>
        <stp>[DataSheet2.2.xlsm]SAR_DATA!R7C42</stp>
        <tr r="AP7" s="19"/>
      </tp>
      <tp>
        <v>13.25</v>
        <stp/>
        <stp>##V3_BDPV12</stp>
        <stp>PZBSEC1 ICPL Curncy</stp>
        <stp>ASK</stp>
        <stp>[DataSheet2.2.xlsm]PLN_DATA!R7C42</stp>
        <tr r="AP7" s="12"/>
      </tp>
      <tp>
        <v>57.08</v>
        <stp/>
        <stp>##V3_BDPV12</stp>
        <stp>USDHUF6M BGN Curncy</stp>
        <stp>LAST_PRICE</stp>
        <stp>[DataSheet2.2.xlsm]HUF_DATA!R15C51</stp>
        <tr r="AY15" s="15"/>
      </tp>
      <tp>
        <v>69</v>
        <stp/>
        <stp>##V3_BDPV12</stp>
        <stp>SRSSUS1 GMGM Curncy</stp>
        <stp>LAST_PRICE</stp>
        <stp>[DataSheet2.2.xlsm]INR_DATA!R9C35</stp>
        <tr r="AI9" s="54"/>
      </tp>
      <tp>
        <v>69</v>
        <stp/>
        <stp>##V3_BDPV12</stp>
        <stp>SRSSUS1 GMGM Curncy</stp>
        <stp>LAST_PRICE</stp>
        <stp>[DataSheet2.2.xlsm]SAR_DATA!R9C35</stp>
        <tr r="AI9" s="19"/>
      </tp>
      <tp>
        <v>19.625</v>
        <stp/>
        <stp>##V3_BDPV12</stp>
        <stp>USBG12 CMPN Curncy</stp>
        <stp>LAST_PRICE</stp>
        <stp>[DataSheet2.3.xlsm]USD_DATA!R34C9</stp>
        <tr r="I34" s="6"/>
      </tp>
      <tp>
        <v>18.920000000000002</v>
        <stp/>
        <stp>##V3_BDPV12</stp>
        <stp>USBG25 CMPN Curncy</stp>
        <stp>LAST_PRICE</stp>
        <stp>[DataSheet2.3.xlsm]USD_DATA!R37C9</stp>
        <tr r="I37" s="6"/>
      </tp>
      <tp>
        <v>3.7499999999999999E-2</v>
        <stp/>
        <stp>##V3_BDPV12</stp>
        <stp>JYSW10 MTRT Curncy</stp>
        <stp>LAST_PRICE</stp>
        <stp>[DataSheet2.3.xlsm]JPY_DATA!R62C9</stp>
        <tr r="I62" s="46"/>
      </tp>
      <tp>
        <v>2.8</v>
        <stp/>
        <stp>##V3_BDPV12</stp>
        <stp>EUBSV15 Curncy</stp>
        <stp>LAST_PRICE</stp>
        <stp>[DataSheet2.3.xlsm]EUR_DATA!R18C35</stp>
        <tr r="AI18" s="31"/>
      </tp>
      <tp>
        <v>4.4749999999999996</v>
        <stp/>
        <stp>##V3_BDPV12</stp>
        <stp>EUBSV10 Curncy</stp>
        <stp>LAST_PRICE</stp>
        <stp>[DataSheet2.3.xlsm]EUR_DATA!R16C35</stp>
        <tr r="AI16" s="31"/>
      </tp>
      <tp>
        <v>3.85</v>
        <stp/>
        <stp>##V3_BDPV12</stp>
        <stp>EUBSV12 Curncy</stp>
        <stp>LAST_PRICE</stp>
        <stp>[DataSheet2.3.xlsm]EUR_DATA!R17C35</stp>
        <tr r="AI17" s="31"/>
      </tp>
      <tp>
        <v>14</v>
        <stp/>
        <stp>##V3_BDPV12</stp>
        <stp>UDBS1 GMGM Curncy</stp>
        <stp>LAST_PRICE</stp>
        <stp>[DataSheet2.2.xlsm]AED_DATA!R7C25</stp>
        <tr r="Y7" s="18"/>
      </tp>
      <tp>
        <v>14</v>
        <stp/>
        <stp>##V3_BDPV12</stp>
        <stp>UDBS3 GMGM Curncy</stp>
        <stp>LAST_PRICE</stp>
        <stp>[DataSheet2.2.xlsm]AED_DATA!R9C25</stp>
        <tr r="Y9" s="18"/>
      </tp>
      <tp>
        <v>14</v>
        <stp/>
        <stp>##V3_BDPV12</stp>
        <stp>UDBS2 GMGM Curncy</stp>
        <stp>LAST_PRICE</stp>
        <stp>[DataSheet2.2.xlsm]AED_DATA!R8C25</stp>
        <tr r="Y8" s="18"/>
      </tp>
      <tp>
        <v>22.5</v>
        <stp/>
        <stp>##V3_BDPV12</stp>
        <stp>USBL2 PREB Curncy</stp>
        <stp>LAST_PRICE</stp>
        <stp>[DataSheet2.3.xlsm]USD_DATA!R8C32</stp>
        <tr r="AF8" s="6"/>
      </tp>
      <tp>
        <v>26.75</v>
        <stp/>
        <stp>##V3_BDPV12</stp>
        <stp>USBL3 PREB Curncy</stp>
        <stp>LAST_PRICE</stp>
        <stp>[DataSheet2.3.xlsm]USD_DATA!R9C32</stp>
        <tr r="AF9" s="6"/>
      </tp>
      <tp>
        <v>17.625</v>
        <stp/>
        <stp>##V3_BDPV12</stp>
        <stp>USBL1 PREB Curncy</stp>
        <stp>LAST_PRICE</stp>
        <stp>[DataSheet2.3.xlsm]USD_DATA!R7C32</stp>
        <tr r="AF7" s="6"/>
      </tp>
      <tp>
        <v>0.25</v>
        <stp/>
        <stp>##V3_BDPV12</stp>
        <stp>PRIBOVN Index</stp>
        <stp>PX_LAST</stp>
        <stp>[DataSheet2.2.xlsm]CZK_DATA!R7C20</stp>
        <tr r="T7" s="14"/>
      </tp>
      <tp>
        <v>4.5</v>
        <stp/>
        <stp>##V3_BDPV12</stp>
        <stp>CGSWH10 TPRA Curncy</stp>
        <stp>LAST_PRICE</stp>
        <stp>[DataSheet2.3.xlsm]CNH_DATA!R20C20</stp>
        <tr r="T20" s="50"/>
      </tp>
      <tp>
        <v>-15.5</v>
        <stp/>
        <stp>##V3_BDPV12</stp>
        <stp>CKEUBS20 ICPL Curncy</stp>
        <stp>LAST_PRICE</stp>
        <stp>[DataSheet2.2.xlsm]CZK_DATA!R20C43</stp>
        <tr r="AQ20" s="14"/>
      </tp>
      <tp>
        <v>-28.5</v>
        <stp/>
        <stp>##V3_BDPV12</stp>
        <stp>CKEUBS10 ICPL Curncy</stp>
        <stp>LAST_PRICE</stp>
        <stp>[DataSheet2.2.xlsm]CZK_DATA!R17C43</stp>
        <tr r="AQ17" s="14"/>
      </tp>
      <tp>
        <v>-54</v>
        <stp/>
        <stp>##V3_BDPV12</stp>
        <stp>SRUSSW1 GMGM Curncy</stp>
        <stp>BID</stp>
        <stp>[DataSheet2.2.xlsm]INR_DATA!R7C41</stp>
        <tr r="AO7" s="54"/>
      </tp>
      <tp>
        <v>133</v>
        <stp/>
        <stp>##V3_BDPV12</stp>
        <stp>SRSSUS5 GMGM Curncy</stp>
        <stp>LAST_PRICE</stp>
        <stp>[DataSheet2.2.xlsm]SAR_DATA!R13C35</stp>
        <tr r="AI13" s="19"/>
      </tp>
      <tp>
        <v>9.5</v>
        <stp/>
        <stp>##V3_BDPV12</stp>
        <stp>PZBSV10 ICPL Curncy</stp>
        <stp>LAST_PRICE</stp>
        <stp>[DataSheet2.2.xlsm]PLN_DATA!R23C25</stp>
        <tr r="Y23" s="12"/>
      </tp>
      <tp>
        <v>10</v>
        <stp/>
        <stp>##V3_BDPV12</stp>
        <stp>PZBSV20 ICPL Curncy</stp>
        <stp>LAST_PRICE</stp>
        <stp>[DataSheet2.2.xlsm]PLN_DATA!R26C25</stp>
        <tr r="Y26" s="12"/>
      </tp>
      <tp>
        <v>6</v>
        <stp/>
        <stp>##V3_BDPV12</stp>
        <stp>EOBSVC10 ICPL Curncy</stp>
        <stp>LAST_PRICE</stp>
        <stp>[DataSheet2.3.xlsm]EUR_DATA!R35C12</stp>
        <tr r="L35" s="31"/>
      </tp>
      <tp>
        <v>6</v>
        <stp/>
        <stp>##V3_BDPV12</stp>
        <stp>EOBSVC20 ICPL Curncy</stp>
        <stp>LAST_PRICE</stp>
        <stp>[DataSheet2.3.xlsm]EUR_DATA!R38C12</stp>
        <tr r="L38" s="31"/>
      </tp>
      <tp>
        <v>5.6</v>
        <stp/>
        <stp>##V3_BDPV12</stp>
        <stp>EOBSVC40 ICPL Curncy</stp>
        <stp>LAST_PRICE</stp>
        <stp>[DataSheet2.3.xlsm]EUR_DATA!R41C12</stp>
        <tr r="L41" s="31"/>
      </tp>
      <tp>
        <v>5.2</v>
        <stp/>
        <stp>##V3_BDPV12</stp>
        <stp>EOBSVC50 ICPL Curncy</stp>
        <stp>LAST_PRICE</stp>
        <stp>[DataSheet2.3.xlsm]EUR_DATA!R42C12</stp>
        <tr r="L42" s="31"/>
      </tp>
      <tp>
        <v>5.9</v>
        <stp/>
        <stp>##V3_BDPV12</stp>
        <stp>EOBSVC30 ICPL Curncy</stp>
        <stp>LAST_PRICE</stp>
        <stp>[DataSheet2.3.xlsm]EUR_DATA!R40C12</stp>
        <tr r="L40" s="31"/>
      </tp>
      <tp>
        <v>-54</v>
        <stp/>
        <stp>##V3_BDPV12</stp>
        <stp>SRUSSW1 GMGM Curncy</stp>
        <stp>BID</stp>
        <stp>[DataSheet2.2.xlsm]SAR_DATA!R7C41</stp>
        <tr r="AO7" s="19"/>
      </tp>
      <tp>
        <v>3.25</v>
        <stp/>
        <stp>##V3_BDPV12</stp>
        <stp>PZBSEC1 ICPL Curncy</stp>
        <stp>BID</stp>
        <stp>[DataSheet2.2.xlsm]PLN_DATA!R7C41</stp>
        <tr r="AO7" s="12"/>
      </tp>
      <tp>
        <v>103.85</v>
        <stp/>
        <stp>##V3_BDPV12</stp>
        <stp>USDHUF9M BGN Curncy</stp>
        <stp>LAST_PRICE</stp>
        <stp>[DataSheet2.2.xlsm]HUF_DATA!R16C51</stp>
        <tr r="AY16" s="15"/>
      </tp>
      <tp>
        <v>304.37</v>
        <stp/>
        <stp>##V3_BDPV12</stp>
        <stp>USDHUF Curncy</stp>
        <stp>LAST_PRICE</stp>
        <stp>[DataSheet2.3.xlsm]FX!R2C14</stp>
        <tr r="N2" s="20"/>
      </tp>
      <tp>
        <v>76.73</v>
        <stp/>
        <stp>##V3_BDPV12</stp>
        <stp>IRN+12M CMPN Curncy</stp>
        <stp>ASK</stp>
        <stp>[DataSheet2.2.xlsm]INR_DATA!R15C50</stp>
        <tr r="AX15" s="54"/>
      </tp>
      <tp>
        <v>76.64</v>
        <stp/>
        <stp>##V3_BDPV12</stp>
        <stp>IRN+12M CMPN Curncy</stp>
        <stp>BID</stp>
        <stp>[DataSheet2.2.xlsm]INR_DATA!R15C49</stp>
        <tr r="AW15" s="54"/>
      </tp>
      <tp>
        <v>119</v>
        <stp/>
        <stp>##V3_BDPV12</stp>
        <stp>SRSSUS4 GMGM Curncy</stp>
        <stp>LAST_PRICE</stp>
        <stp>[DataSheet2.2.xlsm]SAR_DATA!R12C35</stp>
        <tr r="AI12" s="19"/>
      </tp>
      <tp>
        <v>-25.445</v>
        <stp/>
        <stp>##V3_BDPV12</stp>
        <stp>UDUSSW1 GFID Curncy</stp>
        <stp>ASK</stp>
        <stp>[DataSheet2.2.xlsm]AED_DATA!R7C42</stp>
        <tr r="AP7" s="18"/>
      </tp>
      <tp>
        <v>0.67469999999999997</v>
        <stp/>
        <stp>##V3_BDPV12</stp>
        <stp>USSWAP10 PREB Curncy</stp>
        <stp>LAST_PRICE</stp>
        <stp>[DataSheet2.3.xlsm]USD_DATA!R27C17</stp>
        <tr r="Q27" s="6"/>
      </tp>
      <tp>
        <v>0.97819999999999996</v>
        <stp/>
        <stp>##V3_BDPV12</stp>
        <stp>USSWAP20 PREB Curncy</stp>
        <stp>LAST_PRICE</stp>
        <stp>[DataSheet2.3.xlsm]USD_DATA!R30C17</stp>
        <tr r="Q30" s="6"/>
      </tp>
      <tp>
        <v>1.0302</v>
        <stp/>
        <stp>##V3_BDPV12</stp>
        <stp>USSWAP30 PREB Curncy</stp>
        <stp>LAST_PRICE</stp>
        <stp>[DataSheet2.3.xlsm]USD_DATA!R31C17</stp>
        <tr r="Q31" s="6"/>
      </tp>
      <tp>
        <v>4.5</v>
        <stp/>
        <stp>##V3_BDPV12</stp>
        <stp>CGSWH10 TPRA Curncy</stp>
        <stp>LAST_PRICE</stp>
        <stp>[DataSheet2.3.xlsm]BRL_DATA!R20C20</stp>
        <tr r="T20" s="59"/>
      </tp>
      <tp>
        <v>-129</v>
        <stp/>
        <stp>##V3_BDPV12</stp>
        <stp>SRUSSW10 GMGM Curncy</stp>
        <stp>LAST_PRICE</stp>
        <stp>[DataSheet2.2.xlsm]SAR_DATA!R13C43</stp>
        <tr r="AQ13" s="19"/>
      </tp>
      <tp>
        <v>180</v>
        <stp/>
        <stp>##V3_BDPV12</stp>
        <stp>SRSSUS10 GMGM Curncy</stp>
        <stp>LAST_PRICE</stp>
        <stp>[DataSheet2.2.xlsm]SAR_DATA!R15C35</stp>
        <tr r="AI15" s="19"/>
      </tp>
      <tp>
        <v>19</v>
        <stp/>
        <stp>##V3_BDPV12</stp>
        <stp>USBG30 CMPN Curncy</stp>
        <stp>LAST_PRICE</stp>
        <stp>[DataSheet2.3.xlsm]USD_DATA!R38C9</stp>
        <tr r="I38" s="6"/>
      </tp>
      <tp>
        <v>0.36375000000000002</v>
        <stp/>
        <stp>##V3_BDPV12</stp>
        <stp>JYSW40 MTRT Curncy</stp>
        <stp>LAST_PRICE</stp>
        <stp>[DataSheet2.3.xlsm]JPY_DATA!R69C9</stp>
        <tr r="I69" s="46"/>
      </tp>
      <tp>
        <v>-26</v>
        <stp/>
        <stp>##V3_BDPV12</stp>
        <stp>CKEUBS12 ICPL Curncy</stp>
        <stp>LAST_PRICE</stp>
        <stp>[DataSheet2.2.xlsm]CZK_DATA!R18C43</stp>
        <tr r="AQ18" s="14"/>
      </tp>
      <tp>
        <v>-73</v>
        <stp/>
        <stp>##V3_BDPV12</stp>
        <stp>SRUSSW3 GMGM Curncy</stp>
        <stp>BID</stp>
        <stp>[DataSheet2.2.xlsm]INR_DATA!R9C41</stp>
        <tr r="AO9" s="54"/>
      </tp>
      <tp>
        <v>154</v>
        <stp/>
        <stp>##V3_BDPV12</stp>
        <stp>SRSSUS7 GMGM Curncy</stp>
        <stp>LAST_PRICE</stp>
        <stp>[DataSheet2.2.xlsm]SAR_DATA!R14C35</stp>
        <tr r="AI14" s="19"/>
      </tp>
      <tp>
        <v>-25.481999999999999</v>
        <stp/>
        <stp>##V3_BDPV12</stp>
        <stp>UDUSSW2 GFID Curncy</stp>
        <stp>ASK</stp>
        <stp>[DataSheet2.2.xlsm]AED_DATA!R8C42</stp>
        <tr r="AP8" s="18"/>
      </tp>
      <tp>
        <v>9.75</v>
        <stp/>
        <stp>##V3_BDPV12</stp>
        <stp>PZBSV12 ICPL Curncy</stp>
        <stp>LAST_PRICE</stp>
        <stp>[DataSheet2.2.xlsm]PLN_DATA!R24C25</stp>
        <tr r="Y24" s="12"/>
      </tp>
      <tp>
        <v>4.25</v>
        <stp/>
        <stp>##V3_BDPV12</stp>
        <stp>CKBSAV10 ICPL Curncy</stp>
        <stp>LAST_PRICE</stp>
        <stp>[DataSheet2.3.xlsm]GBP_DATA!R18C30</stp>
        <tr r="AD18" s="58"/>
      </tp>
      <tp>
        <v>6.1</v>
        <stp/>
        <stp>##V3_BDPV12</stp>
        <stp>EOBSVC12 ICPL Curncy</stp>
        <stp>LAST_PRICE</stp>
        <stp>[DataSheet2.3.xlsm]EUR_DATA!R36C12</stp>
        <tr r="L36" s="31"/>
      </tp>
      <tp>
        <v>-73</v>
        <stp/>
        <stp>##V3_BDPV12</stp>
        <stp>SRUSSW3 GMGM Curncy</stp>
        <stp>BID</stp>
        <stp>[DataSheet2.2.xlsm]SAR_DATA!R9C41</stp>
        <tr r="AO9" s="19"/>
      </tp>
      <tp>
        <v>0.23749999999999999</v>
        <stp/>
        <stp>##V3_BDPV12</stp>
        <stp>USSWAP3 PREB Curncy</stp>
        <stp>LAST_PRICE</stp>
        <stp>[DataSheet2.3.xlsm]USD_DATA!R20C17</stp>
        <tr r="Q20" s="6"/>
      </tp>
      <tp>
        <v>9.75</v>
        <stp/>
        <stp>##V3_BDPV12</stp>
        <stp>PZBSEC3 ICPL Curncy</stp>
        <stp>BID</stp>
        <stp>[DataSheet2.2.xlsm]PLN_DATA!R9C41</stp>
        <tr r="AO9" s="12"/>
      </tp>
      <tp>
        <v>7.7504</v>
        <stp/>
        <stp>##V3_BDPV12</stp>
        <stp>USDHKD Curncy</stp>
        <stp>LAST_PRICE</stp>
        <stp>[DataSheet2.3.xlsm]FX!R2C26</stp>
        <tr r="Z2" s="20"/>
      </tp>
      <tp>
        <v>1.3826000000000001</v>
        <stp/>
        <stp>##V3_BDPV12</stp>
        <stp>USDAUD Curncy</stp>
        <stp>LAST_PRICE</stp>
        <stp>[DataSheet2.3.xlsm]FX!R2C11</stp>
        <tr r="K2" s="20"/>
      </tp>
      <tp>
        <v>1.5064</v>
        <stp/>
        <stp>##V3_BDPV12</stp>
        <stp>USDNZD Curncy</stp>
        <stp>LAST_PRICE</stp>
        <stp>[DataSheet2.3.xlsm]FX!R2C12</stp>
        <tr r="L2" s="20"/>
      </tp>
      <tp>
        <v>3.673</v>
        <stp/>
        <stp>##V3_BDPV12</stp>
        <stp>USDAED Curncy</stp>
        <stp>LAST_PRICE</stp>
        <stp>[DataSheet2.3.xlsm]FX!R2C18</stp>
        <tr r="R2" s="20"/>
      </tp>
      <tp>
        <v>0.7</v>
        <stp/>
        <stp>##V3_BDPV12</stp>
        <stp>UDFR0I1 GMGM Curncy</stp>
        <stp>LAST_PRICE</stp>
        <stp>[DataSheet2.2.xlsm]AED_DATA!R16C20</stp>
        <tr r="T16" s="18"/>
      </tp>
      <tp>
        <v>-65</v>
        <stp/>
        <stp>##V3_BDPV12</stp>
        <stp>SRUSSW2 GMGM Curncy</stp>
        <stp>BID</stp>
        <stp>[DataSheet2.2.xlsm]INR_DATA!R8C41</stp>
        <tr r="AO8" s="54"/>
      </tp>
      <tp>
        <v>-33.902000000000001</v>
        <stp/>
        <stp>##V3_BDPV12</stp>
        <stp>UDUSSW3 GFID Curncy</stp>
        <stp>ASK</stp>
        <stp>[DataSheet2.2.xlsm]AED_DATA!R9C42</stp>
        <tr r="AP9" s="18"/>
      </tp>
      <tp>
        <v>0.77480000000000004</v>
        <stp/>
        <stp>##V3_BDPV12</stp>
        <stp>USSWAP12 PREB Curncy</stp>
        <stp>LAST_PRICE</stp>
        <stp>[DataSheet2.3.xlsm]USD_DATA!R28C17</stp>
        <tr r="Q28" s="6"/>
      </tp>
      <tp>
        <v>-65</v>
        <stp/>
        <stp>##V3_BDPV12</stp>
        <stp>SRUSSW2 GMGM Curncy</stp>
        <stp>BID</stp>
        <stp>[DataSheet2.2.xlsm]SAR_DATA!R8C41</stp>
        <tr r="AO8" s="19"/>
      </tp>
      <tp>
        <v>0.2276</v>
        <stp/>
        <stp>##V3_BDPV12</stp>
        <stp>USSWAP2 PREB Curncy</stp>
        <stp>LAST_PRICE</stp>
        <stp>[DataSheet2.3.xlsm]USD_DATA!R19C17</stp>
        <tr r="Q19" s="6"/>
      </tp>
      <tp>
        <v>6.75</v>
        <stp/>
        <stp>##V3_BDPV12</stp>
        <stp>PZBSEC2 ICPL Curncy</stp>
        <stp>BID</stp>
        <stp>[DataSheet2.2.xlsm]PLN_DATA!R8C41</stp>
        <tr r="AO8" s="12"/>
      </tp>
      <tp>
        <v>168.63</v>
        <stp/>
        <stp>##V3_BDPV12</stp>
        <stp>USDHUF12M BGN Curncy</stp>
        <stp>LAST_PRICE</stp>
        <stp>[DataSheet2.2.xlsm]HUF_DATA!R17C51</stp>
        <tr r="AY17" s="15"/>
      </tp>
      <tp>
        <v>0.11</v>
        <stp/>
        <stp>##V3_BDPV12</stp>
        <stp>HDSOA TRHK Curncy</stp>
        <stp>LAST_PRICE</stp>
        <stp>[DataSheet2.2.xlsm]HKD_DATA!R8C12</stp>
        <tr r="L8" s="52"/>
      </tp>
      <tp>
        <v>0.12</v>
        <stp/>
        <stp>##V3_BDPV12</stp>
        <stp>HDSOB TRHK Curncy</stp>
        <stp>LAST_PRICE</stp>
        <stp>[DataSheet2.2.xlsm]HKD_DATA!R9C12</stp>
        <tr r="L9" s="52"/>
      </tp>
      <tp>
        <v>75.868099999999998</v>
        <stp/>
        <stp>##V3_BDPV12</stp>
        <stp>RUB Curncy</stp>
        <stp>LAST_PRICE</stp>
        <stp>[DataSheet2.2.xlsm]RUB_DATA!R7C51</stp>
        <tr r="AY7" s="4"/>
      </tp>
      <tp>
        <v>75.868099999999998</v>
        <stp/>
        <stp>##V3_BDPV12</stp>
        <stp>RUB Curncy</stp>
        <stp>LAST_PRICE</stp>
        <stp>[DataSheet2.2.xlsm]RUB_DATA!R7C50</stp>
        <tr r="AX7" s="4"/>
      </tp>
      <tp>
        <v>75.868099999999998</v>
        <stp/>
        <stp>##V3_BDPV12</stp>
        <stp>RUB Curncy</stp>
        <stp>LAST_PRICE</stp>
        <stp>[DataSheet2.2.xlsm]RUB_DATA!R7C49</stp>
        <tr r="AW7" s="4"/>
      </tp>
      <tp>
        <v>-104</v>
        <stp/>
        <stp>##V3_BDPV12</stp>
        <stp>SRUSSW7 GMGM Curncy</stp>
        <stp>LAST_PRICE</stp>
        <stp>[DataSheet2.2.xlsm]SAR_DATA!R12C43</stp>
        <tr r="AQ12" s="19"/>
      </tp>
      <tp>
        <v>2.35</v>
        <stp/>
        <stp>##V3_BDPV12</stp>
        <stp>PZBSAV4 ICPL Curncy</stp>
        <stp>LAST_PRICE</stp>
        <stp>[DataSheet2.2.xlsm]PLN_DATA!R10C30</stp>
        <tr r="AD10" s="12"/>
      </tp>
      <tp>
        <v>4.87</v>
        <stp/>
        <stp>##V3_BDPV12</stp>
        <stp>RRFR0I1 TRSU Curncy</stp>
        <stp>LAST_PRICE</stp>
        <stp>[DataSheet2.2.xlsm]RUB_DATA!R16C20</stp>
        <tr r="T16" s="4"/>
      </tp>
      <tp>
        <v>-41</v>
        <stp/>
        <stp>##V3_BDPV12</stp>
        <stp>CKEUBS2 ICPL Curncy</stp>
        <stp>BID</stp>
        <stp>[DataSheet2.2.xlsm]CZK_DATA!R9C41</stp>
        <tr r="AO9" s="14"/>
      </tp>
      <tp>
        <v>0.87619999999999998</v>
        <stp/>
        <stp>##V3_BDPV12</stp>
        <stp>USSWAP15 PREB Curncy</stp>
        <stp>LAST_PRICE</stp>
        <stp>[DataSheet2.3.xlsm]USD_DATA!R29C17</stp>
        <tr r="Q29" s="6"/>
      </tp>
      <tp>
        <v>-0.316</v>
        <stp/>
        <stp>##V3_BDPV12</stp>
        <stp>EUSWE10 ICPL Curncy</stp>
        <stp>LAST_PRICE</stp>
        <stp>[DataSheet2.3.xlsm]EUR_DATA!R25C12</stp>
        <tr r="L25" s="31"/>
      </tp>
      <tp>
        <v>0.32979999999999998</v>
        <stp/>
        <stp>##V3_BDPV12</stp>
        <stp>USSWAP5 PREB Curncy</stp>
        <stp>LAST_PRICE</stp>
        <stp>[DataSheet2.3.xlsm]USD_DATA!R22C17</stp>
        <tr r="Q22" s="6"/>
      </tp>
      <tp>
        <v>154.65</v>
        <stp/>
        <stp>##V3_BDPV12</stp>
        <stp>EUR18M Curncy</stp>
        <stp>LAST_PRICE</stp>
        <stp>[DataSheet2.3.xlsm]EUR_DATA!R26C54</stp>
        <tr r="BB26" s="31"/>
      </tp>
      <tp>
        <v>75.868099999999998</v>
        <stp/>
        <stp>##V3_BDPV12</stp>
        <stp>USDRUB Curncy</stp>
        <stp>LAST_PRICE</stp>
        <stp>[DataSheet2.3.xlsm]FX!R2C20</stp>
        <tr r="T2" s="20"/>
      </tp>
      <tp>
        <v>4.6500000000000004</v>
        <stp/>
        <stp>##V3_BDPV12</stp>
        <stp>RRFR1C1F TRSU Curncy</stp>
        <stp>BID</stp>
        <stp>[DataSheet2.2.xlsm]RUB_DATA!R17C18</stp>
        <tr r="R17" s="4"/>
      </tp>
      <tp>
        <v>4.75</v>
        <stp/>
        <stp>##V3_BDPV12</stp>
        <stp>RRFR1C1F TRSU Curncy</stp>
        <stp>ASK</stp>
        <stp>[DataSheet2.2.xlsm]RUB_DATA!R17C19</stp>
        <tr r="S17" s="4"/>
      </tp>
      <tp>
        <v>-21</v>
        <stp/>
        <stp>##V3_BDPV12</stp>
        <stp>CKEUBS15 ICPL Curncy</stp>
        <stp>LAST_PRICE</stp>
        <stp>[DataSheet2.2.xlsm]CZK_DATA!R19C43</stp>
        <tr r="AQ19" s="14"/>
      </tp>
      <tp>
        <v>9.5</v>
        <stp/>
        <stp>##V3_BDPV12</stp>
        <stp>PZBSV15 ICPL Curncy</stp>
        <stp>LAST_PRICE</stp>
        <stp>[DataSheet2.2.xlsm]PLN_DATA!R25C25</stp>
        <tr r="Y25" s="12"/>
      </tp>
      <tp>
        <v>2.35</v>
        <stp/>
        <stp>##V3_BDPV12</stp>
        <stp>PZBSAV5 ICPL Curncy</stp>
        <stp>LAST_PRICE</stp>
        <stp>[DataSheet2.2.xlsm]PLN_DATA!R11C30</stp>
        <tr r="AD11" s="12"/>
      </tp>
      <tp>
        <v>21</v>
        <stp/>
        <stp>##V3_BDPV12</stp>
        <stp>PZBSEC5 ICPL Curncy</stp>
        <stp>LAST_PRICE</stp>
        <stp>[DataSheet2.2.xlsm]PLN_DATA!R11C43</stp>
        <tr r="AQ11" s="12"/>
      </tp>
      <tp>
        <v>0.82899999999999996</v>
        <stp/>
        <stp>##V3_BDPV12</stp>
        <stp>USSO30 CMPN  Curncy</stp>
        <stp>LAST_PRICE</stp>
        <stp>[DataSheet2.3.xlsm]USD_DATA!R26C9</stp>
        <tr r="I26" s="6"/>
      </tp>
      <tp>
        <v>6.1</v>
        <stp/>
        <stp>##V3_BDPV12</stp>
        <stp>EOBSVC15 ICPL Curncy</stp>
        <stp>LAST_PRICE</stp>
        <stp>[DataSheet2.3.xlsm]EUR_DATA!R37C12</stp>
        <tr r="L37" s="31"/>
      </tp>
      <tp>
        <v>6</v>
        <stp/>
        <stp>##V3_BDPV12</stp>
        <stp>EOBSVC25 ICPL Curncy</stp>
        <stp>LAST_PRICE</stp>
        <stp>[DataSheet2.3.xlsm]EUR_DATA!R39C12</stp>
        <tr r="L39" s="31"/>
      </tp>
      <tp>
        <v>0.26869999999999999</v>
        <stp/>
        <stp>##V3_BDPV12</stp>
        <stp>USSWAP4 PREB Curncy</stp>
        <stp>LAST_PRICE</stp>
        <stp>[DataSheet2.3.xlsm]USD_DATA!R21C17</stp>
        <tr r="Q21" s="6"/>
      </tp>
      <tp>
        <v>0.10249999999999999</v>
        <stp/>
        <stp>##V3_BDPV12</stp>
        <stp>JYSO15 MTRT Curncy</stp>
        <stp>LAST_PRICE</stp>
        <stp>[DataSheet2.3.xlsm]JPY_DATA!R28C9</stp>
        <tr r="I28" s="46"/>
      </tp>
      <tp>
        <v>-0.13300000000000001</v>
        <stp/>
        <stp>##V3_BDPV12</stp>
        <stp>JPYON MTRT Curncy</stp>
        <stp>LAST_PRICE</stp>
        <stp>[DataSheet2.3.xlsm]JPY_DATA!R8C49</stp>
        <tr r="AW8" s="46"/>
      </tp>
      <tp>
        <v>4.68</v>
        <stp/>
        <stp>##V3_BDPV12</stp>
        <stp>MOSKP3 Index</stp>
        <stp>PX_LAST</stp>
        <stp>[DataSheet2.2.xlsm]RUB_DATA!R9C20</stp>
        <tr r="T9" s="4"/>
      </tp>
      <tp>
        <v>4.55</v>
        <stp/>
        <stp>##V3_BDPV12</stp>
        <stp>MOSKP1 Index</stp>
        <stp>PX_LAST</stp>
        <stp>[DataSheet2.2.xlsm]RUB_DATA!R8C20</stp>
        <tr r="T8" s="4"/>
      </tp>
      <tp>
        <v>4.38</v>
        <stp/>
        <stp>##V3_BDPV12</stp>
        <stp>MOSKON Index</stp>
        <stp>PX_LAST</stp>
        <stp>[DataSheet2.2.xlsm]RUB_DATA!R7C20</stp>
        <tr r="T7" s="4"/>
      </tp>
      <tp>
        <v>-85.5</v>
        <stp/>
        <stp>##V3_BDPV12</stp>
        <stp>SRUSSW5 GMGM Curncy</stp>
        <stp>LAST_PRICE</stp>
        <stp>[DataSheet2.2.xlsm]SAR_DATA!R11C43</stp>
        <tr r="AQ11" s="19"/>
      </tp>
      <tp>
        <v>4.25</v>
        <stp/>
        <stp>##V3_BDPV12</stp>
        <stp>CKBSAV10 ICPL Curncy</stp>
        <stp>LAST_PRICE</stp>
        <stp>[DataSheet2.2.xlsm]CZK_DATA!R18C30</stp>
        <tr r="AD18" s="14"/>
      </tp>
      <tp>
        <v>19</v>
        <stp/>
        <stp>##V3_BDPV12</stp>
        <stp>UDBSV10 GMGM Curncy</stp>
        <stp>LAST_PRICE</stp>
        <stp>[DataSheet2.2.xlsm]AED_DATA!R15C30</stp>
        <tr r="AD15" s="18"/>
      </tp>
      <tp>
        <v>104</v>
        <stp/>
        <stp>##V3_BDPV12</stp>
        <stp>SRSSUS3 GMGM Curncy</stp>
        <stp>LAST_PRICE</stp>
        <stp>[DataSheet2.2.xlsm]SAR_DATA!R11C35</stp>
        <tr r="AI11" s="19"/>
      </tp>
      <tp>
        <v>2.35</v>
        <stp/>
        <stp>##V3_BDPV12</stp>
        <stp>PZBSAV6 ICPL Curncy</stp>
        <stp>LAST_PRICE</stp>
        <stp>[DataSheet2.2.xlsm]PLN_DATA!R12C30</stp>
        <tr r="AD12" s="12"/>
      </tp>
      <tp>
        <v>22.5</v>
        <stp/>
        <stp>##V3_BDPV12</stp>
        <stp>PZBSEC6 ICPL Curncy</stp>
        <stp>LAST_PRICE</stp>
        <stp>[DataSheet2.2.xlsm]PLN_DATA!R12C43</stp>
        <tr r="AQ12" s="12"/>
      </tp>
      <tp>
        <v>0.77800000000000002</v>
        <stp/>
        <stp>##V3_BDPV12</stp>
        <stp>USSO20 CMPN  Curncy</stp>
        <stp>LAST_PRICE</stp>
        <stp>[DataSheet2.3.xlsm]USD_DATA!R25C9</stp>
        <tr r="I25" s="6"/>
      </tp>
      <tp>
        <v>2.58</v>
        <stp/>
        <stp>##V3_BDPV12</stp>
        <stp>EURNSW9 CCMK Curncy</stp>
        <stp>LAST_PRICE</stp>
        <stp>[DataSheet2.2.xlsm]RON_DATA!R29C51</stp>
        <tr r="AY29" s="16"/>
      </tp>
      <tp>
        <v>4.25</v>
        <stp/>
        <stp>##V3_BDPV12</stp>
        <stp>CKBSAV10 ICPL Curncy</stp>
        <stp>LAST_PRICE</stp>
        <stp>[DataSheet2.3.xlsm]CAD_DATA!R18C30</stp>
        <tr r="AD18" s="48"/>
      </tp>
      <tp>
        <v>0.47539999999999999</v>
        <stp/>
        <stp>##V3_BDPV12</stp>
        <stp>USSWAP7 PREB Curncy</stp>
        <stp>LAST_PRICE</stp>
        <stp>[DataSheet2.3.xlsm]USD_DATA!R24C17</stp>
        <tr r="Q24" s="6"/>
      </tp>
      <tp>
        <v>0.224</v>
        <stp/>
        <stp>##V3_BDPV12</stp>
        <stp>PZFR0F1 TPRA Curncy</stp>
        <stp>LAST_PRICE</stp>
        <stp>[DataSheet2.2.xlsm]PLN_DATA!R16C20</stp>
        <tr r="T16" s="12"/>
      </tp>
      <tp>
        <v>86</v>
        <stp/>
        <stp>##V3_BDPV12</stp>
        <stp>SRSSUS2 GMGM Curncy</stp>
        <stp>LAST_PRICE</stp>
        <stp>[DataSheet2.2.xlsm]SAR_DATA!R10C35</stp>
        <tr r="AI10" s="19"/>
      </tp>
      <tp>
        <v>2.35</v>
        <stp/>
        <stp>##V3_BDPV12</stp>
        <stp>PZBSAV7 ICPL Curncy</stp>
        <stp>LAST_PRICE</stp>
        <stp>[DataSheet2.2.xlsm]PLN_DATA!R13C30</stp>
        <tr r="AD13" s="12"/>
      </tp>
      <tp>
        <v>-41</v>
        <stp/>
        <stp>##V3_BDPV12</stp>
        <stp>CKEUBS1 ICPL Curncy</stp>
        <stp>BID</stp>
        <stp>[DataSheet2.2.xlsm]CZK_DATA!R8C41</stp>
        <tr r="AO8" s="14"/>
      </tp>
      <tp>
        <v>24.25</v>
        <stp/>
        <stp>##V3_BDPV12</stp>
        <stp>PZBSEC7 ICPL Curncy</stp>
        <stp>LAST_PRICE</stp>
        <stp>[DataSheet2.2.xlsm]PLN_DATA!R13C43</stp>
        <tr r="AQ13" s="12"/>
      </tp>
      <tp>
        <v>0.47</v>
        <stp/>
        <stp>##V3_BDPV12</stp>
        <stp>USSO10 CMPN  Curncy</stp>
        <stp>LAST_PRICE</stp>
        <stp>[DataSheet2.3.xlsm]USD_DATA!R24C9</stp>
        <tr r="I24" s="6"/>
      </tp>
      <tp>
        <v>4.75</v>
        <stp/>
        <stp>##V3_BDPV12</stp>
        <stp>JYBSL30 MTRT Curncy</stp>
        <stp>LAST_PRICE</stp>
        <stp>[DataSheet2.3.xlsm]JPY_DATA!R49C9</stp>
        <tr r="I49" s="46"/>
      </tp>
      <tp>
        <v>2.5499999999999998</v>
        <stp/>
        <stp>##V3_BDPV12</stp>
        <stp>EURNSW8 CCMK Curncy</stp>
        <stp>LAST_PRICE</stp>
        <stp>[DataSheet2.2.xlsm]RON_DATA!R28C51</stp>
        <tr r="AY28" s="16"/>
      </tp>
      <tp>
        <v>-0.52249999999999996</v>
        <stp/>
        <stp>##V3_BDPV12</stp>
        <stp>EUSW3V3 CMPN Curncy</stp>
        <stp>LAST_PRICE</stp>
        <stp>[DataSheet2.3.xlsm]EUR_DATA!R20C20</stp>
        <tr r="T20" s="31"/>
      </tp>
      <tp>
        <v>-0.52359999999999995</v>
        <stp/>
        <stp>##V3_BDPV12</stp>
        <stp>EUSW2V3 CMPN Curncy</stp>
        <stp>LAST_PRICE</stp>
        <stp>[DataSheet2.3.xlsm]EUR_DATA!R19C20</stp>
        <tr r="T19" s="31"/>
      </tp>
      <tp>
        <v>-0.44569999999999999</v>
        <stp/>
        <stp>##V3_BDPV12</stp>
        <stp>EUSW6V3 CMPN Curncy</stp>
        <stp>LAST_PRICE</stp>
        <stp>[DataSheet2.3.xlsm]EUR_DATA!R23C20</stp>
        <tr r="T23" s="31"/>
      </tp>
      <tp>
        <v>-0.40339999999999998</v>
        <stp/>
        <stp>##V3_BDPV12</stp>
        <stp>EUSW7V3 CMPN Curncy</stp>
        <stp>LAST_PRICE</stp>
        <stp>[DataSheet2.3.xlsm]EUR_DATA!R24C20</stp>
        <tr r="T24" s="31"/>
      </tp>
      <tp>
        <v>-0.50570000000000004</v>
        <stp/>
        <stp>##V3_BDPV12</stp>
        <stp>EUSW4V3 CMPN Curncy</stp>
        <stp>LAST_PRICE</stp>
        <stp>[DataSheet2.3.xlsm]EUR_DATA!R21C20</stp>
        <tr r="T21" s="31"/>
      </tp>
      <tp>
        <v>-0.47989999999999999</v>
        <stp/>
        <stp>##V3_BDPV12</stp>
        <stp>EUSW5V3 CMPN Curncy</stp>
        <stp>LAST_PRICE</stp>
        <stp>[DataSheet2.3.xlsm]EUR_DATA!R22C20</stp>
        <tr r="T22" s="31"/>
      </tp>
      <tp>
        <v>-0.35780000000000001</v>
        <stp/>
        <stp>##V3_BDPV12</stp>
        <stp>EUSW8V3 CMPN Curncy</stp>
        <stp>LAST_PRICE</stp>
        <stp>[DataSheet2.3.xlsm]EUR_DATA!R25C20</stp>
        <tr r="T25" s="31"/>
      </tp>
      <tp>
        <v>-0.30959999999999999</v>
        <stp/>
        <stp>##V3_BDPV12</stp>
        <stp>EUSW9V3 CMPN Curncy</stp>
        <stp>LAST_PRICE</stp>
        <stp>[DataSheet2.3.xlsm]EUR_DATA!R26C20</stp>
        <tr r="T26" s="31"/>
      </tp>
      <tp>
        <v>-0.31</v>
        <stp/>
        <stp>##V3_BDPV12</stp>
        <stp>EUSW9V3 ICPL Curncy</stp>
        <stp>LAST_PRICE</stp>
        <stp>[DataSheet2.3.xlsm]EUR_DATA!R51C12</stp>
        <tr r="L51" s="31"/>
      </tp>
      <tp>
        <v>-0.35799999999999998</v>
        <stp/>
        <stp>##V3_BDPV12</stp>
        <stp>EUSW8V3 ICPL Curncy</stp>
        <stp>LAST_PRICE</stp>
        <stp>[DataSheet2.3.xlsm]EUR_DATA!R50C12</stp>
        <tr r="L50" s="31"/>
      </tp>
      <tp>
        <v>-0.50600000000000001</v>
        <stp/>
        <stp>##V3_BDPV12</stp>
        <stp>EUSW4V3 ICPL Curncy</stp>
        <stp>LAST_PRICE</stp>
        <stp>[DataSheet2.3.xlsm]EUR_DATA!R46C12</stp>
        <tr r="L46" s="31"/>
      </tp>
      <tp>
        <v>-0.48</v>
        <stp/>
        <stp>##V3_BDPV12</stp>
        <stp>EUSW5V3 ICPL Curncy</stp>
        <stp>LAST_PRICE</stp>
        <stp>[DataSheet2.3.xlsm]EUR_DATA!R47C12</stp>
        <tr r="L47" s="31"/>
      </tp>
      <tp>
        <v>-0.44600000000000001</v>
        <stp/>
        <stp>##V3_BDPV12</stp>
        <stp>EUSW6V3 ICPL Curncy</stp>
        <stp>LAST_PRICE</stp>
        <stp>[DataSheet2.3.xlsm]EUR_DATA!R48C12</stp>
        <tr r="L48" s="31"/>
      </tp>
      <tp>
        <v>-0.40400000000000003</v>
        <stp/>
        <stp>##V3_BDPV12</stp>
        <stp>EUSW7V3 ICPL Curncy</stp>
        <stp>LAST_PRICE</stp>
        <stp>[DataSheet2.3.xlsm]EUR_DATA!R49C12</stp>
        <tr r="L49" s="31"/>
      </tp>
      <tp>
        <v>-0.50900000000000001</v>
        <stp/>
        <stp>##V3_BDPV12</stp>
        <stp>EUSW1V3 ICPL Curncy</stp>
        <stp>LAST_PRICE</stp>
        <stp>[DataSheet2.3.xlsm]EUR_DATA!R43C12</stp>
        <tr r="L43" s="31"/>
      </tp>
      <tp>
        <v>-0.52400000000000002</v>
        <stp/>
        <stp>##V3_BDPV12</stp>
        <stp>EUSW2V3 ICPL Curncy</stp>
        <stp>LAST_PRICE</stp>
        <stp>[DataSheet2.3.xlsm]EUR_DATA!R44C12</stp>
        <tr r="L44" s="31"/>
      </tp>
      <tp>
        <v>-0.52300000000000002</v>
        <stp/>
        <stp>##V3_BDPV12</stp>
        <stp>EUSW3V3 ICPL Curncy</stp>
        <stp>LAST_PRICE</stp>
        <stp>[DataSheet2.3.xlsm]EUR_DATA!R45C12</stp>
        <tr r="L45" s="31"/>
      </tp>
      <tp>
        <v>4.875</v>
        <stp/>
        <stp>##V3_BDPV12</stp>
        <stp>JYBSL25 MTRT Curncy</stp>
        <stp>LAST_PRICE</stp>
        <stp>[DataSheet2.3.xlsm]JPY_DATA!R48C9</stp>
        <tr r="I48" s="46"/>
      </tp>
      <tp>
        <v>0.4017</v>
        <stp/>
        <stp>##V3_BDPV12</stp>
        <stp>USSWAP6 PREB Curncy</stp>
        <stp>LAST_PRICE</stp>
        <stp>[DataSheet2.3.xlsm]USD_DATA!R23C17</stp>
        <tr r="Q23" s="6"/>
      </tp>
      <tp>
        <v>2.8500000000000001E-2</v>
        <stp/>
        <stp>##V3_BDPV12</stp>
        <stp>EUSW30V3 CMPN Curncy</stp>
        <stp>LAST_PRICE</stp>
        <stp>[DataSheet2.3.xlsm]EUR_DATA!R32C20</stp>
        <tr r="T32" s="31"/>
      </tp>
      <tp>
        <v>0.05</v>
        <stp/>
        <stp>##V3_BDPV12</stp>
        <stp>EUSW25V3 ICPL Curncy</stp>
        <stp>LAST_PRICE</stp>
        <stp>[DataSheet2.3.xlsm]EUR_DATA!R56C12</stp>
        <tr r="L56" s="31"/>
      </tp>
      <tp>
        <v>4.2000000000000003E-2</v>
        <stp/>
        <stp>##V3_BDPV12</stp>
        <stp>EUSW20V3 ICPL Curncy</stp>
        <stp>LAST_PRICE</stp>
        <stp>[DataSheet2.3.xlsm]EUR_DATA!R55C12</stp>
        <tr r="L55" s="31"/>
      </tp>
      <tp>
        <v>4.2500000000000003E-2</v>
        <stp/>
        <stp>##V3_BDPV12</stp>
        <stp>EUSW20V3 CMPN Curncy</stp>
        <stp>LAST_PRICE</stp>
        <stp>[DataSheet2.3.xlsm]EUR_DATA!R30C20</stp>
        <tr r="T30" s="31"/>
      </tp>
      <tp>
        <v>0.05</v>
        <stp/>
        <stp>##V3_BDPV12</stp>
        <stp>EUSW25V3 CMPN Curncy</stp>
        <stp>LAST_PRICE</stp>
        <stp>[DataSheet2.3.xlsm]EUR_DATA!R31C20</stp>
        <tr r="T31" s="31"/>
      </tp>
      <tp>
        <v>2.8000000000000001E-2</v>
        <stp/>
        <stp>##V3_BDPV12</stp>
        <stp>EUSW30V3 ICPL Curncy</stp>
        <stp>LAST_PRICE</stp>
        <stp>[DataSheet2.3.xlsm]EUR_DATA!R57C12</stp>
        <tr r="L57" s="31"/>
      </tp>
      <tp>
        <v>-0.25990000000000002</v>
        <stp/>
        <stp>##V3_BDPV12</stp>
        <stp>EUSW10V3 CMPN Curncy</stp>
        <stp>LAST_PRICE</stp>
        <stp>[DataSheet2.3.xlsm]EUR_DATA!R27C20</stp>
        <tr r="T27" s="31"/>
      </tp>
      <tp>
        <v>-0.16200000000000001</v>
        <stp/>
        <stp>##V3_BDPV12</stp>
        <stp>EUSW12V3 CMPN Curncy</stp>
        <stp>LAST_PRICE</stp>
        <stp>[DataSheet2.3.xlsm]EUR_DATA!R28C20</stp>
        <tr r="T28" s="31"/>
      </tp>
      <tp>
        <v>-4.7399999999999998E-2</v>
        <stp/>
        <stp>##V3_BDPV12</stp>
        <stp>EUSW15V3 CMPN Curncy</stp>
        <stp>LAST_PRICE</stp>
        <stp>[DataSheet2.3.xlsm]EUR_DATA!R29C20</stp>
        <tr r="T29" s="31"/>
      </tp>
      <tp>
        <v>-4.8000000000000001E-2</v>
        <stp/>
        <stp>##V3_BDPV12</stp>
        <stp>EUSW15V3 ICPL Curncy</stp>
        <stp>LAST_PRICE</stp>
        <stp>[DataSheet2.3.xlsm]EUR_DATA!R54C12</stp>
        <tr r="L54" s="31"/>
      </tp>
      <tp>
        <v>-0.16300000000000001</v>
        <stp/>
        <stp>##V3_BDPV12</stp>
        <stp>EUSW12V3 ICPL Curncy</stp>
        <stp>LAST_PRICE</stp>
        <stp>[DataSheet2.3.xlsm]EUR_DATA!R53C12</stp>
        <tr r="L53" s="31"/>
      </tp>
      <tp>
        <v>-0.26</v>
        <stp/>
        <stp>##V3_BDPV12</stp>
        <stp>EUSW10V3 ICPL Curncy</stp>
        <stp>LAST_PRICE</stp>
        <stp>[DataSheet2.3.xlsm]EUR_DATA!R52C12</stp>
        <tr r="L52" s="31"/>
      </tp>
      <tp>
        <v>-5.2600000000000001E-2</v>
        <stp/>
        <stp>##V3_BDPV12</stp>
        <stp>EUSW50V3 CMPN Curncy</stp>
        <stp>LAST_PRICE</stp>
        <stp>[DataSheet2.3.xlsm]EUR_DATA!R34C20</stp>
        <tr r="T34" s="31"/>
      </tp>
      <tp>
        <v>-1.4E-2</v>
        <stp/>
        <stp>##V3_BDPV12</stp>
        <stp>EUSW40V3 ICPL Curncy</stp>
        <stp>LAST_PRICE</stp>
        <stp>[DataSheet2.3.xlsm]EUR_DATA!R58C12</stp>
        <tr r="L58" s="31"/>
      </tp>
      <tp>
        <v>-1.47E-2</v>
        <stp/>
        <stp>##V3_BDPV12</stp>
        <stp>EUSW40V3 CMPN Curncy</stp>
        <stp>LAST_PRICE</stp>
        <stp>[DataSheet2.3.xlsm]EUR_DATA!R33C20</stp>
        <tr r="T33" s="31"/>
      </tp>
      <tp>
        <v>-5.2999999999999999E-2</v>
        <stp/>
        <stp>##V3_BDPV12</stp>
        <stp>EUSW50V3 ICPL Curncy</stp>
        <stp>LAST_PRICE</stp>
        <stp>[DataSheet2.3.xlsm]EUR_DATA!R59C12</stp>
        <tr r="L59" s="31"/>
      </tp>
      <tp>
        <v>0.35875000000000001</v>
        <stp/>
        <stp>##V3_BDPV12</stp>
        <stp>JYSW35 MTRT Curncy</stp>
        <stp>LAST_PRICE</stp>
        <stp>[DataSheet2.3.xlsm]JPY_DATA!R68C9</stp>
        <tr r="I68" s="46"/>
      </tp>
      <tp>
        <v>0.19750000000000001</v>
        <stp/>
        <stp>##V3_BDPV12</stp>
        <stp>JYSO20 MTRT Curncy</stp>
        <stp>LAST_PRICE</stp>
        <stp>[DataSheet2.3.xlsm]JPY_DATA!R29C9</stp>
        <tr r="I29" s="46"/>
      </tp>
      <tp>
        <v>154</v>
        <stp/>
        <stp>##V3_BDPV12</stp>
        <stp>SRSSUS7 GMGM Curncy</stp>
        <stp>LAST_PRICE</stp>
        <stp>[DataSheet2.2.xlsm]INR_DATA!R14C35</stp>
        <tr r="AI14" s="54"/>
      </tp>
      <tp>
        <v>-62.244</v>
        <stp/>
        <stp>##V3_BDPV12</stp>
        <stp>UDUSSW7 GFID Curncy</stp>
        <stp>LAST_PRICE</stp>
        <stp>[DataSheet2.2.xlsm]AED_DATA!R12C43</stp>
        <tr r="AQ12" s="18"/>
      </tp>
      <tp>
        <v>-0.125</v>
        <stp/>
        <stp>##V3_BDPV12</stp>
        <stp>JYJSLC8 MTRT Curncy</stp>
        <stp>LAST_PRICE</stp>
        <stp>[DataSheet2.3.xlsm]JPY_DATA!R22C22</stp>
        <tr r="V22" s="46"/>
      </tp>
      <tp>
        <v>1</v>
        <stp/>
        <stp>##V3_BDPV12</stp>
        <stp>HFBSV10 ICPL Curncy</stp>
        <stp>LAST_PRICE</stp>
        <stp>[DataSheet2.2.xlsm]HUF_DATA!R24C25</stp>
        <tr r="Y24" s="15"/>
      </tp>
      <tp>
        <v>1</v>
        <stp/>
        <stp>##V3_BDPV12</stp>
        <stp>HFBSV20 ICPL Curncy</stp>
        <stp>LAST_PRICE</stp>
        <stp>[DataSheet2.2.xlsm]HUF_DATA!R27C25</stp>
        <tr r="Y27" s="15"/>
      </tp>
      <tp>
        <v>-36</v>
        <stp/>
        <stp>##V3_BDPV12</stp>
        <stp>CKEUBS1 ICPL Curncy</stp>
        <stp>LAST_PRICE</stp>
        <stp>[DataSheet2.2.xlsm]CZK_DATA!R8C43</stp>
        <tr r="AQ8" s="14"/>
      </tp>
      <tp>
        <v>-36</v>
        <stp/>
        <stp>##V3_BDPV12</stp>
        <stp>CKEUBS2 ICPL Curncy</stp>
        <stp>LAST_PRICE</stp>
        <stp>[DataSheet2.2.xlsm]CZK_DATA!R9C43</stp>
        <tr r="AQ9" s="14"/>
      </tp>
      <tp>
        <v>24.06</v>
        <stp/>
        <stp>##V3_BDPV12</stp>
        <stp>EUR3M Curncy</stp>
        <stp>LAST_PRICE</stp>
        <stp>[DataSheet2.3.xlsm]EUR_DATA!R15C54</stp>
        <tr r="BB15" s="31"/>
      </tp>
      <tp>
        <v>6</v>
        <stp/>
        <stp>##V3_BDPV12</stp>
        <stp>EUR3W Curncy</stp>
        <stp>LAST_PRICE</stp>
        <stp>[DataSheet2.3.xlsm]EUR_DATA!R12C54</stp>
        <tr r="BB12" s="31"/>
      </tp>
      <tp>
        <v>319</v>
        <stp/>
        <stp>##V3_BDPV12</stp>
        <stp>EUR3Y Curncy</stp>
        <stp>LAST_PRICE</stp>
        <stp>[DataSheet2.3.xlsm]EUR_DATA!R29C54</stp>
        <tr r="BB29" s="31"/>
      </tp>
      <tp>
        <v>5.5710000000000003E-2</v>
        <stp/>
        <stp>##V3_BDPV12</stp>
        <stp>HIHDO/N Index</stp>
        <stp>PX_LAST</stp>
        <stp>[DataSheet2.2.xlsm]HKD_DATA!R7C20</stp>
        <tr r="T7" s="52"/>
      </tp>
      <tp>
        <v>0.16900000000000001</v>
        <stp/>
        <stp>##V3_BDPV12</stp>
        <stp>HFDRO/N Index</stp>
        <stp>PX_LAST</stp>
        <stp>[DataSheet2.2.xlsm]HUF_DATA!R7C12</stp>
        <tr r="L7" s="15"/>
      </tp>
      <tp>
        <v>2.5</v>
        <stp/>
        <stp>##V3_BDPV12</stp>
        <stp>CGUSSW5 ICHK Curncy</stp>
        <stp>LAST_PRICE</stp>
        <stp>[DataSheet2.3.xlsm]CNH_DATA!R31C51</stp>
        <tr r="AY31" s="50"/>
      </tp>
      <tp>
        <v>-0.25</v>
        <stp/>
        <stp>##V3_BDPV12</stp>
        <stp>JYJSLC9 MTRT Curncy</stp>
        <stp>LAST_PRICE</stp>
        <stp>[DataSheet2.3.xlsm]JPY_DATA!R23C22</stp>
        <tr r="V23" s="46"/>
      </tp>
      <tp>
        <v>33</v>
        <stp/>
        <stp>##V3_BDPV12</stp>
        <stp>UDSSUS1 GMGM Curncy</stp>
        <stp>LAST_PRICE</stp>
        <stp>[DataSheet2.2.xlsm]AED_DATA!R7C35</stp>
        <tr r="AI7" s="18"/>
      </tp>
      <tp>
        <v>47</v>
        <stp/>
        <stp>##V3_BDPV12</stp>
        <stp>UDSSUS2 GMGM Curncy</stp>
        <stp>LAST_PRICE</stp>
        <stp>[DataSheet2.2.xlsm]AED_DATA!R8C35</stp>
        <tr r="AI8" s="18"/>
      </tp>
      <tp>
        <v>65</v>
        <stp/>
        <stp>##V3_BDPV12</stp>
        <stp>UDSSUS3 GMGM Curncy</stp>
        <stp>LAST_PRICE</stp>
        <stp>[DataSheet2.2.xlsm]AED_DATA!R9C35</stp>
        <tr r="AI9" s="18"/>
      </tp>
      <tp>
        <v>16.63</v>
        <stp/>
        <stp>##V3_BDPV12</stp>
        <stp>EUR2M Curncy</stp>
        <stp>LAST_PRICE</stp>
        <stp>[DataSheet2.3.xlsm]EUR_DATA!R14C54</stp>
        <tr r="BB14" s="31"/>
      </tp>
      <tp>
        <v>207.5</v>
        <stp/>
        <stp>##V3_BDPV12</stp>
        <stp>EUR2Y Curncy</stp>
        <stp>LAST_PRICE</stp>
        <stp>[DataSheet2.3.xlsm]EUR_DATA!R28C54</stp>
        <tr r="BB28" s="31"/>
      </tp>
      <tp>
        <v>436.83</v>
        <stp/>
        <stp>##V3_BDPV12</stp>
        <stp>EUR4Y Curncy</stp>
        <stp>BID</stp>
        <stp>[DataSheet2.3.xlsm]EUR_DATA!R30C52</stp>
        <tr r="AZ30" s="31"/>
      </tp>
      <tp>
        <v>574</v>
        <stp/>
        <stp>##V3_BDPV12</stp>
        <stp>EUR5Y Curncy</stp>
        <stp>BID</stp>
        <stp>[DataSheet2.3.xlsm]EUR_DATA!R31C52</stp>
        <tr r="AZ31" s="31"/>
      </tp>
      <tp>
        <v>728.45</v>
        <stp/>
        <stp>##V3_BDPV12</stp>
        <stp>EUR6Y Curncy</stp>
        <stp>BID</stp>
        <stp>[DataSheet2.3.xlsm]EUR_DATA!R32C52</stp>
        <tr r="AZ32" s="31"/>
      </tp>
      <tp>
        <v>896</v>
        <stp/>
        <stp>##V3_BDPV12</stp>
        <stp>EUR7Y Curncy</stp>
        <stp>BID</stp>
        <stp>[DataSheet2.3.xlsm]EUR_DATA!R33C52</stp>
        <tr r="AZ33" s="31"/>
      </tp>
      <tp>
        <v>1053.93</v>
        <stp/>
        <stp>##V3_BDPV12</stp>
        <stp>EUR8Y Curncy</stp>
        <stp>BID</stp>
        <stp>[DataSheet2.3.xlsm]EUR_DATA!R34C52</stp>
        <tr r="AZ34" s="31"/>
      </tp>
      <tp>
        <v>1218.96</v>
        <stp/>
        <stp>##V3_BDPV12</stp>
        <stp>EUR9Y Curncy</stp>
        <stp>BID</stp>
        <stp>[DataSheet2.3.xlsm]EUR_DATA!R35C52</stp>
        <tr r="AZ35" s="31"/>
      </tp>
      <tp>
        <v>205.23</v>
        <stp/>
        <stp>##V3_BDPV12</stp>
        <stp>EUR2Y Curncy</stp>
        <stp>BID</stp>
        <stp>[DataSheet2.3.xlsm]EUR_DATA!R28C52</stp>
        <tr r="AZ28" s="31"/>
      </tp>
      <tp>
        <v>314.01</v>
        <stp/>
        <stp>##V3_BDPV12</stp>
        <stp>EUR3Y Curncy</stp>
        <stp>BID</stp>
        <stp>[DataSheet2.3.xlsm]EUR_DATA!R29C52</stp>
        <tr r="AZ29" s="31"/>
      </tp>
      <tp>
        <v>209.77</v>
        <stp/>
        <stp>##V3_BDPV12</stp>
        <stp>EUR2Y Curncy</stp>
        <stp>ASK</stp>
        <stp>[DataSheet2.3.xlsm]EUR_DATA!R28C53</stp>
        <tr r="BA28" s="31"/>
      </tp>
      <tp>
        <v>323.99</v>
        <stp/>
        <stp>##V3_BDPV12</stp>
        <stp>EUR3Y Curncy</stp>
        <stp>ASK</stp>
        <stp>[DataSheet2.3.xlsm]EUR_DATA!R29C53</stp>
        <tr r="BA29" s="31"/>
      </tp>
      <tp>
        <v>1094.07</v>
        <stp/>
        <stp>##V3_BDPV12</stp>
        <stp>EUR8Y Curncy</stp>
        <stp>ASK</stp>
        <stp>[DataSheet2.3.xlsm]EUR_DATA!R34C53</stp>
        <tr r="BA34" s="31"/>
      </tp>
      <tp>
        <v>1269.04</v>
        <stp/>
        <stp>##V3_BDPV12</stp>
        <stp>EUR9Y Curncy</stp>
        <stp>ASK</stp>
        <stp>[DataSheet2.3.xlsm]EUR_DATA!R35C53</stp>
        <tr r="BA35" s="31"/>
      </tp>
      <tp>
        <v>447.17</v>
        <stp/>
        <stp>##V3_BDPV12</stp>
        <stp>EUR4Y Curncy</stp>
        <stp>ASK</stp>
        <stp>[DataSheet2.3.xlsm]EUR_DATA!R30C53</stp>
        <tr r="BA30" s="31"/>
      </tp>
      <tp>
        <v>589</v>
        <stp/>
        <stp>##V3_BDPV12</stp>
        <stp>EUR5Y Curncy</stp>
        <stp>ASK</stp>
        <stp>[DataSheet2.3.xlsm]EUR_DATA!R31C53</stp>
        <tr r="BA31" s="31"/>
      </tp>
      <tp>
        <v>747.2</v>
        <stp/>
        <stp>##V3_BDPV12</stp>
        <stp>EUR6Y Curncy</stp>
        <stp>ASK</stp>
        <stp>[DataSheet2.3.xlsm]EUR_DATA!R32C53</stp>
        <tr r="BA32" s="31"/>
      </tp>
      <tp>
        <v>916</v>
        <stp/>
        <stp>##V3_BDPV12</stp>
        <stp>EUR7Y Curncy</stp>
        <stp>ASK</stp>
        <stp>[DataSheet2.3.xlsm]EUR_DATA!R33C53</stp>
        <tr r="BA33" s="31"/>
      </tp>
      <tp t="s">
        <v>#N/A N/A</v>
        <stp/>
        <stp>##V3_BDPV12</stp>
        <stp>USDHUF4Y BGN Curncy</stp>
        <stp>ASK</stp>
        <stp>[DataSheet2.2.xlsm]HUF_DATA!R20C50</stp>
        <tr r="AX20" s="15"/>
      </tp>
      <tp t="s">
        <v>#N/A N/A</v>
        <stp/>
        <stp>##V3_BDPV12</stp>
        <stp>USDHUF5Y BGN Curncy</stp>
        <stp>ASK</stp>
        <stp>[DataSheet2.2.xlsm]HUF_DATA!R21C50</stp>
        <tr r="AX21" s="15"/>
      </tp>
      <tp>
        <v>458.87</v>
        <stp/>
        <stp>##V3_BDPV12</stp>
        <stp>USDHUF2Y BGN Curncy</stp>
        <stp>ASK</stp>
        <stp>[DataSheet2.2.xlsm]HUF_DATA!R18C50</stp>
        <tr r="AX18" s="15"/>
      </tp>
      <tp>
        <v>801.15</v>
        <stp/>
        <stp>##V3_BDPV12</stp>
        <stp>USDHUF3Y BGN Curncy</stp>
        <stp>ASK</stp>
        <stp>[DataSheet2.2.xlsm]HUF_DATA!R19C50</stp>
        <tr r="AX19" s="15"/>
      </tp>
      <tp>
        <v>312.23</v>
        <stp/>
        <stp>##V3_BDPV12</stp>
        <stp>USDHUF2Y BGN Curncy</stp>
        <stp>BID</stp>
        <stp>[DataSheet2.2.xlsm]HUF_DATA!R18C49</stp>
        <tr r="AW18" s="15"/>
      </tp>
      <tp>
        <v>702.06</v>
        <stp/>
        <stp>##V3_BDPV12</stp>
        <stp>USDHUF3Y BGN Curncy</stp>
        <stp>BID</stp>
        <stp>[DataSheet2.2.xlsm]HUF_DATA!R19C49</stp>
        <tr r="AW19" s="15"/>
      </tp>
      <tp t="s">
        <v>#N/A N/A</v>
        <stp/>
        <stp>##V3_BDPV12</stp>
        <stp>USDHUF4Y BGN Curncy</stp>
        <stp>BID</stp>
        <stp>[DataSheet2.2.xlsm]HUF_DATA!R20C49</stp>
        <tr r="AW20" s="15"/>
      </tp>
      <tp t="s">
        <v>#N/A N/A</v>
        <stp/>
        <stp>##V3_BDPV12</stp>
        <stp>USDHUF5Y BGN Curncy</stp>
        <stp>BID</stp>
        <stp>[DataSheet2.2.xlsm]HUF_DATA!R21C49</stp>
        <tr r="AW21" s="15"/>
      </tp>
      <tp>
        <v>-1.06E-2</v>
        <stp/>
        <stp>##V3_BDPV12</stp>
        <stp>EUSW40V3 CMPN Curncy</stp>
        <stp>ASK</stp>
        <stp>[DataSheet2.3.xlsm]EUR_DATA!R33C19</stp>
        <tr r="S33" s="31"/>
      </tp>
      <tp>
        <v>-1.8700000000000001E-2</v>
        <stp/>
        <stp>##V3_BDPV12</stp>
        <stp>EUSW40V3 CMPN Curncy</stp>
        <stp>BID</stp>
        <stp>[DataSheet2.3.xlsm]EUR_DATA!R33C18</stp>
        <tr r="R33" s="31"/>
      </tp>
      <tp>
        <v>5.6</v>
        <stp/>
        <stp>##V3_BDPV12</stp>
        <stp>HFEBS15 ICPL Curncy</stp>
        <stp>LAST_PRICE</stp>
        <stp>[DataSheet2.2.xlsm]HUF_DATA!R18C43</stp>
        <tr r="AQ18" s="15"/>
      </tp>
      <tp>
        <v>4.3499999999999996</v>
        <stp/>
        <stp>##V3_BDPV12</stp>
        <stp>CKBSAV9 ICPL Curncy</stp>
        <stp>LAST_PRICE</stp>
        <stp>[DataSheet2.3.xlsm]CAD_DATA!R17C30</stp>
        <tr r="AD17" s="48"/>
      </tp>
      <tp>
        <v>133</v>
        <stp/>
        <stp>##V3_BDPV12</stp>
        <stp>SRSSUS5 GMGM Curncy</stp>
        <stp>LAST_PRICE</stp>
        <stp>[DataSheet2.2.xlsm]INR_DATA!R13C35</stp>
        <tr r="AI13" s="54"/>
      </tp>
      <tp>
        <v>12.99</v>
        <stp/>
        <stp>##V3_BDPV12</stp>
        <stp>TYUSSW9 TRPU Curncy</stp>
        <stp>LAST_PRICE</stp>
        <stp>[DataSheet2.2.xlsm]TRY_DATA!R34C51</stp>
        <tr r="AY34" s="10"/>
      </tp>
      <tp>
        <v>-53.222000000000001</v>
        <stp/>
        <stp>##V3_BDPV12</stp>
        <stp>UDUSSW5 GFID Curncy</stp>
        <stp>LAST_PRICE</stp>
        <stp>[DataSheet2.2.xlsm]AED_DATA!R11C43</stp>
        <tr r="AQ11" s="18"/>
      </tp>
      <tp>
        <v>1</v>
        <stp/>
        <stp>##V3_BDPV12</stp>
        <stp>HFBSV12 ICPL Curncy</stp>
        <stp>LAST_PRICE</stp>
        <stp>[DataSheet2.2.xlsm]HUF_DATA!R25C25</stp>
        <tr r="Y25" s="15"/>
      </tp>
      <tp>
        <v>9.8000000000000004E-2</v>
        <stp/>
        <stp>##V3_BDPV12</stp>
        <stp>TELBOR01 Index</stp>
        <stp>PX_LAST</stp>
        <stp>[DataSheet2.2.xlsm]ILS_DATA!R8C20</stp>
        <tr r="T8" s="17"/>
      </tp>
      <tp>
        <v>7.6999999999999999E-2</v>
        <stp/>
        <stp>##V3_BDPV12</stp>
        <stp>TELBOR03 Index</stp>
        <stp>PX_LAST</stp>
        <stp>[DataSheet2.2.xlsm]ILS_DATA!R9C20</stp>
        <tr r="T9" s="17"/>
      </tp>
      <tp>
        <v>4.3499999999999996</v>
        <stp/>
        <stp>##V3_BDPV12</stp>
        <stp>CKBSAV9 ICPL Curncy</stp>
        <stp>LAST_PRICE</stp>
        <stp>[DataSheet2.2.xlsm]CZK_DATA!R17C30</stp>
        <tr r="AD17" s="14"/>
      </tp>
      <tp>
        <v>0.1</v>
        <stp/>
        <stp>##V3_BDPV12</stp>
        <stp>TELBORON Index</stp>
        <stp>PX_LAST</stp>
        <stp>[DataSheet2.2.xlsm]ILS_DATA!R7C20</stp>
        <tr r="T7" s="17"/>
      </tp>
      <tp>
        <v>14.45</v>
        <stp/>
        <stp>##V3_BDPV12</stp>
        <stp>BCN1W BGN Curncy</stp>
        <stp>PX_LAST</stp>
        <stp>[DataSheet2.3.xlsm]BRL_DATA!R9C51</stp>
        <tr r="AY9" s="59"/>
      </tp>
      <tp>
        <v>8.85</v>
        <stp/>
        <stp>##V3_BDPV12</stp>
        <stp>EUR1M Curncy</stp>
        <stp>LAST_PRICE</stp>
        <stp>[DataSheet2.3.xlsm]EUR_DATA!R13C54</stp>
        <tr r="BB13" s="31"/>
      </tp>
      <tp>
        <v>3.8919999999999999</v>
        <stp/>
        <stp>##V3_BDPV12</stp>
        <stp>IRSWOA FMDR Curncy</stp>
        <stp>LAST_PRICE</stp>
        <stp>[DataSheet2.2.xlsm]INR_DATA!R8C12</stp>
        <tr r="L8" s="54"/>
      </tp>
      <tp>
        <v>3.9159999999999999</v>
        <stp/>
        <stp>##V3_BDPV12</stp>
        <stp>IRSWOB FMDR Curncy</stp>
        <stp>LAST_PRICE</stp>
        <stp>[DataSheet2.2.xlsm]INR_DATA!R9C12</stp>
        <tr r="L9" s="54"/>
      </tp>
      <tp>
        <v>-4.8300000000000003E-2</v>
        <stp/>
        <stp>##V3_BDPV12</stp>
        <stp>EUSW50V3 CMPN Curncy</stp>
        <stp>ASK</stp>
        <stp>[DataSheet2.3.xlsm]EUR_DATA!R34C19</stp>
        <tr r="S34" s="31"/>
      </tp>
      <tp>
        <v>-5.6800000000000003E-2</v>
        <stp/>
        <stp>##V3_BDPV12</stp>
        <stp>EUSW50V3 CMPN Curncy</stp>
        <stp>BID</stp>
        <stp>[DataSheet2.3.xlsm]EUR_DATA!R34C18</stp>
        <tr r="R34" s="31"/>
      </tp>
      <tp>
        <v>4.55</v>
        <stp/>
        <stp>##V3_BDPV12</stp>
        <stp>CKBSAV8 ICPL Curncy</stp>
        <stp>LAST_PRICE</stp>
        <stp>[DataSheet2.3.xlsm]CAD_DATA!R16C30</stp>
        <tr r="AD16" s="48"/>
      </tp>
      <tp>
        <v>119</v>
        <stp/>
        <stp>##V3_BDPV12</stp>
        <stp>SRSSUS4 GMGM Curncy</stp>
        <stp>LAST_PRICE</stp>
        <stp>[DataSheet2.2.xlsm]INR_DATA!R12C35</stp>
        <tr r="AI12" s="54"/>
      </tp>
      <tp>
        <v>2.4900000000000002</v>
        <stp/>
        <stp>##V3_BDPV12</stp>
        <stp>CGUSSW7 ICHK Curncy</stp>
        <stp>LAST_PRICE</stp>
        <stp>[DataSheet2.3.xlsm]CNH_DATA!R32C51</stp>
        <tr r="AY32" s="50"/>
      </tp>
      <tp>
        <v>13.24</v>
        <stp/>
        <stp>##V3_BDPV12</stp>
        <stp>TYUSSW8 TRPU Curncy</stp>
        <stp>LAST_PRICE</stp>
        <stp>[DataSheet2.2.xlsm]TRY_DATA!R33C51</stp>
        <tr r="AY33" s="10"/>
      </tp>
      <tp>
        <v>-4.1250000000000002E-2</v>
        <stp/>
        <stp>##V3_BDPV12</stp>
        <stp>JYFR1/7 MTRT Curncy</stp>
        <stp>LAST_PRICE</stp>
        <stp>[DataSheet2.3.xlsm]JPY_DATA!R10C22</stp>
        <tr r="V10" s="46"/>
      </tp>
      <tp>
        <v>-4.1250000000000002E-2</v>
        <stp/>
        <stp>##V3_BDPV12</stp>
        <stp>JYFR1/7 MTRT Curncy</stp>
        <stp>LAST_PRICE</stp>
        <stp>[DataSheet2.3.xlsm]JPY_DATA!R11C32</stp>
        <tr r="AF11" s="46"/>
      </tp>
      <tp>
        <v>180</v>
        <stp/>
        <stp>##V3_BDPV12</stp>
        <stp>SRSSUS10 GMGM Curncy</stp>
        <stp>LAST_PRICE</stp>
        <stp>[DataSheet2.2.xlsm]INR_DATA!R15C35</stp>
        <tr r="AI15" s="54"/>
      </tp>
      <tp>
        <v>-129</v>
        <stp/>
        <stp>##V3_BDPV12</stp>
        <stp>SRUSSW10 GMGM Curncy</stp>
        <stp>LAST_PRICE</stp>
        <stp>[DataSheet2.2.xlsm]INR_DATA!R13C43</stp>
        <tr r="AQ13" s="54"/>
      </tp>
      <tp>
        <v>1435</v>
        <stp/>
        <stp>##V3_BDPV12</stp>
        <stp>EUR10Y Curncy</stp>
        <stp>ASK</stp>
        <stp>[DataSheet2.3.xlsm]EUR_DATA!R36C53</stp>
        <tr r="BA36" s="31"/>
      </tp>
      <tp>
        <v>1385</v>
        <stp/>
        <stp>##V3_BDPV12</stp>
        <stp>EUR10Y Curncy</stp>
        <stp>BID</stp>
        <stp>[DataSheet2.3.xlsm]EUR_DATA!R36C52</stp>
        <tr r="AZ36" s="31"/>
      </tp>
      <tp>
        <v>4.55</v>
        <stp/>
        <stp>##V3_BDPV12</stp>
        <stp>CKBSAV8 ICPL Curncy</stp>
        <stp>LAST_PRICE</stp>
        <stp>[DataSheet2.2.xlsm]CZK_DATA!R16C30</stp>
        <tr r="AD16" s="14"/>
      </tp>
      <tp>
        <v>106.1</v>
        <stp/>
        <stp>##V3_BDPV12</stp>
        <stp>JPY Curncy</stp>
        <stp>LAST_PRICE</stp>
        <stp>[DataSheet2.3.xlsm]JPY_DATA!R7C49</stp>
        <tr r="AW7" s="46"/>
      </tp>
      <tp>
        <v>8.375</v>
        <stp/>
        <stp>##V3_BDPV12</stp>
        <stp>USBA2 ICPL Curncy</stp>
        <stp>LAST_PRICE</stp>
        <stp>[DataSheet2.3.xlsm]USD_DATA!R8C27</stp>
        <tr r="AA8" s="6"/>
      </tp>
      <tp>
        <v>9.25</v>
        <stp/>
        <stp>##V3_BDPV12</stp>
        <stp>USBA3 ICPL Curncy</stp>
        <stp>LAST_PRICE</stp>
        <stp>[DataSheet2.3.xlsm]USD_DATA!R9C27</stp>
        <tr r="AA9" s="6"/>
      </tp>
      <tp>
        <v>8.375</v>
        <stp/>
        <stp>##V3_BDPV12</stp>
        <stp>USBA1 ICPL Curncy</stp>
        <stp>LAST_PRICE</stp>
        <stp>[DataSheet2.3.xlsm]USD_DATA!R7C27</stp>
        <tr r="AA7" s="6"/>
      </tp>
      <tp>
        <v>0.15</v>
        <stp/>
        <stp>##V3_BDPV12</stp>
        <stp>CKSO1 FMDR Curncy</stp>
        <stp>LAST_PRICE</stp>
        <stp>[DataSheet2.2.xlsm]CZK_DATA!R9C12</stp>
        <tr r="L9" s="14"/>
      </tp>
      <tp>
        <v>0.23699999999999999</v>
        <stp/>
        <stp>##V3_BDPV12</stp>
        <stp>CDSO1 FMDR Curncy</stp>
        <stp>LAST_PRICE</stp>
        <stp>[DataSheet2.3.xlsm]CAD_DATA!R9C12</stp>
        <tr r="L9" s="48"/>
      </tp>
      <tp>
        <v>0.23699999999999999</v>
        <stp/>
        <stp>##V3_BDPV12</stp>
        <stp>CDSO1 FMDR Curncy</stp>
        <stp>LAST_PRICE</stp>
        <stp>[DataSheet2.3.xlsm]GBP_DATA!R9C12</stp>
        <tr r="L9" s="58"/>
      </tp>
      <tp>
        <v>5.3499999999999999E-2</v>
        <stp/>
        <stp>##V3_BDPV12</stp>
        <stp>EUSW25V3 CMPN Curncy</stp>
        <stp>ASK</stp>
        <stp>[DataSheet2.3.xlsm]EUR_DATA!R31C19</stp>
        <tr r="S31" s="31"/>
      </tp>
      <tp>
        <v>4.7500000000000001E-2</v>
        <stp/>
        <stp>##V3_BDPV12</stp>
        <stp>EUSW25V3 CMPN Curncy</stp>
        <stp>BID</stp>
        <stp>[DataSheet2.3.xlsm]EUR_DATA!R31C18</stp>
        <tr r="R31" s="31"/>
      </tp>
      <tp>
        <v>4.6600000000000003E-2</v>
        <stp/>
        <stp>##V3_BDPV12</stp>
        <stp>EUSW20V3 CMPN Curncy</stp>
        <stp>ASK</stp>
        <stp>[DataSheet2.3.xlsm]EUR_DATA!R30C19</stp>
        <tr r="S30" s="31"/>
      </tp>
      <tp>
        <v>3.8600000000000002E-2</v>
        <stp/>
        <stp>##V3_BDPV12</stp>
        <stp>EUSW20V3 CMPN Curncy</stp>
        <stp>BID</stp>
        <stp>[DataSheet2.3.xlsm]EUR_DATA!R30C18</stp>
        <tr r="R30" s="31"/>
      </tp>
      <tp>
        <v>104</v>
        <stp/>
        <stp>##V3_BDPV12</stp>
        <stp>SRSSUS3 GMGM Curncy</stp>
        <stp>LAST_PRICE</stp>
        <stp>[DataSheet2.2.xlsm]INR_DATA!R11C35</stp>
        <tr r="AI11" s="54"/>
      </tp>
      <tp>
        <v>7.0000000000000007E-2</v>
        <stp/>
        <stp>##V3_BDPV12</stp>
        <stp>ISFR0I1 ICPL Curncy</stp>
        <stp>LAST_PRICE</stp>
        <stp>[DataSheet2.2.xlsm]ILS_DATA!R17C20</stp>
        <tr r="T17" s="17"/>
      </tp>
      <tp>
        <v>4.4000000000000004</v>
        <stp/>
        <stp>##V3_BDPV12</stp>
        <stp>RRUSSW9 TRPU Curncy</stp>
        <stp>LAST_PRICE</stp>
        <stp>[DataSheet2.2.xlsm]RUB_DATA!R33C51</stp>
        <tr r="AY33" s="4"/>
      </tp>
      <tp>
        <v>-85.5</v>
        <stp/>
        <stp>##V3_BDPV12</stp>
        <stp>SRUSSW5 GMGM Curncy</stp>
        <stp>LAST_PRICE</stp>
        <stp>[DataSheet2.2.xlsm]INR_DATA!R11C43</stp>
        <tr r="AQ11" s="54"/>
      </tp>
      <tp>
        <v>5.9</v>
        <stp/>
        <stp>##V3_BDPV12</stp>
        <stp>EOBSVC9 ICPL Curncy</stp>
        <stp>LAST_PRICE</stp>
        <stp>[DataSheet2.3.xlsm]EUR_DATA!R34C12</stp>
        <tr r="L34" s="31"/>
      </tp>
      <tp>
        <v>5.2595000000000001</v>
        <stp/>
        <stp>##V3_BDPV12</stp>
        <stp>IRSWO10 FMDR Curncy</stp>
        <stp>LAST_PRICE</stp>
        <stp>[DataSheet2.2.xlsm]INR_DATA!R19C12</stp>
        <tr r="L19" s="54"/>
      </tp>
      <tp>
        <v>-29.5</v>
        <stp/>
        <stp>##V3_BDPV12</stp>
        <stp>CKEUBS8 ICPL Curncy</stp>
        <stp>LAST_PRICE</stp>
        <stp>[DataSheet2.2.xlsm]CZK_DATA!R15C43</stp>
        <tr r="AQ15" s="14"/>
      </tp>
      <tp>
        <v>61.45</v>
        <stp/>
        <stp>##V3_BDPV12</stp>
        <stp>EUR7M Curncy</stp>
        <stp>LAST_PRICE</stp>
        <stp>[DataSheet2.3.xlsm]EUR_DATA!R19C54</stp>
        <tr r="BB19" s="31"/>
      </tp>
      <tp>
        <v>906</v>
        <stp/>
        <stp>##V3_BDPV12</stp>
        <stp>EUR7Y Curncy</stp>
        <stp>LAST_PRICE</stp>
        <stp>[DataSheet2.3.xlsm]EUR_DATA!R33C54</stp>
        <tr r="BB33" s="31"/>
      </tp>
      <tp>
        <v>3.5000000000000003E-2</v>
        <stp/>
        <stp>##V3_BDPV12</stp>
        <stp>USSO2 CMPN  Curncy</stp>
        <stp>LAST_PRICE</stp>
        <stp>[DataSheet2.3.xlsm]USD_DATA!R19C9</stp>
        <tr r="I19" s="6"/>
      </tp>
      <tp>
        <v>0.02</v>
        <stp/>
        <stp>##V3_BDPV12</stp>
        <stp>PZSO1 BLC3 Curncy</stp>
        <stp>LAST_PRICE</stp>
        <stp>[DataSheet2.2.xlsm]PLN_DATA!R9C12</stp>
        <tr r="L9" s="12"/>
      </tp>
      <tp>
        <v>12.35</v>
        <stp/>
        <stp>##V3_BDPV12</stp>
        <stp>TYSW10V3 ICPL Curncy</stp>
        <stp>ASK</stp>
        <stp>[DataSheet2.2.xlsm]TRY_DATA!R20C19</stp>
        <tr r="S20" s="10"/>
      </tp>
      <tp>
        <v>3.2599999999999997E-2</v>
        <stp/>
        <stp>##V3_BDPV12</stp>
        <stp>EUSW30V3 CMPN Curncy</stp>
        <stp>ASK</stp>
        <stp>[DataSheet2.3.xlsm]EUR_DATA!R32C19</stp>
        <tr r="S32" s="31"/>
      </tp>
      <tp>
        <v>12.05</v>
        <stp/>
        <stp>##V3_BDPV12</stp>
        <stp>TYSW10V3 ICPL Curncy</stp>
        <stp>BID</stp>
        <stp>[DataSheet2.2.xlsm]TRY_DATA!R20C18</stp>
        <tr r="R20" s="10"/>
      </tp>
      <tp>
        <v>2.46E-2</v>
        <stp/>
        <stp>##V3_BDPV12</stp>
        <stp>EUSW30V3 CMPN Curncy</stp>
        <stp>BID</stp>
        <stp>[DataSheet2.3.xlsm]EUR_DATA!R32C18</stp>
        <tr r="R32" s="31"/>
      </tp>
      <tp>
        <v>6.25</v>
        <stp/>
        <stp>##V3_BDPV12</stp>
        <stp>HFEBS12 ICPL Curncy</stp>
        <stp>LAST_PRICE</stp>
        <stp>[DataSheet2.2.xlsm]HUF_DATA!R17C43</stp>
        <tr r="AQ17" s="15"/>
      </tp>
      <tp>
        <v>86</v>
        <stp/>
        <stp>##V3_BDPV12</stp>
        <stp>SRSSUS2 GMGM Curncy</stp>
        <stp>LAST_PRICE</stp>
        <stp>[DataSheet2.2.xlsm]INR_DATA!R10C35</stp>
        <tr r="AI10" s="54"/>
      </tp>
      <tp>
        <v>2.57</v>
        <stp/>
        <stp>##V3_BDPV12</stp>
        <stp>CGUSSW1 ICHK Curncy</stp>
        <stp>LAST_PRICE</stp>
        <stp>[DataSheet2.3.xlsm]CNH_DATA!R28C51</stp>
        <tr r="AY28" s="50"/>
      </tp>
      <tp>
        <v>4.3899999999999997</v>
        <stp/>
        <stp>##V3_BDPV12</stp>
        <stp>RRUSSW8 TRPU Curncy</stp>
        <stp>LAST_PRICE</stp>
        <stp>[DataSheet2.2.xlsm]RUB_DATA!R32C51</stp>
        <tr r="AY32" s="4"/>
      </tp>
      <tp>
        <v>0.56999999999999995</v>
        <stp/>
        <stp>##V3_BDPV12</stp>
        <stp>HDFR0I1 CMPN Curncy</stp>
        <stp>LAST_PRICE</stp>
        <stp>[DataSheet2.2.xlsm]HKD_DATA!R13C20</stp>
        <tr r="T13" s="52"/>
      </tp>
      <tp>
        <v>5.6</v>
        <stp/>
        <stp>##V3_BDPV12</stp>
        <stp>EOBSVC8 ICPL Curncy</stp>
        <stp>LAST_PRICE</stp>
        <stp>[DataSheet2.3.xlsm]EUR_DATA!R33C12</stp>
        <tr r="L33" s="31"/>
      </tp>
      <tp>
        <v>0.94499999999999995</v>
        <stp/>
        <stp>##V3_BDPV12</stp>
        <stp>HFFR0F1 ICPL Curncy</stp>
        <stp>LAST_PRICE</stp>
        <stp>[DataSheet2.2.xlsm]HUF_DATA!R16C20</stp>
        <tr r="T16" s="15"/>
      </tp>
      <tp>
        <v>0.94499999999999995</v>
        <stp/>
        <stp>##V3_BDPV12</stp>
        <stp>HFFR0I1 ICPL Curncy</stp>
        <stp>LAST_PRICE</stp>
        <stp>[DataSheet2.2.xlsm]HUF_DATA!R14C25</stp>
        <tr r="Y14" s="15"/>
      </tp>
      <tp>
        <v>1</v>
        <stp/>
        <stp>##V3_BDPV12</stp>
        <stp>HFBSV15 ICPL Curncy</stp>
        <stp>LAST_PRICE</stp>
        <stp>[DataSheet2.2.xlsm]HUF_DATA!R26C25</stp>
        <tr r="Y26" s="15"/>
      </tp>
      <tp>
        <v>-83.846100000000007</v>
        <stp/>
        <stp>##V3_BDPV12</stp>
        <stp>UDUSSW10 GFID Curncy</stp>
        <stp>LAST_PRICE</stp>
        <stp>[DataSheet2.2.xlsm]AED_DATA!R13C43</stp>
        <tr r="AQ13" s="18"/>
      </tp>
      <tp>
        <v>-29</v>
        <stp/>
        <stp>##V3_BDPV12</stp>
        <stp>CKEUBS9 ICPL Curncy</stp>
        <stp>LAST_PRICE</stp>
        <stp>[DataSheet2.2.xlsm]CZK_DATA!R16C43</stp>
        <tr r="AQ16" s="14"/>
      </tp>
      <tp>
        <v>9.8000000000000007</v>
        <stp/>
        <stp>##V3_BDPV12</stp>
        <stp>CKBSAV1 ICPL Curncy</stp>
        <stp>LAST_PRICE</stp>
        <stp>[DataSheet2.3.xlsm]CAD_DATA!R9C30</stp>
        <tr r="AD9" s="48"/>
      </tp>
      <tp>
        <v>9.8000000000000007</v>
        <stp/>
        <stp>##V3_BDPV12</stp>
        <stp>CKBSAV1 ICPL Curncy</stp>
        <stp>LAST_PRICE</stp>
        <stp>[DataSheet2.2.xlsm]CZK_DATA!R9C30</stp>
        <tr r="AD9" s="14"/>
      </tp>
      <tp>
        <v>9.8000000000000007</v>
        <stp/>
        <stp>##V3_BDPV12</stp>
        <stp>CKBSAV1 ICPL Curncy</stp>
        <stp>LAST_PRICE</stp>
        <stp>[DataSheet2.3.xlsm]GBP_DATA!R9C30</stp>
        <tr r="AD9" s="58"/>
      </tp>
      <tp>
        <v>52.75</v>
        <stp/>
        <stp>##V3_BDPV12</stp>
        <stp>EUR6M Curncy</stp>
        <stp>LAST_PRICE</stp>
        <stp>[DataSheet2.3.xlsm]EUR_DATA!R18C54</stp>
        <tr r="BB18" s="31"/>
      </tp>
      <tp>
        <v>737.82</v>
        <stp/>
        <stp>##V3_BDPV12</stp>
        <stp>EUR6Y Curncy</stp>
        <stp>LAST_PRICE</stp>
        <stp>[DataSheet2.3.xlsm]EUR_DATA!R32C54</stp>
        <tr r="BB32" s="31"/>
      </tp>
      <tp>
        <v>6.625</v>
        <stp/>
        <stp>##V3_BDPV12</stp>
        <stp>USBC2 ICPL Curncy</stp>
        <stp>LAST_PRICE</stp>
        <stp>[DataSheet2.3.xlsm]USD_DATA!R8C22</stp>
        <tr r="V8" s="6"/>
      </tp>
      <tp>
        <v>8.625</v>
        <stp/>
        <stp>##V3_BDPV12</stp>
        <stp>USBC3 ICPL Curncy</stp>
        <stp>LAST_PRICE</stp>
        <stp>[DataSheet2.3.xlsm]USD_DATA!R9C22</stp>
        <tr r="V9" s="6"/>
      </tp>
      <tp>
        <v>4.125</v>
        <stp/>
        <stp>##V3_BDPV12</stp>
        <stp>USBC1 ICPL Curncy</stp>
        <stp>LAST_PRICE</stp>
        <stp>[DataSheet2.3.xlsm]USD_DATA!R7C22</stp>
        <tr r="V7" s="6"/>
      </tp>
      <tp>
        <v>4.3499999999999996</v>
        <stp/>
        <stp>##V3_BDPV12</stp>
        <stp>CKBSAV9 ICPL Curncy</stp>
        <stp>LAST_PRICE</stp>
        <stp>[DataSheet2.3.xlsm]GBP_DATA!R17C30</stp>
        <tr r="AD17" s="58"/>
      </tp>
      <tp>
        <v>2.48</v>
        <stp/>
        <stp>##V3_BDPV12</stp>
        <stp>CGUSSW10 ICHK Curncy</stp>
        <stp>LAST_PRICE</stp>
        <stp>[DataSheet2.3.xlsm]CNH_DATA!R33C51</stp>
        <tr r="AY33" s="50"/>
      </tp>
      <tp>
        <v>2.56</v>
        <stp/>
        <stp>##V3_BDPV12</stp>
        <stp>CGUSSW2 ICHK Curncy</stp>
        <stp>LAST_PRICE</stp>
        <stp>[DataSheet2.3.xlsm]CNH_DATA!R29C51</stp>
        <tr r="AY29" s="50"/>
      </tp>
      <tp>
        <v>-104</v>
        <stp/>
        <stp>##V3_BDPV12</stp>
        <stp>SRUSSW7 GMGM Curncy</stp>
        <stp>LAST_PRICE</stp>
        <stp>[DataSheet2.2.xlsm]INR_DATA!R12C43</stp>
        <tr r="AQ12" s="54"/>
      </tp>
      <tp>
        <v>45.62</v>
        <stp/>
        <stp>##V3_BDPV12</stp>
        <stp>EUR5M Curncy</stp>
        <stp>LAST_PRICE</stp>
        <stp>[DataSheet2.3.xlsm]EUR_DATA!R17C54</stp>
        <tr r="BB17" s="31"/>
      </tp>
      <tp>
        <v>581.5</v>
        <stp/>
        <stp>##V3_BDPV12</stp>
        <stp>EUR5Y Curncy</stp>
        <stp>LAST_PRICE</stp>
        <stp>[DataSheet2.3.xlsm]EUR_DATA!R31C54</stp>
        <tr r="BB31" s="31"/>
      </tp>
      <tp>
        <v>5.2999999999999999E-2</v>
        <stp/>
        <stp>##V3_BDPV12</stp>
        <stp>USSO1 CMPN  Curncy</stp>
        <stp>LAST_PRICE</stp>
        <stp>[DataSheet2.3.xlsm]USD_DATA!R18C9</stp>
        <tr r="I18" s="6"/>
      </tp>
      <tp>
        <v>-0.115</v>
        <stp/>
        <stp>##V3_BDPV12</stp>
        <stp>JPYTN MTRT Curncy</stp>
        <stp>LAST_PRICE</stp>
        <stp>[DataSheet2.3.xlsm]JPY_DATA!R9C49</stp>
        <tr r="AW9" s="46"/>
      </tp>
      <tp>
        <v>15</v>
        <stp/>
        <stp>##V3_BDPV12</stp>
        <stp>UDBSV1 GMGM Curncy</stp>
        <stp>LAST_PRICE</stp>
        <stp>[DataSheet2.2.xlsm]AED_DATA!R9C30</stp>
        <tr r="AD9" s="18"/>
      </tp>
      <tp>
        <v>1.7949999999999999</v>
        <stp/>
        <stp>##V3_BDPV12</stp>
        <stp>BUBRON Index</stp>
        <stp>PX_LAST</stp>
        <stp>[DataSheet2.2.xlsm]RON_DATA!R7C20</stp>
        <tr r="T7" s="16"/>
      </tp>
      <tp>
        <v>2.0688399999999998</v>
        <stp/>
        <stp>##V3_BDPV12</stp>
        <stp>HICNHON Index</stp>
        <stp>PX_LAST</stp>
        <stp>[DataSheet2.3.xlsm]BRL_DATA!R7C20</stp>
        <tr r="T7" s="59"/>
      </tp>
      <tp>
        <v>-4.41E-2</v>
        <stp/>
        <stp>##V3_BDPV12</stp>
        <stp>EUSW15V3 CMPN Curncy</stp>
        <stp>ASK</stp>
        <stp>[DataSheet2.3.xlsm]EUR_DATA!R29C19</stp>
        <tr r="S29" s="31"/>
      </tp>
      <tp>
        <v>2.0688399999999998</v>
        <stp/>
        <stp>##V3_BDPV12</stp>
        <stp>HICNHON Index</stp>
        <stp>PX_LAST</stp>
        <stp>[DataSheet2.3.xlsm]CNH_DATA!R7C20</stp>
        <tr r="T7" s="50"/>
      </tp>
      <tp>
        <v>-5.0599999999999999E-2</v>
        <stp/>
        <stp>##V3_BDPV12</stp>
        <stp>EUSW15V3 CMPN Curncy</stp>
        <stp>BID</stp>
        <stp>[DataSheet2.3.xlsm]EUR_DATA!R29C18</stp>
        <tr r="R29" s="31"/>
      </tp>
      <tp>
        <v>-0.16439999999999999</v>
        <stp/>
        <stp>##V3_BDPV12</stp>
        <stp>EUSW12V3 CMPN Curncy</stp>
        <stp>BID</stp>
        <stp>[DataSheet2.3.xlsm]EUR_DATA!R28C18</stp>
        <tr r="R28" s="31"/>
      </tp>
      <tp>
        <v>-0.25729999999999997</v>
        <stp/>
        <stp>##V3_BDPV12</stp>
        <stp>EUSW10V3 CMPN Curncy</stp>
        <stp>ASK</stp>
        <stp>[DataSheet2.3.xlsm]EUR_DATA!R27C19</stp>
        <tr r="S27" s="31"/>
      </tp>
      <tp>
        <v>-0.26140000000000002</v>
        <stp/>
        <stp>##V3_BDPV12</stp>
        <stp>EUSW10V3 CMPN Curncy</stp>
        <stp>BID</stp>
        <stp>[DataSheet2.3.xlsm]EUR_DATA!R27C18</stp>
        <tr r="R27" s="31"/>
      </tp>
      <tp>
        <v>-0.15939999999999999</v>
        <stp/>
        <stp>##V3_BDPV12</stp>
        <stp>EUSW12V3 CMPN Curncy</stp>
        <stp>ASK</stp>
        <stp>[DataSheet2.3.xlsm]EUR_DATA!R28C19</stp>
        <tr r="S28" s="31"/>
      </tp>
      <tp>
        <v>4.8</v>
        <stp/>
        <stp>##V3_BDPV12</stp>
        <stp>HFEBS20 ICPL Curncy</stp>
        <stp>LAST_PRICE</stp>
        <stp>[DataSheet2.2.xlsm]HUF_DATA!R19C43</stp>
        <tr r="AQ19" s="15"/>
      </tp>
      <tp>
        <v>6.75</v>
        <stp/>
        <stp>##V3_BDPV12</stp>
        <stp>HFEBS10 ICPL Curncy</stp>
        <stp>LAST_PRICE</stp>
        <stp>[DataSheet2.2.xlsm]HUF_DATA!R16C43</stp>
        <tr r="AQ16" s="15"/>
      </tp>
      <tp>
        <v>4.55</v>
        <stp/>
        <stp>##V3_BDPV12</stp>
        <stp>CKBSAV8 ICPL Curncy</stp>
        <stp>LAST_PRICE</stp>
        <stp>[DataSheet2.3.xlsm]GBP_DATA!R16C30</stp>
        <tr r="AD16" s="58"/>
      </tp>
      <tp>
        <v>2.54</v>
        <stp/>
        <stp>##V3_BDPV12</stp>
        <stp>CGUSSW3 ICHK Curncy</stp>
        <stp>LAST_PRICE</stp>
        <stp>[DataSheet2.3.xlsm]CNH_DATA!R30C51</stp>
        <tr r="AY30" s="50"/>
      </tp>
      <tp>
        <v>37.65</v>
        <stp/>
        <stp>##V3_BDPV12</stp>
        <stp>EUR4M Curncy</stp>
        <stp>LAST_PRICE</stp>
        <stp>[DataSheet2.3.xlsm]EUR_DATA!R16C54</stp>
        <tr r="BB16" s="31"/>
      </tp>
      <tp>
        <v>442</v>
        <stp/>
        <stp>##V3_BDPV12</stp>
        <stp>EUR4Y Curncy</stp>
        <stp>LAST_PRICE</stp>
        <stp>[DataSheet2.3.xlsm]EUR_DATA!R30C54</stp>
        <tr r="BB30" s="31"/>
      </tp>
      <tp>
        <v>2.8205</v>
        <stp/>
        <stp>##V3_BDPV12</stp>
        <stp>HICNH3M Index</stp>
        <stp>PX_LAST</stp>
        <stp>[DataSheet2.3.xlsm]BRL_DATA!R9C20</stp>
        <tr r="T9" s="59"/>
      </tp>
      <tp>
        <v>2.8205</v>
        <stp/>
        <stp>##V3_BDPV12</stp>
        <stp>HICNH3M Index</stp>
        <stp>PX_LAST</stp>
        <stp>[DataSheet2.3.xlsm]CNH_DATA!R9C20</stp>
        <tr r="T9" s="50"/>
      </tp>
      <tp>
        <v>2.6826699999999999</v>
        <stp/>
        <stp>##V3_BDPV12</stp>
        <stp>HICNH1M Index</stp>
        <stp>PX_LAST</stp>
        <stp>[DataSheet2.3.xlsm]BRL_DATA!R8C20</stp>
        <tr r="T8" s="59"/>
      </tp>
      <tp>
        <v>2.6826699999999999</v>
        <stp/>
        <stp>##V3_BDPV12</stp>
        <stp>HICNH1M Index</stp>
        <stp>PX_LAST</stp>
        <stp>[DataSheet2.3.xlsm]CNH_DATA!R8C20</stp>
        <tr r="T8" s="50"/>
      </tp>
      <tp>
        <v>7.4908999999999999</v>
        <stp/>
        <stp>##V3_BDPV12</stp>
        <stp>USDTRY Curncy</stp>
        <stp>LAST_PRICE</stp>
        <stp>[DataSheet2.3.xlsm]FX!R2C21</stp>
        <tr r="U2" s="20"/>
      </tp>
      <tp>
        <v>1.8399999999999999</v>
        <stp/>
        <stp>##V3_BDPV12</stp>
        <stp>BUBR3M Index</stp>
        <stp>PX_LAST</stp>
        <stp>[DataSheet2.2.xlsm]RON_DATA!R9C20</stp>
        <tr r="T9" s="16"/>
      </tp>
      <tp>
        <v>1.845</v>
        <stp/>
        <stp>##V3_BDPV12</stp>
        <stp>BUBR1M Index</stp>
        <stp>PX_LAST</stp>
        <stp>[DataSheet2.2.xlsm]RON_DATA!R8C20</stp>
        <tr r="T8" s="16"/>
      </tp>
      <tp>
        <v>0.505</v>
        <stp/>
        <stp>##V3_BDPV12</stp>
        <stp>CDOR03 Index</stp>
        <stp>PX_LAST</stp>
        <stp>[DataSheet2.3.xlsm]GBP_DATA!R9C20</stp>
        <tr r="T9" s="58"/>
      </tp>
      <tp>
        <v>0.48125000000000001</v>
        <stp/>
        <stp>##V3_BDPV12</stp>
        <stp>CDOR01 Index</stp>
        <stp>PX_LAST</stp>
        <stp>[DataSheet2.3.xlsm]GBP_DATA!R8C20</stp>
        <tr r="T8" s="58"/>
      </tp>
      <tp>
        <v>0.48125000000000001</v>
        <stp/>
        <stp>##V3_BDPV12</stp>
        <stp>CDOR01 Index</stp>
        <stp>PX_LAST</stp>
        <stp>[DataSheet2.3.xlsm]CAD_DATA!R8C20</stp>
        <tr r="T8" s="48"/>
      </tp>
      <tp>
        <v>0.505</v>
        <stp/>
        <stp>##V3_BDPV12</stp>
        <stp>CDOR03 Index</stp>
        <stp>PX_LAST</stp>
        <stp>[DataSheet2.3.xlsm]CAD_DATA!R9C20</stp>
        <tr r="T9" s="48"/>
      </tp>
      <tp>
        <v>98</v>
        <stp/>
        <stp>##V3_BDPV12</stp>
        <stp>UDSSUS7 GMGM Curncy</stp>
        <stp>LAST_PRICE</stp>
        <stp>[DataSheet2.2.xlsm]AED_DATA!R12C35</stp>
        <tr r="AI12" s="18"/>
      </tp>
      <tp>
        <v>4.75</v>
        <stp/>
        <stp>##V3_BDPV12</stp>
        <stp>CKBSAV7 ICPL Curncy</stp>
        <stp>LAST_PRICE</stp>
        <stp>[DataSheet2.3.xlsm]GBP_DATA!R15C30</stp>
        <tr r="AD15" s="58"/>
      </tp>
      <tp>
        <v>6.95</v>
        <stp/>
        <stp>##V3_BDPV12</stp>
        <stp>CKBSAV3 ICPL Curncy</stp>
        <stp>LAST_PRICE</stp>
        <stp>[DataSheet2.3.xlsm]CAD_DATA!R11C30</stp>
        <tr r="AD11" s="48"/>
      </tp>
      <tp>
        <v>31.5</v>
        <stp/>
        <stp>##V3_BDPV12</stp>
        <stp>PZBSEC15 ICPL Curncy</stp>
        <stp>LAST_PRICE</stp>
        <stp>[DataSheet2.2.xlsm]PLN_DATA!R18C43</stp>
        <tr r="AQ18" s="12"/>
      </tp>
      <tp>
        <v>15.82</v>
        <stp/>
        <stp>##V3_BDPV12</stp>
        <stp>TYUSSW3 TRPU Curncy</stp>
        <stp>LAST_PRICE</stp>
        <stp>[DataSheet2.2.xlsm]TRY_DATA!R28C51</stp>
        <tr r="AY28" s="10"/>
      </tp>
      <tp>
        <v>4.3600000000000003</v>
        <stp/>
        <stp>##V3_BDPV12</stp>
        <stp>RRUSSW5 TRPU Curncy</stp>
        <stp>LAST_PRICE</stp>
        <stp>[DataSheet2.2.xlsm]RUB_DATA!R29C51</stp>
        <tr r="AY29" s="4"/>
      </tp>
      <tp>
        <v>4.5999999999999996</v>
        <stp/>
        <stp>##V3_BDPV12</stp>
        <stp>EOBSVC5 ICPL Curncy</stp>
        <stp>LAST_PRICE</stp>
        <stp>[DataSheet2.3.xlsm]EUR_DATA!R30C12</stp>
        <tr r="L30" s="31"/>
      </tp>
      <tp>
        <v>-0.46400000000000002</v>
        <stp/>
        <stp>##V3_BDPV12</stp>
        <stp>EUFR0F1 ICPL Curncy</stp>
        <stp>LAST_PRICE</stp>
        <stp>[DataSheet2.3.xlsm]EUR_DATA!R16C25</stp>
        <tr r="Y16" s="31"/>
      </tp>
      <tp>
        <v>-35</v>
        <stp/>
        <stp>##V3_BDPV12</stp>
        <stp>CKEUBS4 ICPL Curncy</stp>
        <stp>LAST_PRICE</stp>
        <stp>[DataSheet2.2.xlsm]CZK_DATA!R11C43</stp>
        <tr r="AQ11" s="14"/>
      </tp>
      <tp>
        <v>6.95</v>
        <stp/>
        <stp>##V3_BDPV12</stp>
        <stp>CKBSAV3 ICPL Curncy</stp>
        <stp>LAST_PRICE</stp>
        <stp>[DataSheet2.2.xlsm]CZK_DATA!R11C30</stp>
        <tr r="AD11" s="14"/>
      </tp>
      <tp>
        <v>0.128</v>
        <stp/>
        <stp>##V3_BDPV12</stp>
        <stp>USSO5 CMPN  Curncy</stp>
        <stp>LAST_PRICE</stp>
        <stp>[DataSheet2.3.xlsm]USD_DATA!R22C9</stp>
        <tr r="I22" s="6"/>
      </tp>
      <tp>
        <v>-0.17</v>
        <stp/>
        <stp>##V3_BDPV12</stp>
        <stp>CAD1W BGN Curncy</stp>
        <stp>PX_LAST</stp>
        <stp>[DataSheet2.3.xlsm]CAD_DATA!R10C51</stp>
        <tr r="AY10" s="48"/>
      </tp>
      <tp>
        <v>-0.4</v>
        <stp/>
        <stp>##V3_BDPV12</stp>
        <stp>CAD2W BGN Curncy</stp>
        <stp>PX_LAST</stp>
        <stp>[DataSheet2.3.xlsm]CAD_DATA!R11C51</stp>
        <tr r="AY11" s="48"/>
      </tp>
      <tp>
        <v>-0.77</v>
        <stp/>
        <stp>##V3_BDPV12</stp>
        <stp>JPY1W BGN Curncy</stp>
        <stp>PX_LAST</stp>
        <stp>[DataSheet2.3.xlsm]JPY_DATA!R10C41</stp>
        <tr r="AO10" s="46"/>
      </tp>
      <tp>
        <v>179.5</v>
        <stp/>
        <stp>##V3_BDPV12</stp>
        <stp>TRY1W BGN Curncy</stp>
        <stp>PX_LAST</stp>
        <stp>[DataSheet2.2.xlsm]TRY_DATA!R10C51</stp>
        <tr r="AY10" s="10"/>
      </tp>
      <tp>
        <v>-1.56</v>
        <stp/>
        <stp>##V3_BDPV12</stp>
        <stp>JPY2W BGN Curncy</stp>
        <stp>PX_LAST</stp>
        <stp>[DataSheet2.3.xlsm]JPY_DATA!R11C41</stp>
        <tr r="AO11" s="46"/>
      </tp>
      <tp>
        <v>384.14</v>
        <stp/>
        <stp>##V3_BDPV12</stp>
        <stp>TRY2W BGN Curncy</stp>
        <stp>PX_LAST</stp>
        <stp>[DataSheet2.2.xlsm]TRY_DATA!R11C51</stp>
        <tr r="AY11" s="10"/>
      </tp>
      <tp>
        <v>5</v>
        <stp/>
        <stp>##V3_BDPV12</stp>
        <stp>CKBSAV6 ICPL Curncy</stp>
        <stp>LAST_PRICE</stp>
        <stp>[DataSheet2.3.xlsm]GBP_DATA!R14C30</stp>
        <tr r="AD14" s="58"/>
      </tp>
      <tp>
        <v>15.25</v>
        <stp/>
        <stp>##V3_BDPV12</stp>
        <stp>CKBSV12 ICPL Curncy</stp>
        <stp>LAST_PRICE</stp>
        <stp>[DataSheet2.3.xlsm]CAD_DATA!R25C25</stp>
        <tr r="Y25" s="48"/>
      </tp>
      <tp>
        <v>8.25</v>
        <stp/>
        <stp>##V3_BDPV12</stp>
        <stp>CKBSAV2 ICPL Curncy</stp>
        <stp>LAST_PRICE</stp>
        <stp>[DataSheet2.3.xlsm]CAD_DATA!R10C30</stp>
        <tr r="AD10" s="48"/>
      </tp>
      <tp>
        <v>0.91</v>
        <stp/>
        <stp>##V3_BDPV12</stp>
        <stp>SRFR0I1 GMGM Curncy</stp>
        <stp>LAST_PRICE</stp>
        <stp>[DataSheet2.2.xlsm]SAR_DATA!R16C20</stp>
        <tr r="T16" s="19"/>
      </tp>
      <tp>
        <v>16.809999999999999</v>
        <stp/>
        <stp>##V3_BDPV12</stp>
        <stp>TYUSSW2 TRPU Curncy</stp>
        <stp>LAST_PRICE</stp>
        <stp>[DataSheet2.2.xlsm]TRY_DATA!R27C51</stp>
        <tr r="AY27" s="10"/>
      </tp>
      <tp>
        <v>0.62</v>
        <stp/>
        <stp>##V3_BDPV12</stp>
        <stp>HDSQO10 TRHK Curncy</stp>
        <stp>LAST_PRICE</stp>
        <stp>[DataSheet2.2.xlsm]HKD_DATA!R20C12</stp>
        <tr r="L20" s="52"/>
      </tp>
      <tp>
        <v>4.3499999999999996</v>
        <stp/>
        <stp>##V3_BDPV12</stp>
        <stp>RRUSSW4 TRPU Curncy</stp>
        <stp>LAST_PRICE</stp>
        <stp>[DataSheet2.2.xlsm]RUB_DATA!R28C51</stp>
        <tr r="AY28" s="4"/>
      </tp>
      <tp>
        <v>6.39</v>
        <stp/>
        <stp>##V3_BDPV12</stp>
        <stp>RRSWM12 TRPU Curncy</stp>
        <stp>LAST_PRICE</stp>
        <stp>[DataSheet2.2.xlsm]RUB_DATA!R28C20</stp>
        <tr r="T28" s="4"/>
      </tp>
      <tp>
        <v>0</v>
        <stp/>
        <stp>##V3_BDPV12</stp>
        <stp>JYJSLC1 MTRT Curncy</stp>
        <stp>LAST_PRICE</stp>
        <stp>[DataSheet2.3.xlsm]JPY_DATA!R14C22</stp>
        <tr r="V14" s="46"/>
      </tp>
      <tp>
        <v>4</v>
        <stp/>
        <stp>##V3_BDPV12</stp>
        <stp>EOBSVC4 ICPL Curncy</stp>
        <stp>LAST_PRICE</stp>
        <stp>[DataSheet2.3.xlsm]EUR_DATA!R29C12</stp>
        <tr r="L29" s="31"/>
      </tp>
      <tp>
        <v>-55</v>
        <stp/>
        <stp>##V3_BDPV12</stp>
        <stp>RRBS1 TRPU Curncy</stp>
        <stp>PX_LAST</stp>
        <stp>[DataSheet2.2.xlsm]RUB_DATA!R7C43</stp>
        <tr r="AQ7" s="4"/>
      </tp>
      <tp>
        <v>12.78</v>
        <stp/>
        <stp>##V3_BDPV12</stp>
        <stp>TYUSSW10 TRPU Curncy</stp>
        <stp>LAST_PRICE</stp>
        <stp>[DataSheet2.2.xlsm]TRY_DATA!R35C51</stp>
        <tr r="AY35" s="10"/>
      </tp>
      <tp>
        <v>-33</v>
        <stp/>
        <stp>##V3_BDPV12</stp>
        <stp>CKEUBS5 ICPL Curncy</stp>
        <stp>LAST_PRICE</stp>
        <stp>[DataSheet2.2.xlsm]CZK_DATA!R12C43</stp>
        <tr r="AQ12" s="14"/>
      </tp>
      <tp>
        <v>15.25</v>
        <stp/>
        <stp>##V3_BDPV12</stp>
        <stp>CKBSV12 ICPL Curncy</stp>
        <stp>LAST_PRICE</stp>
        <stp>[DataSheet2.2.xlsm]CZK_DATA!R25C25</stp>
        <tr r="Y25" s="14"/>
      </tp>
      <tp>
        <v>8.25</v>
        <stp/>
        <stp>##V3_BDPV12</stp>
        <stp>CKBSAV2 ICPL Curncy</stp>
        <stp>LAST_PRICE</stp>
        <stp>[DataSheet2.2.xlsm]CZK_DATA!R10C30</stp>
        <tr r="AD10" s="14"/>
      </tp>
      <tp>
        <v>86</v>
        <stp/>
        <stp>##V3_BDPV12</stp>
        <stp>UDSSUS5 GMGM Curncy</stp>
        <stp>LAST_PRICE</stp>
        <stp>[DataSheet2.2.xlsm]AED_DATA!R11C35</stp>
        <tr r="AI11" s="18"/>
      </tp>
      <tp>
        <v>5.4</v>
        <stp/>
        <stp>##V3_BDPV12</stp>
        <stp>CKBSAV5 ICPL Curncy</stp>
        <stp>LAST_PRICE</stp>
        <stp>[DataSheet2.3.xlsm]GBP_DATA!R13C30</stp>
        <tr r="AD13" s="58"/>
      </tp>
      <tp>
        <v>13.1</v>
        <stp/>
        <stp>##V3_BDPV12</stp>
        <stp>CKBSV15 ICPL Curncy</stp>
        <stp>LAST_PRICE</stp>
        <stp>[DataSheet2.3.xlsm]GBP_DATA!R26C25</stp>
        <tr r="Y26" s="58"/>
      </tp>
      <tp>
        <v>0.40500000000000003</v>
        <stp/>
        <stp>##V3_BDPV12</stp>
        <stp>CKFR0I1 CMPN Curncy</stp>
        <stp>LAST_PRICE</stp>
        <stp>[DataSheet2.3.xlsm]GBP_DATA!R14C25</stp>
        <tr r="Y14" s="58"/>
      </tp>
      <tp>
        <v>17.93</v>
        <stp/>
        <stp>##V3_BDPV12</stp>
        <stp>TYUSSW1 TRPU Curncy</stp>
        <stp>LAST_PRICE</stp>
        <stp>[DataSheet2.2.xlsm]TRY_DATA!R26C51</stp>
        <tr r="AY26" s="10"/>
      </tp>
      <tp>
        <v>4.38</v>
        <stp/>
        <stp>##V3_BDPV12</stp>
        <stp>RRUSSW7 TRPU Curncy</stp>
        <stp>LAST_PRICE</stp>
        <stp>[DataSheet2.2.xlsm]RUB_DATA!R31C51</stp>
        <tr r="AY31" s="4"/>
      </tp>
      <tp>
        <v>0</v>
        <stp/>
        <stp>##V3_BDPV12</stp>
        <stp>JYJSLC2 MTRT Curncy</stp>
        <stp>LAST_PRICE</stp>
        <stp>[DataSheet2.3.xlsm]JPY_DATA!R16C22</stp>
        <tr r="V16" s="46"/>
      </tp>
      <tp>
        <v>5.3</v>
        <stp/>
        <stp>##V3_BDPV12</stp>
        <stp>EOBSVC7 ICPL Curncy</stp>
        <stp>LAST_PRICE</stp>
        <stp>[DataSheet2.3.xlsm]EUR_DATA!R32C12</stp>
        <tr r="L32" s="31"/>
      </tp>
      <tp>
        <v>4.3899999999999997</v>
        <stp/>
        <stp>##V3_BDPV12</stp>
        <stp>RRUSSW15 TRPU Curncy</stp>
        <stp>LAST_PRICE</stp>
        <stp>[DataSheet2.2.xlsm]RUB_DATA!R36C51</stp>
        <tr r="AY36" s="4"/>
      </tp>
      <tp>
        <v>-68</v>
        <stp/>
        <stp>##V3_BDPV12</stp>
        <stp>RRBS2 TRPU Curncy</stp>
        <stp>PX_LAST</stp>
        <stp>[DataSheet2.2.xlsm]RUB_DATA!R8C43</stp>
        <tr r="AQ8" s="4"/>
      </tp>
      <tp>
        <v>-31.5</v>
        <stp/>
        <stp>##V3_BDPV12</stp>
        <stp>CKEUBS6 ICPL Curncy</stp>
        <stp>LAST_PRICE</stp>
        <stp>[DataSheet2.2.xlsm]CZK_DATA!R13C43</stp>
        <tr r="AQ13" s="14"/>
      </tp>
      <tp>
        <v>77.05</v>
        <stp/>
        <stp>##V3_BDPV12</stp>
        <stp>EUR9M Curncy</stp>
        <stp>LAST_PRICE</stp>
        <stp>[DataSheet2.3.xlsm]EUR_DATA!R21C54</stp>
        <tr r="BB21" s="31"/>
      </tp>
      <tp>
        <v>1244</v>
        <stp/>
        <stp>##V3_BDPV12</stp>
        <stp>EUR9Y Curncy</stp>
        <stp>LAST_PRICE</stp>
        <stp>[DataSheet2.3.xlsm]EUR_DATA!R35C54</stp>
        <tr r="BB35" s="31"/>
      </tp>
      <tp>
        <v>7.0000000000000007E-2</v>
        <stp/>
        <stp>##V3_BDPV12</stp>
        <stp>USSO4 CMPN  Curncy</stp>
        <stp>LAST_PRICE</stp>
        <stp>[DataSheet2.3.xlsm]USD_DATA!R21C9</stp>
        <tr r="I21" s="6"/>
      </tp>
      <tp>
        <v>4.1100000000000003</v>
        <stp/>
        <stp>##V3_BDPV12</stp>
        <stp>RRSO2Z BGN Curncy</stp>
        <stp>LAST_PRICE</stp>
        <stp>[DataSheet2.2.xlsm]RUB_DATA!R9C12</stp>
        <tr r="L9" s="4"/>
      </tp>
      <tp>
        <v>10.25</v>
        <stp/>
        <stp>##V3_BDPV12</stp>
        <stp>TYSO2Z BGN Curncy</stp>
        <stp>LAST_PRICE</stp>
        <stp>[DataSheet2.2.xlsm]TRY_DATA!R9C12</stp>
        <tr r="L9" s="10"/>
      </tp>
      <tp>
        <v>10.25</v>
        <stp/>
        <stp>##V3_BDPV12</stp>
        <stp>TYSO1Z BGN Curncy</stp>
        <stp>LAST_PRICE</stp>
        <stp>[DataSheet2.2.xlsm]TRY_DATA!R8C12</stp>
        <tr r="L8" s="10"/>
      </tp>
      <tp>
        <v>76</v>
        <stp/>
        <stp>##V3_BDPV12</stp>
        <stp>UDSSUS4 GMGM Curncy</stp>
        <stp>LAST_PRICE</stp>
        <stp>[DataSheet2.2.xlsm]AED_DATA!R10C35</stp>
        <tr r="AI10" s="18"/>
      </tp>
      <tp>
        <v>6</v>
        <stp/>
        <stp>##V3_BDPV12</stp>
        <stp>CKBSAV4 ICPL Curncy</stp>
        <stp>LAST_PRICE</stp>
        <stp>[DataSheet2.3.xlsm]GBP_DATA!R12C30</stp>
        <tr r="AD12" s="58"/>
      </tp>
      <tp>
        <v>14.25</v>
        <stp/>
        <stp>##V3_BDPV12</stp>
        <stp>CKBSV10 ICPL Curncy</stp>
        <stp>LAST_PRICE</stp>
        <stp>[DataSheet2.3.xlsm]CAD_DATA!R24C25</stp>
        <tr r="Y24" s="48"/>
      </tp>
      <tp>
        <v>12.1</v>
        <stp/>
        <stp>##V3_BDPV12</stp>
        <stp>CKBSV20 ICPL Curncy</stp>
        <stp>LAST_PRICE</stp>
        <stp>[DataSheet2.3.xlsm]CAD_DATA!R27C25</stp>
        <tr r="Y27" s="48"/>
      </tp>
      <tp>
        <v>4.37</v>
        <stp/>
        <stp>##V3_BDPV12</stp>
        <stp>RRUSSW6 TRPU Curncy</stp>
        <stp>LAST_PRICE</stp>
        <stp>[DataSheet2.2.xlsm]RUB_DATA!R30C51</stp>
        <tr r="AY30" s="4"/>
      </tp>
      <tp>
        <v>6.39</v>
        <stp/>
        <stp>##V3_BDPV12</stp>
        <stp>RRSWM20 TRPU Curncy</stp>
        <stp>LAST_PRICE</stp>
        <stp>[DataSheet2.2.xlsm]RUB_DATA!R30C20</stp>
        <tr r="T30" s="4"/>
      </tp>
      <tp>
        <v>6.29</v>
        <stp/>
        <stp>##V3_BDPV12</stp>
        <stp>RRSWM10 TRPU Curncy</stp>
        <stp>LAST_PRICE</stp>
        <stp>[DataSheet2.2.xlsm]RUB_DATA!R27C20</stp>
        <tr r="T27" s="4"/>
      </tp>
      <tp>
        <v>0</v>
        <stp/>
        <stp>##V3_BDPV12</stp>
        <stp>JYJSLC3 MTRT Curncy</stp>
        <stp>LAST_PRICE</stp>
        <stp>[DataSheet2.3.xlsm]JPY_DATA!R17C22</stp>
        <tr r="V17" s="46"/>
      </tp>
      <tp>
        <v>5</v>
        <stp/>
        <stp>##V3_BDPV12</stp>
        <stp>EOBSVC6 ICPL Curncy</stp>
        <stp>LAST_PRICE</stp>
        <stp>[DataSheet2.3.xlsm]EUR_DATA!R31C12</stp>
        <tr r="L31" s="31"/>
      </tp>
      <tp>
        <v>-87</v>
        <stp/>
        <stp>##V3_BDPV12</stp>
        <stp>RRBS3 TRPU Curncy</stp>
        <stp>PX_LAST</stp>
        <stp>[DataSheet2.2.xlsm]RUB_DATA!R9C43</stp>
        <tr r="AQ9" s="4"/>
      </tp>
      <tp t="s">
        <v>#N/A N/A</v>
        <stp/>
        <stp>##V3_BDPV12</stp>
        <stp>TYUSSW12 TRPU Curncy</stp>
        <stp>LAST_PRICE</stp>
        <stp>[DataSheet2.2.xlsm]TRY_DATA!R36C51</stp>
        <tr r="AY36" s="10"/>
      </tp>
      <tp>
        <v>-30.5</v>
        <stp/>
        <stp>##V3_BDPV12</stp>
        <stp>CKEUBS7 ICPL Curncy</stp>
        <stp>LAST_PRICE</stp>
        <stp>[DataSheet2.2.xlsm]CZK_DATA!R14C43</stp>
        <tr r="AQ14" s="14"/>
      </tp>
      <tp>
        <v>14.25</v>
        <stp/>
        <stp>##V3_BDPV12</stp>
        <stp>CKBSV10 ICPL Curncy</stp>
        <stp>LAST_PRICE</stp>
        <stp>[DataSheet2.2.xlsm]CZK_DATA!R24C25</stp>
        <tr r="Y24" s="14"/>
      </tp>
      <tp>
        <v>12.1</v>
        <stp/>
        <stp>##V3_BDPV12</stp>
        <stp>CKBSV20 ICPL Curncy</stp>
        <stp>LAST_PRICE</stp>
        <stp>[DataSheet2.2.xlsm]CZK_DATA!R27C25</stp>
        <tr r="Y27" s="14"/>
      </tp>
      <tp>
        <v>119</v>
        <stp/>
        <stp>##V3_BDPV12</stp>
        <stp>UDSSUS10 GMGM Curncy</stp>
        <stp>LAST_PRICE</stp>
        <stp>[DataSheet2.2.xlsm]AED_DATA!R13C35</stp>
        <tr r="AI13" s="18"/>
      </tp>
      <tp>
        <v>69</v>
        <stp/>
        <stp>##V3_BDPV12</stp>
        <stp>EUR8M Curncy</stp>
        <stp>LAST_PRICE</stp>
        <stp>[DataSheet2.3.xlsm]EUR_DATA!R20C54</stp>
        <tr r="BB20" s="31"/>
      </tp>
      <tp>
        <v>1074</v>
        <stp/>
        <stp>##V3_BDPV12</stp>
        <stp>EUR8Y Curncy</stp>
        <stp>LAST_PRICE</stp>
        <stp>[DataSheet2.3.xlsm]EUR_DATA!R34C54</stp>
        <tr r="BB34" s="31"/>
      </tp>
      <tp>
        <v>0.27100000000000002</v>
        <stp/>
        <stp>##V3_BDPV12</stp>
        <stp>USSO7 CMPN  Curncy</stp>
        <stp>LAST_PRICE</stp>
        <stp>[DataSheet2.3.xlsm]USD_DATA!R23C9</stp>
        <tr r="I23" s="6"/>
      </tp>
      <tp>
        <v>1.94</v>
        <stp/>
        <stp>##V3_BDPV12</stp>
        <stp>USDHUF1W BGN Curncy</stp>
        <stp>ASK</stp>
        <stp>[DataSheet2.2.xlsm]HUF_DATA!R10C50</stp>
        <tr r="AX10" s="15"/>
      </tp>
      <tp>
        <v>3.59</v>
        <stp/>
        <stp>##V3_BDPV12</stp>
        <stp>USDHUF2W BGN Curncy</stp>
        <stp>ASK</stp>
        <stp>[DataSheet2.2.xlsm]HUF_DATA!R11C50</stp>
        <tr r="AX11" s="15"/>
      </tp>
      <tp>
        <v>1.78</v>
        <stp/>
        <stp>##V3_BDPV12</stp>
        <stp>USDHUF2W BGN Curncy</stp>
        <stp>BID</stp>
        <stp>[DataSheet2.2.xlsm]HUF_DATA!R11C49</stp>
        <tr r="AW11" s="15"/>
      </tp>
      <tp>
        <v>0.09</v>
        <stp/>
        <stp>##V3_BDPV12</stp>
        <stp>USDHUF1W BGN Curncy</stp>
        <stp>BID</stp>
        <stp>[DataSheet2.2.xlsm]HUF_DATA!R10C49</stp>
        <tr r="AW10" s="15"/>
      </tp>
      <tp>
        <v>6.95</v>
        <stp/>
        <stp>##V3_BDPV12</stp>
        <stp>CKBSAV3 ICPL Curncy</stp>
        <stp>LAST_PRICE</stp>
        <stp>[DataSheet2.3.xlsm]GBP_DATA!R11C30</stp>
        <tr r="AD11" s="58"/>
      </tp>
      <tp>
        <v>4.75</v>
        <stp/>
        <stp>##V3_BDPV12</stp>
        <stp>CKBSAV7 ICPL Curncy</stp>
        <stp>LAST_PRICE</stp>
        <stp>[DataSheet2.3.xlsm]CAD_DATA!R15C30</stp>
        <tr r="AD15" s="48"/>
      </tp>
      <tp>
        <v>284</v>
        <stp/>
        <stp>##V3_BDPV12</stp>
        <stp>TYBS2 ICPL Curncy</stp>
        <stp>PX_LAST</stp>
        <stp>[DataSheet2.2.xlsm]TRY_DATA!R8C43</stp>
        <tr r="AQ8" s="10"/>
      </tp>
      <tp>
        <v>13.57</v>
        <stp/>
        <stp>##V3_BDPV12</stp>
        <stp>TYUSSW7 TRPU Curncy</stp>
        <stp>LAST_PRICE</stp>
        <stp>[DataSheet2.2.xlsm]TRY_DATA!R32C51</stp>
        <tr r="AY32" s="10"/>
      </tp>
      <tp>
        <v>4.28</v>
        <stp/>
        <stp>##V3_BDPV12</stp>
        <stp>RRUSSW1 TRPU Curncy</stp>
        <stp>LAST_PRICE</stp>
        <stp>[DataSheet2.2.xlsm]RUB_DATA!R25C51</stp>
        <tr r="AY25" s="4"/>
      </tp>
      <tp>
        <v>-0.04</v>
        <stp/>
        <stp>##V3_BDPV12</stp>
        <stp>JYFR2/8 MTRT Curncy</stp>
        <stp>LAST_PRICE</stp>
        <stp>[DataSheet2.3.xlsm]JPY_DATA!R11C22</stp>
        <tr r="V11" s="46"/>
      </tp>
      <tp>
        <v>0</v>
        <stp/>
        <stp>##V3_BDPV12</stp>
        <stp>JYJSLC4 MTRT Curncy</stp>
        <stp>LAST_PRICE</stp>
        <stp>[DataSheet2.3.xlsm]JPY_DATA!R18C22</stp>
        <tr r="V18" s="46"/>
      </tp>
      <tp>
        <v>-0.04</v>
        <stp/>
        <stp>##V3_BDPV12</stp>
        <stp>JYFR2/8 MTRT Curncy</stp>
        <stp>LAST_PRICE</stp>
        <stp>[DataSheet2.3.xlsm]JPY_DATA!R12C32</stp>
        <tr r="AF12" s="46"/>
      </tp>
      <tp>
        <v>1</v>
        <stp/>
        <stp>##V3_BDPV12</stp>
        <stp>EOBSVC1 ICPL Curncy</stp>
        <stp>LAST_PRICE</stp>
        <stp>[DataSheet2.3.xlsm]EUR_DATA!R26C12</stp>
        <tr r="L26" s="31"/>
      </tp>
      <tp t="s">
        <v>#N/A N/A</v>
        <stp/>
        <stp>##V3_BDPV12</stp>
        <stp>TYUSSW15 TRPU Curncy</stp>
        <stp>LAST_PRICE</stp>
        <stp>[DataSheet2.2.xlsm]TRY_DATA!R37C51</stp>
        <tr r="AY37" s="10"/>
      </tp>
      <tp>
        <v>4.75</v>
        <stp/>
        <stp>##V3_BDPV12</stp>
        <stp>CKBSAV7 ICPL Curncy</stp>
        <stp>LAST_PRICE</stp>
        <stp>[DataSheet2.2.xlsm]CZK_DATA!R15C30</stp>
        <tr r="AD15" s="14"/>
      </tp>
      <tp>
        <v>3.91</v>
        <stp/>
        <stp>##V3_BDPV12</stp>
        <stp>SAFR1F1I ICPL Curncy</stp>
        <stp>ASK</stp>
        <stp>[DataSheet2.2.xlsm]ZAR_DATA!R18C19</stp>
        <tr r="S18" s="8"/>
      </tp>
      <tp>
        <v>3.85</v>
        <stp/>
        <stp>##V3_BDPV12</stp>
        <stp>SAFR1F1I ICPL Curncy</stp>
        <stp>BID</stp>
        <stp>[DataSheet2.2.xlsm]ZAR_DATA!R18C18</stp>
        <tr r="R18" s="8"/>
      </tp>
      <tp>
        <v>3.76</v>
        <stp/>
        <stp>##V3_BDPV12</stp>
        <stp>SAFR1C1F ICPL Curncy</stp>
        <stp>ASK</stp>
        <stp>[DataSheet2.2.xlsm]ZAR_DATA!R17C19</stp>
        <tr r="S17" s="8"/>
      </tp>
      <tp>
        <v>3.7</v>
        <stp/>
        <stp>##V3_BDPV12</stp>
        <stp>SAFR1C1F ICPL Curncy</stp>
        <stp>BID</stp>
        <stp>[DataSheet2.2.xlsm]ZAR_DATA!R17C18</stp>
        <tr r="R17" s="8"/>
      </tp>
      <tp>
        <v>16.775500000000001</v>
        <stp/>
        <stp>##V3_BDPV12</stp>
        <stp>USDZAR Curncy</stp>
        <stp>LAST_PRICE</stp>
        <stp>[DataSheet2.3.xlsm]FX!R2C22</stp>
        <tr r="V2" s="20"/>
      </tp>
      <tp>
        <v>73.55</v>
        <stp/>
        <stp>##V3_BDPV12</stp>
        <stp>USDINR Curncy</stp>
        <stp>LAST_PRICE</stp>
        <stp>[DataSheet2.3.xlsm]FX!R2C24</stp>
        <tr r="X2" s="20"/>
      </tp>
      <tp>
        <v>3.7509000000000001</v>
        <stp/>
        <stp>##V3_BDPV12</stp>
        <stp>USDSAR Curncy</stp>
        <stp>LAST_PRICE</stp>
        <stp>[DataSheet2.3.xlsm]FX!R2C19</stp>
        <tr r="S2" s="20"/>
      </tp>
      <tp>
        <v>3.9E-2</v>
        <stp/>
        <stp>##V3_BDPV12</stp>
        <stp>USSO3 CMPN  Curncy</stp>
        <stp>LAST_PRICE</stp>
        <stp>[DataSheet2.3.xlsm]USD_DATA!R20C9</stp>
        <tr r="I20" s="6"/>
      </tp>
      <tp>
        <v>9.25</v>
        <stp/>
        <stp>##V3_BDPV12</stp>
        <stp>HFEBS2 ICPL Curncy</stp>
        <stp>PX_LAST</stp>
        <stp>[DataSheet2.2.xlsm]HUF_DATA!R8C43</stp>
        <tr r="AQ8" s="15"/>
      </tp>
      <tp>
        <v>3.51</v>
        <stp/>
        <stp>##V3_BDPV12</stp>
        <stp>SAFR011C ICPL Curncy</stp>
        <stp>BID</stp>
        <stp>[DataSheet2.2.xlsm]ZAR_DATA!R16C18</stp>
        <tr r="R16" s="8"/>
      </tp>
      <tp>
        <v>3.57</v>
        <stp/>
        <stp>##V3_BDPV12</stp>
        <stp>SAFR011C ICPL Curncy</stp>
        <stp>ASK</stp>
        <stp>[DataSheet2.2.xlsm]ZAR_DATA!R16C19</stp>
        <tr r="S16" s="8"/>
      </tp>
      <tp>
        <v>-0.17</v>
        <stp/>
        <stp>##V3_BDPV12</stp>
        <stp>CAD1W BGN Curncy</stp>
        <stp>PX_LAST</stp>
        <stp>[DataSheet2.3.xlsm]GBP_DATA!R10C51</stp>
        <tr r="AY10" s="58"/>
      </tp>
      <tp>
        <v>-0.4</v>
        <stp/>
        <stp>##V3_BDPV12</stp>
        <stp>CAD2W BGN Curncy</stp>
        <stp>PX_LAST</stp>
        <stp>[DataSheet2.3.xlsm]GBP_DATA!R11C51</stp>
        <tr r="AY11" s="58"/>
      </tp>
      <tp>
        <v>2.4</v>
        <stp/>
        <stp>##V3_BDPV12</stp>
        <stp>PZBSAV10 ICPL Curncy</stp>
        <stp>LAST_PRICE</stp>
        <stp>[DataSheet2.2.xlsm]PLN_DATA!R16C30</stp>
        <tr r="AD16" s="12"/>
      </tp>
      <tp>
        <v>8.25</v>
        <stp/>
        <stp>##V3_BDPV12</stp>
        <stp>CKBSAV2 ICPL Curncy</stp>
        <stp>LAST_PRICE</stp>
        <stp>[DataSheet2.3.xlsm]GBP_DATA!R10C30</stp>
        <tr r="AD10" s="58"/>
      </tp>
      <tp>
        <v>15.25</v>
        <stp/>
        <stp>##V3_BDPV12</stp>
        <stp>CKBSV12 ICPL Curncy</stp>
        <stp>LAST_PRICE</stp>
        <stp>[DataSheet2.3.xlsm]GBP_DATA!R25C25</stp>
        <tr r="Y25" s="58"/>
      </tp>
      <tp>
        <v>5</v>
        <stp/>
        <stp>##V3_BDPV12</stp>
        <stp>CKBSAV6 ICPL Curncy</stp>
        <stp>LAST_PRICE</stp>
        <stp>[DataSheet2.3.xlsm]CAD_DATA!R14C30</stp>
        <tr r="AD14" s="48"/>
      </tp>
      <tp>
        <v>28</v>
        <stp/>
        <stp>##V3_BDPV12</stp>
        <stp>PZBSEC10 ICPL Curncy</stp>
        <stp>LAST_PRICE</stp>
        <stp>[DataSheet2.2.xlsm]PLN_DATA!R16C43</stp>
        <tr r="AQ16" s="12"/>
      </tp>
      <tp>
        <v>33</v>
        <stp/>
        <stp>##V3_BDPV12</stp>
        <stp>PZBSEC20 ICPL Curncy</stp>
        <stp>LAST_PRICE</stp>
        <stp>[DataSheet2.2.xlsm]PLN_DATA!R19C43</stp>
        <tr r="AQ19" s="12"/>
      </tp>
      <tp>
        <v>232</v>
        <stp/>
        <stp>##V3_BDPV12</stp>
        <stp>TYBS3 ICPL Curncy</stp>
        <stp>PX_LAST</stp>
        <stp>[DataSheet2.2.xlsm]TRY_DATA!R9C43</stp>
        <tr r="AQ9" s="10"/>
      </tp>
      <tp>
        <v>13.97</v>
        <stp/>
        <stp>##V3_BDPV12</stp>
        <stp>TYUSSW6 TRPU Curncy</stp>
        <stp>LAST_PRICE</stp>
        <stp>[DataSheet2.2.xlsm]TRY_DATA!R31C51</stp>
        <tr r="AY31" s="10"/>
      </tp>
      <tp>
        <v>-3.875E-2</v>
        <stp/>
        <stp>##V3_BDPV12</stp>
        <stp>JYFR3/9 MTRT Curncy</stp>
        <stp>LAST_PRICE</stp>
        <stp>[DataSheet2.3.xlsm]JPY_DATA!R12C22</stp>
        <tr r="V12" s="46"/>
      </tp>
      <tp>
        <v>0</v>
        <stp/>
        <stp>##V3_BDPV12</stp>
        <stp>JYJSLC5 MTRT Curncy</stp>
        <stp>LAST_PRICE</stp>
        <stp>[DataSheet2.3.xlsm]JPY_DATA!R19C22</stp>
        <tr r="V19" s="46"/>
      </tp>
      <tp>
        <v>-3.875E-2</v>
        <stp/>
        <stp>##V3_BDPV12</stp>
        <stp>JYFR3/9 MTRT Curncy</stp>
        <stp>LAST_PRICE</stp>
        <stp>[DataSheet2.3.xlsm]JPY_DATA!R13C32</stp>
        <tr r="AF13" s="46"/>
      </tp>
      <tp>
        <v>4.4000000000000004</v>
        <stp/>
        <stp>##V3_BDPV12</stp>
        <stp>RRUSSW12 TRPU Curncy</stp>
        <stp>LAST_PRICE</stp>
        <stp>[DataSheet2.2.xlsm]RUB_DATA!R35C51</stp>
        <tr r="AY35" s="4"/>
      </tp>
      <tp>
        <v>5</v>
        <stp/>
        <stp>##V3_BDPV12</stp>
        <stp>CKBSAV6 ICPL Curncy</stp>
        <stp>LAST_PRICE</stp>
        <stp>[DataSheet2.2.xlsm]CZK_DATA!R14C30</stp>
        <tr r="AD14" s="14"/>
      </tp>
      <tp>
        <v>3.4068999999999998</v>
        <stp/>
        <stp>##V3_BDPV12</stp>
        <stp>USDILS Curncy</stp>
        <stp>LAST_PRICE</stp>
        <stp>[DataSheet2.3.xlsm]FX!R2C17</stp>
        <tr r="Q2" s="20"/>
      </tp>
      <tp>
        <v>9.5</v>
        <stp/>
        <stp>##V3_BDPV12</stp>
        <stp>HFEBS3 ICPL Curncy</stp>
        <stp>PX_LAST</stp>
        <stp>[DataSheet2.2.xlsm]HUF_DATA!R9C43</stp>
        <tr r="AQ9" s="15"/>
      </tp>
      <tp>
        <v>0.40500000000000003</v>
        <stp/>
        <stp>##V3_BDPV12</stp>
        <stp>CKFR0I1 CMPN Curncy</stp>
        <stp>LAST_PRICE</stp>
        <stp>[DataSheet2.3.xlsm]CAD_DATA!R14C25</stp>
        <tr r="Y14" s="48"/>
      </tp>
      <tp>
        <v>13.1</v>
        <stp/>
        <stp>##V3_BDPV12</stp>
        <stp>CKBSV15 ICPL Curncy</stp>
        <stp>LAST_PRICE</stp>
        <stp>[DataSheet2.3.xlsm]CAD_DATA!R26C25</stp>
        <tr r="Y26" s="48"/>
      </tp>
      <tp>
        <v>5.4</v>
        <stp/>
        <stp>##V3_BDPV12</stp>
        <stp>CKBSAV5 ICPL Curncy</stp>
        <stp>LAST_PRICE</stp>
        <stp>[DataSheet2.3.xlsm]CAD_DATA!R13C30</stp>
        <tr r="AD13" s="48"/>
      </tp>
      <tp>
        <v>14.48</v>
        <stp/>
        <stp>##V3_BDPV12</stp>
        <stp>TYUSSW5 TRPU Curncy</stp>
        <stp>LAST_PRICE</stp>
        <stp>[DataSheet2.2.xlsm]TRY_DATA!R30C51</stp>
        <tr r="AY30" s="10"/>
      </tp>
      <tp>
        <v>4.34</v>
        <stp/>
        <stp>##V3_BDPV12</stp>
        <stp>RRUSSW3 TRPU Curncy</stp>
        <stp>LAST_PRICE</stp>
        <stp>[DataSheet2.2.xlsm]RUB_DATA!R27C51</stp>
        <tr r="AY27" s="4"/>
      </tp>
      <tp>
        <v>6.54</v>
        <stp/>
        <stp>##V3_BDPV12</stp>
        <stp>RRSWM15 TRPU Curncy</stp>
        <stp>LAST_PRICE</stp>
        <stp>[DataSheet2.2.xlsm]RUB_DATA!R29C20</stp>
        <tr r="T29" s="4"/>
      </tp>
      <tp>
        <v>0</v>
        <stp/>
        <stp>##V3_BDPV12</stp>
        <stp>JYJSLC6 MTRT Curncy</stp>
        <stp>LAST_PRICE</stp>
        <stp>[DataSheet2.3.xlsm]JPY_DATA!R20C22</stp>
        <tr r="V20" s="46"/>
      </tp>
      <tp>
        <v>12.95</v>
        <stp/>
        <stp>##V3_BDPV12</stp>
        <stp>TYSW1V3 ICPL Curncy</stp>
        <stp>LAST_PRICE</stp>
        <stp>[DataSheet2.2.xlsm]TRY_DATA!R11C20</stp>
        <tr r="T11" s="10"/>
      </tp>
      <tp>
        <v>13.46</v>
        <stp/>
        <stp>##V3_BDPV12</stp>
        <stp>TYSW3V3 ICPL Curncy</stp>
        <stp>LAST_PRICE</stp>
        <stp>[DataSheet2.2.xlsm]TRY_DATA!R13C20</stp>
        <tr r="T13" s="10"/>
      </tp>
      <tp>
        <v>13.93</v>
        <stp/>
        <stp>##V3_BDPV12</stp>
        <stp>TYSW2V3 ICPL Curncy</stp>
        <stp>LAST_PRICE</stp>
        <stp>[DataSheet2.2.xlsm]TRY_DATA!R12C20</stp>
        <tr r="T12" s="10"/>
      </tp>
      <tp>
        <v>12.99</v>
        <stp/>
        <stp>##V3_BDPV12</stp>
        <stp>TYSW5V3 ICPL Curncy</stp>
        <stp>LAST_PRICE</stp>
        <stp>[DataSheet2.2.xlsm]TRY_DATA!R15C20</stp>
        <tr r="T15" s="10"/>
      </tp>
      <tp>
        <v>13.39</v>
        <stp/>
        <stp>##V3_BDPV12</stp>
        <stp>TYSW4V3 ICPL Curncy</stp>
        <stp>LAST_PRICE</stp>
        <stp>[DataSheet2.2.xlsm]TRY_DATA!R14C20</stp>
        <tr r="T14" s="10"/>
      </tp>
      <tp>
        <v>12.68</v>
        <stp/>
        <stp>##V3_BDPV12</stp>
        <stp>TYSW7V3 ICPL Curncy</stp>
        <stp>LAST_PRICE</stp>
        <stp>[DataSheet2.2.xlsm]TRY_DATA!R17C20</stp>
        <tr r="T17" s="10"/>
      </tp>
      <tp>
        <v>13.07</v>
        <stp/>
        <stp>##V3_BDPV12</stp>
        <stp>TYSW6V3 ICPL Curncy</stp>
        <stp>LAST_PRICE</stp>
        <stp>[DataSheet2.2.xlsm]TRY_DATA!R16C20</stp>
        <tr r="T16" s="10"/>
      </tp>
      <tp>
        <v>12.25</v>
        <stp/>
        <stp>##V3_BDPV12</stp>
        <stp>TYSW9V3 ICPL Curncy</stp>
        <stp>LAST_PRICE</stp>
        <stp>[DataSheet2.2.xlsm]TRY_DATA!R19C20</stp>
        <tr r="T19" s="10"/>
      </tp>
      <tp>
        <v>12.5</v>
        <stp/>
        <stp>##V3_BDPV12</stp>
        <stp>TYSW8V3 ICPL Curncy</stp>
        <stp>LAST_PRICE</stp>
        <stp>[DataSheet2.2.xlsm]TRY_DATA!R18C20</stp>
        <tr r="T18" s="10"/>
      </tp>
      <tp>
        <v>3.2</v>
        <stp/>
        <stp>##V3_BDPV12</stp>
        <stp>EOBSVC3 ICPL Curncy</stp>
        <stp>LAST_PRICE</stp>
        <stp>[DataSheet2.3.xlsm]EUR_DATA!R28C12</stp>
        <tr r="L28" s="31"/>
      </tp>
      <tp>
        <v>13.1</v>
        <stp/>
        <stp>##V3_BDPV12</stp>
        <stp>CKBSV15 ICPL Curncy</stp>
        <stp>LAST_PRICE</stp>
        <stp>[DataSheet2.2.xlsm]CZK_DATA!R26C25</stp>
        <tr r="Y26" s="14"/>
      </tp>
      <tp>
        <v>5.4</v>
        <stp/>
        <stp>##V3_BDPV12</stp>
        <stp>CKBSAV5 ICPL Curncy</stp>
        <stp>LAST_PRICE</stp>
        <stp>[DataSheet2.2.xlsm]CZK_DATA!R13C30</stp>
        <tr r="AD13" s="14"/>
      </tp>
      <tp>
        <v>0.40500000000000003</v>
        <stp/>
        <stp>##V3_BDPV12</stp>
        <stp>CKFR0I1 CMPN Curncy</stp>
        <stp>LAST_PRICE</stp>
        <stp>[DataSheet2.2.xlsm]CZK_DATA!R14C25</stp>
        <tr r="Y14" s="14"/>
      </tp>
      <tp>
        <v>0.40500000000000003</v>
        <stp/>
        <stp>##V3_BDPV12</stp>
        <stp>CKFR0F1 CMPN Curncy</stp>
        <stp>LAST_PRICE</stp>
        <stp>[DataSheet2.2.xlsm]CZK_DATA!R16C20</stp>
        <tr r="T16" s="14"/>
      </tp>
      <tp>
        <v>12.2</v>
        <stp/>
        <stp>##V3_BDPV12</stp>
        <stp>TYSW10V3 ICPL Curncy</stp>
        <stp>LAST_PRICE</stp>
        <stp>[DataSheet2.2.xlsm]TRY_DATA!R20C20</stp>
        <tr r="T20" s="10"/>
      </tp>
      <tp>
        <v>2.6150000000000002</v>
        <stp/>
        <stp>##V3_BDPV12</stp>
        <stp>EURNSW10 CCMK Curncy</stp>
        <stp>LAST_PRICE</stp>
        <stp>[DataSheet2.2.xlsm]RON_DATA!R30C51</stp>
        <tr r="AY30" s="16"/>
      </tp>
      <tp>
        <v>14.25</v>
        <stp/>
        <stp>##V3_BDPV12</stp>
        <stp>CKBSV10 ICPL Curncy</stp>
        <stp>LAST_PRICE</stp>
        <stp>[DataSheet2.3.xlsm]GBP_DATA!R24C25</stp>
        <tr r="Y24" s="58"/>
      </tp>
      <tp>
        <v>12.1</v>
        <stp/>
        <stp>##V3_BDPV12</stp>
        <stp>CKBSV20 ICPL Curncy</stp>
        <stp>LAST_PRICE</stp>
        <stp>[DataSheet2.3.xlsm]GBP_DATA!R27C25</stp>
        <tr r="Y27" s="58"/>
      </tp>
      <tp>
        <v>6</v>
        <stp/>
        <stp>##V3_BDPV12</stp>
        <stp>CKBSAV4 ICPL Curncy</stp>
        <stp>LAST_PRICE</stp>
        <stp>[DataSheet2.3.xlsm]CAD_DATA!R12C30</stp>
        <tr r="AD12" s="48"/>
      </tp>
      <tp>
        <v>29.75</v>
        <stp/>
        <stp>##V3_BDPV12</stp>
        <stp>PZBSEC12 ICPL Curncy</stp>
        <stp>LAST_PRICE</stp>
        <stp>[DataSheet2.2.xlsm]PLN_DATA!R17C43</stp>
        <tr r="AQ17" s="12"/>
      </tp>
      <tp>
        <v>469</v>
        <stp/>
        <stp>##V3_BDPV12</stp>
        <stp>TYBS1 ICPL Curncy</stp>
        <stp>PX_LAST</stp>
        <stp>[DataSheet2.2.xlsm]TRY_DATA!R7C43</stp>
        <tr r="AQ7" s="10"/>
      </tp>
      <tp>
        <v>15.09</v>
        <stp/>
        <stp>##V3_BDPV12</stp>
        <stp>TYUSSW4 TRPU Curncy</stp>
        <stp>LAST_PRICE</stp>
        <stp>[DataSheet2.2.xlsm]TRY_DATA!R29C51</stp>
        <tr r="AY29" s="10"/>
      </tp>
      <tp>
        <v>4.33</v>
        <stp/>
        <stp>##V3_BDPV12</stp>
        <stp>RRUSSW2 TRPU Curncy</stp>
        <stp>LAST_PRICE</stp>
        <stp>[DataSheet2.2.xlsm]RUB_DATA!R26C51</stp>
        <tr r="AY26" s="4"/>
      </tp>
      <tp>
        <v>0</v>
        <stp/>
        <stp>##V3_BDPV12</stp>
        <stp>JYJSLC7 MTRT Curncy</stp>
        <stp>LAST_PRICE</stp>
        <stp>[DataSheet2.3.xlsm]JPY_DATA!R21C22</stp>
        <tr r="V21" s="46"/>
      </tp>
      <tp>
        <v>2.2000000000000002</v>
        <stp/>
        <stp>##V3_BDPV12</stp>
        <stp>EOBSVC2 ICPL Curncy</stp>
        <stp>LAST_PRICE</stp>
        <stp>[DataSheet2.3.xlsm]EUR_DATA!R27C12</stp>
        <tr r="L27" s="31"/>
      </tp>
      <tp>
        <v>4.41</v>
        <stp/>
        <stp>##V3_BDPV12</stp>
        <stp>RRUSSW10 TRPU Curncy</stp>
        <stp>LAST_PRICE</stp>
        <stp>[DataSheet2.2.xlsm]RUB_DATA!R34C51</stp>
        <tr r="AY34" s="4"/>
      </tp>
      <tp>
        <v>-36</v>
        <stp/>
        <stp>##V3_BDPV12</stp>
        <stp>CKEUBS3 ICPL Curncy</stp>
        <stp>LAST_PRICE</stp>
        <stp>[DataSheet2.2.xlsm]CZK_DATA!R10C43</stp>
        <tr r="AQ10" s="14"/>
      </tp>
      <tp>
        <v>6</v>
        <stp/>
        <stp>##V3_BDPV12</stp>
        <stp>CKBSAV4 ICPL Curncy</stp>
        <stp>LAST_PRICE</stp>
        <stp>[DataSheet2.2.xlsm]CZK_DATA!R12C30</stp>
        <tr r="AD12" s="14"/>
      </tp>
      <tp>
        <v>1.66</v>
        <stp/>
        <stp>##V3_BDPV12</stp>
        <stp>EUR1W Curncy</stp>
        <stp>BID</stp>
        <stp>[DataSheet2.3.xlsm]EUR_DATA!R10C52</stp>
        <tr r="AZ10" s="31"/>
      </tp>
      <tp>
        <v>5.95</v>
        <stp/>
        <stp>##V3_BDPV12</stp>
        <stp>EUR3W Curncy</stp>
        <stp>BID</stp>
        <stp>[DataSheet2.3.xlsm]EUR_DATA!R12C52</stp>
        <tr r="AZ12" s="31"/>
      </tp>
      <tp>
        <v>3.4</v>
        <stp/>
        <stp>##V3_BDPV12</stp>
        <stp>EUR2W Curncy</stp>
        <stp>BID</stp>
        <stp>[DataSheet2.3.xlsm]EUR_DATA!R11C52</stp>
        <tr r="AZ11" s="31"/>
      </tp>
      <tp>
        <v>3.49</v>
        <stp/>
        <stp>##V3_BDPV12</stp>
        <stp>EUR2W Curncy</stp>
        <stp>ASK</stp>
        <stp>[DataSheet2.3.xlsm]EUR_DATA!R11C53</stp>
        <tr r="BA11" s="31"/>
      </tp>
      <tp>
        <v>1.75</v>
        <stp/>
        <stp>##V3_BDPV12</stp>
        <stp>EUR1W Curncy</stp>
        <stp>ASK</stp>
        <stp>[DataSheet2.3.xlsm]EUR_DATA!R10C53</stp>
        <tr r="BA10" s="31"/>
      </tp>
      <tp>
        <v>6.05</v>
        <stp/>
        <stp>##V3_BDPV12</stp>
        <stp>EUR3W Curncy</stp>
        <stp>ASK</stp>
        <stp>[DataSheet2.3.xlsm]EUR_DATA!R12C53</stp>
        <tr r="BA12" s="31"/>
      </tp>
      <tp>
        <v>9</v>
        <stp/>
        <stp>##V3_BDPV12</stp>
        <stp>HFEBS1 ICPL Curncy</stp>
        <stp>PX_LAST</stp>
        <stp>[DataSheet2.2.xlsm]HUF_DATA!R7C43</stp>
        <tr r="AQ7" s="15"/>
      </tp>
      <tp>
        <v>18.5</v>
        <stp/>
        <stp>##V3_BDPV12</stp>
        <stp>ZARON GFSN Curncy</stp>
        <stp>LAST_PRICE</stp>
        <stp>[DataSheet2.2.xlsm]ZAR_DATA!R8C56</stp>
        <tr r="BD8" s="8"/>
      </tp>
      <tp>
        <v>9175.4</v>
        <stp/>
        <stp>##V3_BDPV12</stp>
        <stp>ZAR18M GFSN Curncy</stp>
        <stp>BID</stp>
        <stp>[DataSheet2.2.xlsm]ZAR_DATA!R25C54</stp>
        <tr r="BB25" s="8"/>
      </tp>
      <tp>
        <v>6022</v>
        <stp/>
        <stp>##V3_BDPV12</stp>
        <stp>ZAR12M GFSN Curncy</stp>
        <stp>BID</stp>
        <stp>[DataSheet2.2.xlsm]ZAR_DATA!R23C54</stp>
        <tr r="BB23" s="8"/>
      </tp>
      <tp>
        <v>5531.6</v>
        <stp/>
        <stp>##V3_BDPV12</stp>
        <stp>ZAR11M GFSN Curncy</stp>
        <stp>BID</stp>
        <stp>[DataSheet2.2.xlsm]ZAR_DATA!R22C54</stp>
        <tr r="BB22" s="8"/>
      </tp>
      <tp>
        <v>5045.2</v>
        <stp/>
        <stp>##V3_BDPV12</stp>
        <stp>ZAR10M GFSN Curncy</stp>
        <stp>BID</stp>
        <stp>[DataSheet2.2.xlsm]ZAR_DATA!R21C54</stp>
        <tr r="BB21" s="8"/>
      </tp>
      <tp t="s">
        <v>#N/A N/A</v>
        <stp/>
        <stp>##V3_BDPV12</stp>
        <stp>ZAR15M GFSN Curncy</stp>
        <stp>BID</stp>
        <stp>[DataSheet2.2.xlsm]ZAR_DATA!R24C54</stp>
        <tr r="BB24" s="8"/>
      </tp>
      <tp t="s">
        <v>#N/A N/A</v>
        <stp/>
        <stp>##V3_BDPV12</stp>
        <stp>ZAR21M GFSN Curncy</stp>
        <stp>ASK</stp>
        <stp>[DataSheet2.2.xlsm]ZAR_DATA!R26C55</stp>
        <tr r="BC26" s="8"/>
      </tp>
      <tp t="s">
        <v>#N/A N/A</v>
        <stp/>
        <stp>##V3_BDPV12</stp>
        <stp>ZAR21M GFSN Curncy</stp>
        <stp>BID</stp>
        <stp>[DataSheet2.2.xlsm]ZAR_DATA!R26C54</stp>
        <tr r="BB26" s="8"/>
      </tp>
      <tp>
        <v>5176.1000000000004</v>
        <stp/>
        <stp>##V3_BDPV12</stp>
        <stp>ZAR10M GFSN Curncy</stp>
        <stp>ASK</stp>
        <stp>[DataSheet2.2.xlsm]ZAR_DATA!R21C55</stp>
        <tr r="BC21" s="8"/>
      </tp>
      <tp>
        <v>5666.2</v>
        <stp/>
        <stp>##V3_BDPV12</stp>
        <stp>ZAR11M GFSN Curncy</stp>
        <stp>ASK</stp>
        <stp>[DataSheet2.2.xlsm]ZAR_DATA!R22C55</stp>
        <tr r="BC22" s="8"/>
      </tp>
      <tp>
        <v>6105</v>
        <stp/>
        <stp>##V3_BDPV12</stp>
        <stp>ZAR12M GFSN Curncy</stp>
        <stp>ASK</stp>
        <stp>[DataSheet2.2.xlsm]ZAR_DATA!R23C55</stp>
        <tr r="BC23" s="8"/>
      </tp>
      <tp t="s">
        <v>#N/A N/A</v>
        <stp/>
        <stp>##V3_BDPV12</stp>
        <stp>ZAR15M GFSN Curncy</stp>
        <stp>ASK</stp>
        <stp>[DataSheet2.2.xlsm]ZAR_DATA!R24C55</stp>
        <tr r="BC24" s="8"/>
      </tp>
      <tp>
        <v>9734.1</v>
        <stp/>
        <stp>##V3_BDPV12</stp>
        <stp>ZAR18M GFSN Curncy</stp>
        <stp>ASK</stp>
        <stp>[DataSheet2.2.xlsm]ZAR_DATA!R25C55</stp>
        <tr r="BC25" s="8"/>
      </tp>
      <tp>
        <v>6.0999999999999999E-2</v>
        <stp/>
        <stp>##V3_BDPV12</stp>
        <stp>USSOI CMPN Curncy</stp>
        <stp>LAST_PRICE</stp>
        <stp>[DataSheet2.3.xlsm]USD_DATA!R17C9</stp>
        <tr r="I17" s="6"/>
      </tp>
      <tp>
        <v>-59.43</v>
        <stp/>
        <stp>##V3_BDPV12</stp>
        <stp>CZK18M CMPN Curncy</stp>
        <stp>ASK</stp>
        <stp>[DataSheet2.2.xlsm]CZK_DATA!R25C50</stp>
        <tr r="AX25" s="14"/>
      </tp>
      <tp>
        <v>-62.7</v>
        <stp/>
        <stp>##V3_BDPV12</stp>
        <stp>CZK12M CMPN Curncy</stp>
        <stp>ASK</stp>
        <stp>[DataSheet2.2.xlsm]CZK_DATA!R24C50</stp>
        <tr r="AX24" s="14"/>
      </tp>
      <tp>
        <v>-47.76</v>
        <stp/>
        <stp>##V3_BDPV12</stp>
        <stp>CZK10M CMPN Curncy</stp>
        <stp>ASK</stp>
        <stp>[DataSheet2.2.xlsm]CZK_DATA!R22C50</stp>
        <tr r="AX22" s="14"/>
      </tp>
      <tp>
        <v>-85.54</v>
        <stp/>
        <stp>##V3_BDPV12</stp>
        <stp>CZK11M CMPN Curncy</stp>
        <stp>ASK</stp>
        <stp>[DataSheet2.2.xlsm]CZK_DATA!R23C50</stp>
        <tr r="AX23" s="14"/>
      </tp>
      <tp>
        <v>-139.43</v>
        <stp/>
        <stp>##V3_BDPV12</stp>
        <stp>CZK18M CMPN Curncy</stp>
        <stp>BID</stp>
        <stp>[DataSheet2.2.xlsm]CZK_DATA!R25C49</stp>
        <tr r="AW25" s="14"/>
      </tp>
      <tp>
        <v>-105.54</v>
        <stp/>
        <stp>##V3_BDPV12</stp>
        <stp>CZK11M CMPN Curncy</stp>
        <stp>BID</stp>
        <stp>[DataSheet2.2.xlsm]CZK_DATA!R23C49</stp>
        <tr r="AW23" s="14"/>
      </tp>
      <tp>
        <v>-81.45</v>
        <stp/>
        <stp>##V3_BDPV12</stp>
        <stp>CZK10M CMPN Curncy</stp>
        <stp>BID</stp>
        <stp>[DataSheet2.2.xlsm]CZK_DATA!R22C49</stp>
        <tr r="AW22" s="14"/>
      </tp>
      <tp>
        <v>-93.9</v>
        <stp/>
        <stp>##V3_BDPV12</stp>
        <stp>CZK12M CMPN Curncy</stp>
        <stp>BID</stp>
        <stp>[DataSheet2.2.xlsm]CZK_DATA!R24C49</stp>
        <tr r="AW24" s="14"/>
      </tp>
      <tp>
        <v>1115</v>
        <stp/>
        <stp>##V3_BDPV12</stp>
        <stp>RUB2W TRSU Curncy</stp>
        <stp>PX_LAST</stp>
        <stp>[DataSheet2.2.xlsm]RUB_DATA!R11C51</stp>
        <tr r="AY11" s="4"/>
      </tp>
      <tp>
        <v>555</v>
        <stp/>
        <stp>##V3_BDPV12</stp>
        <stp>RUB1W TRSU Curncy</stp>
        <stp>PX_LAST</stp>
        <stp>[DataSheet2.2.xlsm]RUB_DATA!R10C51</stp>
        <tr r="AY10" s="4"/>
      </tp>
      <tp>
        <v>7.0000000000000007E-2</v>
        <stp/>
        <stp>##V3_BDPV12</stp>
        <stp>ISFR0BE ICPL Curncy</stp>
        <stp>LAST_PRICE</stp>
        <stp>[DataSheet2.2.xlsm]ILS_DATA!R14C20</stp>
        <tr r="T14" s="17"/>
      </tp>
      <tp>
        <v>0.67500000000000004</v>
        <stp/>
        <stp>##V3_BDPV12</stp>
        <stp>HFFR0AD ICPL Curncy</stp>
        <stp>LAST_PRICE</stp>
        <stp>[DataSheet2.2.xlsm]HUF_DATA!R10C25</stp>
        <tr r="Y10" s="15"/>
      </tp>
      <tp>
        <v>-0.45500000000000002</v>
        <stp/>
        <stp>##V3_BDPV12</stp>
        <stp>EUFR0CI ICPL Curncy</stp>
        <stp>LAST_PRICE</stp>
        <stp>[DataSheet2.3.xlsm]EUR_DATA!R13C25</stp>
        <tr r="Y13" s="31"/>
      </tp>
      <tp>
        <v>0.63</v>
        <stp/>
        <stp>##V3_BDPV12</stp>
        <stp>BUBOR03M Index</stp>
        <stp>PX_LAST</stp>
        <stp>[DataSheet2.2.xlsm]HUF_DATA!R9C20</stp>
        <tr r="T9" s="15"/>
      </tp>
      <tp>
        <v>0.6</v>
        <stp/>
        <stp>##V3_BDPV12</stp>
        <stp>BUBOR01M Index</stp>
        <stp>PX_LAST</stp>
        <stp>[DataSheet2.2.xlsm]HUF_DATA!R8C20</stp>
        <tr r="T8" s="15"/>
      </tp>
      <tp>
        <v>4.8615000000000004</v>
        <stp/>
        <stp>##V3_BDPV12</stp>
        <stp>EURRON Curncy</stp>
        <stp>ASK</stp>
        <stp>[DataSheet2.2.xlsm]RON_DATA!R7C50</stp>
        <tr r="AX7" s="16"/>
      </tp>
      <tp>
        <v>76.680000000000007</v>
        <stp/>
        <stp>##V3_BDPV12</stp>
        <stp>IRN+12M CMPN Curncy</stp>
        <stp>LAST_PRICE</stp>
        <stp>[DataSheet2.2.xlsm]INR_DATA!R15C51</stp>
        <tr r="AY15" s="54"/>
      </tp>
      <tp>
        <v>3.73</v>
        <stp/>
        <stp>##V3_BDPV12</stp>
        <stp>SAFR1C1F ICPL Curncy</stp>
        <stp>LAST_PRICE</stp>
        <stp>[DataSheet2.2.xlsm]ZAR_DATA!R17C20</stp>
        <tr r="T17" s="8"/>
      </tp>
      <tp>
        <v>15.5</v>
        <stp/>
        <stp>##V3_BDPV12</stp>
        <stp>SRBSV1 GMGM Curncy</stp>
        <stp>MID</stp>
        <stp>[DataSheet2.2.xlsm]INR_DATA!R10C30</stp>
        <tr r="AD10" s="54"/>
      </tp>
      <tp>
        <v>12.5</v>
        <stp/>
        <stp>##V3_BDPV12</stp>
        <stp>SRBSV3 GMGM Curncy</stp>
        <stp>MID</stp>
        <stp>[DataSheet2.2.xlsm]INR_DATA!R12C30</stp>
        <tr r="AD12" s="54"/>
      </tp>
      <tp>
        <v>12</v>
        <stp/>
        <stp>##V3_BDPV12</stp>
        <stp>SRBSV5 GMGM Curncy</stp>
        <stp>MID</stp>
        <stp>[DataSheet2.2.xlsm]INR_DATA!R14C30</stp>
        <tr r="AD14" s="54"/>
      </tp>
      <tp>
        <v>13.5</v>
        <stp/>
        <stp>##V3_BDPV12</stp>
        <stp>SRBSV2 GMGM Curncy</stp>
        <stp>MID</stp>
        <stp>[DataSheet2.2.xlsm]INR_DATA!R11C30</stp>
        <tr r="AD11" s="54"/>
      </tp>
      <tp>
        <v>12</v>
        <stp/>
        <stp>##V3_BDPV12</stp>
        <stp>SRBSV7 GMGM Curncy</stp>
        <stp>MID</stp>
        <stp>[DataSheet2.2.xlsm]INR_DATA!R15C30</stp>
        <tr r="AD15" s="54"/>
      </tp>
      <tp>
        <v>12.5</v>
        <stp/>
        <stp>##V3_BDPV12</stp>
        <stp>SRBSV4 GMGM Curncy</stp>
        <stp>MID</stp>
        <stp>[DataSheet2.2.xlsm]INR_DATA!R13C30</stp>
        <tr r="AD13" s="54"/>
      </tp>
      <tp>
        <v>-4.4999999999999998E-2</v>
        <stp/>
        <stp>##V3_BDPV12</stp>
        <stp>JYSW4 MTRT Curncy</stp>
        <stp>LAST_PRICE</stp>
        <stp>[DataSheet2.3.xlsm]JPY_DATA!R56C9</stp>
        <tr r="I56" s="46"/>
      </tp>
      <tp t="s">
        <v>16/03/2022</v>
        <stp/>
        <stp>##V3_BDPV12</stp>
        <stp>ED6 Comdty</stp>
        <stp>INT_RATE_FUT_END_DT</stp>
        <stp>[DataSheet2.3.xlsm]USD_DATA!R16C16</stp>
        <tr r="P16" s="6"/>
      </tp>
      <tp>
        <v>6.9000000000000006E-2</v>
        <stp/>
        <stp>##V3_BDPV12</stp>
        <stp>USSOF CMPN Curncy</stp>
        <stp>LAST_PRICE</stp>
        <stp>[DataSheet2.3.xlsm]USD_DATA!R16C9</stp>
        <tr r="I16" s="6"/>
      </tp>
      <tp>
        <v>135</v>
        <stp/>
        <stp>##V3_BDPV12</stp>
        <stp>HKD12M ICHK Curncy</stp>
        <stp>BID</stp>
        <stp>[DataSheet2.2.xlsm]HKD_DATA!R17C49</stp>
        <tr r="AW17" s="52"/>
      </tp>
      <tp>
        <v>165</v>
        <stp/>
        <stp>##V3_BDPV12</stp>
        <stp>HKD12M ICHK Curncy</stp>
        <stp>ASK</stp>
        <stp>[DataSheet2.2.xlsm]HKD_DATA!R17C50</stp>
        <tr r="AX17" s="52"/>
      </tp>
      <tp>
        <v>3.39</v>
        <stp/>
        <stp>##V3_BDPV12</stp>
        <stp>SAFR0I1 ICPL Curncy</stp>
        <stp>BID</stp>
        <stp>[DataSheet2.2.xlsm]ZAR_DATA!R15C18</stp>
        <tr r="R15" s="8"/>
      </tp>
      <tp>
        <v>3.3</v>
        <stp/>
        <stp>##V3_BDPV12</stp>
        <stp>SAFR0AD ICPL Curncy</stp>
        <stp>BID</stp>
        <stp>[DataSheet2.2.xlsm]ZAR_DATA!R11C18</stp>
        <tr r="R11" s="8"/>
      </tp>
      <tp>
        <v>3.2850000000000001</v>
        <stp/>
        <stp>##V3_BDPV12</stp>
        <stp>SAFR0BE ICPL Curncy</stp>
        <stp>BID</stp>
        <stp>[DataSheet2.2.xlsm]ZAR_DATA!R12C18</stp>
        <tr r="R12" s="8"/>
      </tp>
      <tp>
        <v>3.2450000000000001</v>
        <stp/>
        <stp>##V3_BDPV12</stp>
        <stp>SAFR0CF ICPL Curncy</stp>
        <stp>BID</stp>
        <stp>[DataSheet2.2.xlsm]ZAR_DATA!R13C18</stp>
        <tr r="R13" s="8"/>
      </tp>
      <tp>
        <v>3.2949999999999999</v>
        <stp/>
        <stp>##V3_BDPV12</stp>
        <stp>SAFR0FI ICPL Curncy</stp>
        <stp>BID</stp>
        <stp>[DataSheet2.2.xlsm]ZAR_DATA!R14C18</stp>
        <tr r="R14" s="8"/>
      </tp>
      <tp>
        <v>3.3050000000000002</v>
        <stp/>
        <stp>##V3_BDPV12</stp>
        <stp>SAFR0CF ICPL Curncy</stp>
        <stp>ASK</stp>
        <stp>[DataSheet2.2.xlsm]ZAR_DATA!R13C19</stp>
        <tr r="S13" s="8"/>
      </tp>
      <tp>
        <v>3.3450000000000002</v>
        <stp/>
        <stp>##V3_BDPV12</stp>
        <stp>SAFR0BE ICPL Curncy</stp>
        <stp>ASK</stp>
        <stp>[DataSheet2.2.xlsm]ZAR_DATA!R12C19</stp>
        <tr r="S12" s="8"/>
      </tp>
      <tp>
        <v>3.36</v>
        <stp/>
        <stp>##V3_BDPV12</stp>
        <stp>SAFR0AD ICPL Curncy</stp>
        <stp>ASK</stp>
        <stp>[DataSheet2.2.xlsm]ZAR_DATA!R11C19</stp>
        <tr r="S11" s="8"/>
      </tp>
      <tp>
        <v>3.355</v>
        <stp/>
        <stp>##V3_BDPV12</stp>
        <stp>SAFR0FI ICPL Curncy</stp>
        <stp>ASK</stp>
        <stp>[DataSheet2.2.xlsm]ZAR_DATA!R14C19</stp>
        <tr r="S14" s="8"/>
      </tp>
      <tp>
        <v>3.45</v>
        <stp/>
        <stp>##V3_BDPV12</stp>
        <stp>SAFR0I1 ICPL Curncy</stp>
        <stp>ASK</stp>
        <stp>[DataSheet2.2.xlsm]ZAR_DATA!R15C19</stp>
        <tr r="S15" s="8"/>
      </tp>
      <tp>
        <v>0.92</v>
        <stp/>
        <stp>##V3_BDPV12</stp>
        <stp>SRFR0FI GMGM Curncy</stp>
        <stp>LAST_PRICE</stp>
        <stp>[DataSheet2.2.xlsm]SAR_DATA!R15C20</stp>
        <tr r="T15" s="19"/>
      </tp>
      <tp>
        <v>7.0000000000000007E-2</v>
        <stp/>
        <stp>##V3_BDPV12</stp>
        <stp>ISFR0AD ICPL Curncy</stp>
        <stp>LAST_PRICE</stp>
        <stp>[DataSheet2.2.xlsm]ILS_DATA!R13C20</stp>
        <tr r="T13" s="17"/>
      </tp>
      <tp>
        <v>0.73499999999999999</v>
        <stp/>
        <stp>##V3_BDPV12</stp>
        <stp>HFFR0BE ICPL Curncy</stp>
        <stp>LAST_PRICE</stp>
        <stp>[DataSheet2.2.xlsm]HUF_DATA!R11C25</stp>
        <tr r="Y11" s="15"/>
      </tp>
      <tp>
        <v>-0.45700000000000002</v>
        <stp/>
        <stp>##V3_BDPV12</stp>
        <stp>EUFR0BH ICPL Curncy</stp>
        <stp>LAST_PRICE</stp>
        <stp>[DataSheet2.3.xlsm]EUR_DATA!R12C25</stp>
        <tr r="Y12" s="31"/>
      </tp>
      <tp>
        <v>-68</v>
        <stp/>
        <stp>##V3_BDPV12</stp>
        <stp>ISBS10 ICPL Curncy</stp>
        <stp>BID</stp>
        <stp>[DataSheet2.2.xlsm]ILS_DATA!R12C41</stp>
        <tr r="AO12" s="17"/>
      </tp>
      <tp>
        <v>-58</v>
        <stp/>
        <stp>##V3_BDPV12</stp>
        <stp>ISBS10 ICPL Curncy</stp>
        <stp>ASK</stp>
        <stp>[DataSheet2.2.xlsm]ILS_DATA!R12C42</stp>
        <tr r="AP12" s="17"/>
      </tp>
      <tp>
        <v>-0.04</v>
        <stp/>
        <stp>##V3_BDPV12</stp>
        <stp>JYSW5 MTRT Curncy</stp>
        <stp>LAST_PRICE</stp>
        <stp>[DataSheet2.3.xlsm]JPY_DATA!R57C9</stp>
        <tr r="I57" s="46"/>
      </tp>
      <tp t="s">
        <v>15/06/2022</v>
        <stp/>
        <stp>##V3_BDPV12</stp>
        <stp>ED7 Comdty</stp>
        <stp>INT_RATE_FUT_END_DT</stp>
        <stp>[DataSheet2.3.xlsm]USD_DATA!R17C16</stp>
        <tr r="P17" s="6"/>
      </tp>
      <tp>
        <v>28</v>
        <stp/>
        <stp>##V3_BDPV12</stp>
        <stp>PZBSEC20 ICPL Curncy</stp>
        <stp>BID</stp>
        <stp>[DataSheet2.2.xlsm]PLN_DATA!R19C41</stp>
        <tr r="AO19" s="12"/>
      </tp>
      <tp>
        <v>26.5</v>
        <stp/>
        <stp>##V3_BDPV12</stp>
        <stp>PZBSEC15 ICPL Curncy</stp>
        <stp>BID</stp>
        <stp>[DataSheet2.2.xlsm]PLN_DATA!R18C41</stp>
        <tr r="AO18" s="12"/>
      </tp>
      <tp>
        <v>23</v>
        <stp/>
        <stp>##V3_BDPV12</stp>
        <stp>PZBSEC10 ICPL Curncy</stp>
        <stp>BID</stp>
        <stp>[DataSheet2.2.xlsm]PLN_DATA!R16C41</stp>
        <tr r="AO16" s="12"/>
      </tp>
      <tp>
        <v>24.75</v>
        <stp/>
        <stp>##V3_BDPV12</stp>
        <stp>PZBSEC12 ICPL Curncy</stp>
        <stp>BID</stp>
        <stp>[DataSheet2.2.xlsm]PLN_DATA!R17C41</stp>
        <tr r="AO17" s="12"/>
      </tp>
      <tp>
        <v>38</v>
        <stp/>
        <stp>##V3_BDPV12</stp>
        <stp>PZBSEC20 ICPL Curncy</stp>
        <stp>ASK</stp>
        <stp>[DataSheet2.2.xlsm]PLN_DATA!R19C42</stp>
        <tr r="AP19" s="12"/>
      </tp>
      <tp>
        <v>34.75</v>
        <stp/>
        <stp>##V3_BDPV12</stp>
        <stp>PZBSEC12 ICPL Curncy</stp>
        <stp>ASK</stp>
        <stp>[DataSheet2.2.xlsm]PLN_DATA!R17C42</stp>
        <tr r="AP17" s="12"/>
      </tp>
      <tp>
        <v>33</v>
        <stp/>
        <stp>##V3_BDPV12</stp>
        <stp>PZBSEC10 ICPL Curncy</stp>
        <stp>ASK</stp>
        <stp>[DataSheet2.2.xlsm]PLN_DATA!R16C42</stp>
        <tr r="AP16" s="12"/>
      </tp>
      <tp>
        <v>36.5</v>
        <stp/>
        <stp>##V3_BDPV12</stp>
        <stp>PZBSEC15 ICPL Curncy</stp>
        <stp>ASK</stp>
        <stp>[DataSheet2.2.xlsm]PLN_DATA!R18C42</stp>
        <tr r="AP18" s="12"/>
      </tp>
      <tp>
        <v>7.2499999999999995E-2</v>
        <stp/>
        <stp>##V3_BDPV12</stp>
        <stp>USSOE CMPN Curncy</stp>
        <stp>LAST_PRICE</stp>
        <stp>[DataSheet2.3.xlsm]USD_DATA!R15C9</stp>
        <tr r="I15" s="6"/>
      </tp>
      <tp>
        <v>5.2877999999999998</v>
        <stp/>
        <stp>##V3_BDPV12</stp>
        <stp>IRSWN10 BGN Curncy</stp>
        <stp>ASK</stp>
        <stp>[DataSheet2.2.xlsm]INR_DATA!R25C50</stp>
        <tr r="AX25" s="54"/>
      </tp>
      <tp>
        <v>5.0721999999999996</v>
        <stp/>
        <stp>##V3_BDPV12</stp>
        <stp>IRSWN10 BGN Curncy</stp>
        <stp>BID</stp>
        <stp>[DataSheet2.2.xlsm]INR_DATA!R25C49</stp>
        <tr r="AW25" s="54"/>
      </tp>
      <tp>
        <v>-0.5</v>
        <stp/>
        <stp>##V3_BDPV12</stp>
        <stp>PLNSN ICPL Curncy</stp>
        <stp>PX_LAST</stp>
        <stp>[DataSheet2.2.xlsm]PLN_DATA!R10C51</stp>
        <tr r="AY10" s="12"/>
      </tp>
      <tp>
        <v>-0.5</v>
        <stp/>
        <stp>##V3_BDPV12</stp>
        <stp>PLNSN ICPL Curncy</stp>
        <stp>PX_LAST</stp>
        <stp>[DataSheet2.2.xlsm]PLN_DATA!R34C51</stp>
        <tr r="AY34" s="12"/>
      </tp>
      <tp>
        <v>-0.17499999999999999</v>
        <stp/>
        <stp>##V3_BDPV12</stp>
        <stp>PLNTN ICPL Curncy</stp>
        <stp>PX_LAST</stp>
        <stp>[DataSheet2.2.xlsm]PLN_DATA!R33C51</stp>
        <tr r="AY33" s="12"/>
      </tp>
      <tp>
        <v>-0.13</v>
        <stp/>
        <stp>##V3_BDPV12</stp>
        <stp>PLNON ICPL Curncy</stp>
        <stp>PX_LAST</stp>
        <stp>[DataSheet2.2.xlsm]PLN_DATA!R32C51</stp>
        <tr r="AY32" s="12"/>
      </tp>
      <tp>
        <v>-2.75</v>
        <stp/>
        <stp>##V3_BDPV12</stp>
        <stp>PLN2W ICPL Curncy</stp>
        <stp>PX_LAST</stp>
        <stp>[DataSheet2.2.xlsm]PLN_DATA!R12C51</stp>
        <tr r="AY12" s="12"/>
      </tp>
      <tp>
        <v>-1.4</v>
        <stp/>
        <stp>##V3_BDPV12</stp>
        <stp>PLN1W ICPL Curncy</stp>
        <stp>PX_LAST</stp>
        <stp>[DataSheet2.2.xlsm]PLN_DATA!R11C51</stp>
        <tr r="AY11" s="12"/>
      </tp>
      <tp>
        <v>0</v>
        <stp/>
        <stp>##V3_BDPV12</stp>
        <stp>AEDON GMGM Curncy</stp>
        <stp>PX_LAST</stp>
        <stp>[DataSheet2.2.xlsm]AED_DATA!R8C51</stp>
        <tr r="AY8" s="18"/>
      </tp>
      <tp>
        <v>-0.3</v>
        <stp/>
        <stp>##V3_BDPV12</stp>
        <stp>AEDTN GMGM Curncy</stp>
        <stp>PX_LAST</stp>
        <stp>[DataSheet2.2.xlsm]AED_DATA!R9C51</stp>
        <tr r="AY9" s="18"/>
      </tp>
      <tp>
        <v>0.59</v>
        <stp/>
        <stp>##V3_BDPV12</stp>
        <stp>HDFR0CF CMPN Curncy</stp>
        <stp>LAST_PRICE</stp>
        <stp>[DataSheet2.2.xlsm]HKD_DATA!R11C20</stp>
        <tr r="T11" s="52"/>
      </tp>
      <tp>
        <v>5.4749999999999996</v>
        <stp/>
        <stp>##V3_BDPV12</stp>
        <stp>EUBSV6 Curncy</stp>
        <stp>LAST_PRICE</stp>
        <stp>[DataSheet2.3.xlsm]EUR_DATA!R12C35</stp>
        <tr r="AI12" s="31"/>
      </tp>
      <tp>
        <v>5.375</v>
        <stp/>
        <stp>##V3_BDPV12</stp>
        <stp>EUBSV7 Curncy</stp>
        <stp>LAST_PRICE</stp>
        <stp>[DataSheet2.3.xlsm]EUR_DATA!R13C35</stp>
        <tr r="AI13" s="31"/>
      </tp>
      <tp>
        <v>0.78500000000000003</v>
        <stp/>
        <stp>##V3_BDPV12</stp>
        <stp>HFFR0CF ICPL Curncy</stp>
        <stp>LAST_PRICE</stp>
        <stp>[DataSheet2.2.xlsm]HUF_DATA!R12C25</stp>
        <tr r="Y12" s="15"/>
      </tp>
      <tp>
        <v>5.4249999999999998</v>
        <stp/>
        <stp>##V3_BDPV12</stp>
        <stp>EUBSV4 Curncy</stp>
        <stp>LAST_PRICE</stp>
        <stp>[DataSheet2.3.xlsm]EUR_DATA!R10C35</stp>
        <tr r="AI10" s="31"/>
      </tp>
      <tp>
        <v>-0.46100000000000002</v>
        <stp/>
        <stp>##V3_BDPV12</stp>
        <stp>EUFR0EK ICPL Curncy</stp>
        <stp>LAST_PRICE</stp>
        <stp>[DataSheet2.3.xlsm]EUR_DATA!R15C25</stp>
        <tr r="Y15" s="31"/>
      </tp>
      <tp>
        <v>5.5250000000000004</v>
        <stp/>
        <stp>##V3_BDPV12</stp>
        <stp>EUBSV5 Curncy</stp>
        <stp>LAST_PRICE</stp>
        <stp>[DataSheet2.3.xlsm]EUR_DATA!R11C35</stp>
        <tr r="AI11" s="31"/>
      </tp>
      <tp>
        <v>5.125</v>
        <stp/>
        <stp>##V3_BDPV12</stp>
        <stp>EUBSV8 Curncy</stp>
        <stp>LAST_PRICE</stp>
        <stp>[DataSheet2.3.xlsm]EUR_DATA!R14C35</stp>
        <tr r="AI14" s="31"/>
      </tp>
      <tp>
        <v>4.7750000000000004</v>
        <stp/>
        <stp>##V3_BDPV12</stp>
        <stp>EUBSV9 Curncy</stp>
        <stp>LAST_PRICE</stp>
        <stp>[DataSheet2.3.xlsm]EUR_DATA!R15C35</stp>
        <tr r="AI15" s="31"/>
      </tp>
      <tp>
        <v>5.3608000000000002</v>
        <stp/>
        <stp>##V3_BDPV12</stp>
        <stp>USDBRL Curncy</stp>
        <stp>BID</stp>
        <stp>[DataSheet2.3.xlsm]BRL_DATA!R7C49</stp>
        <tr r="AW7" s="59"/>
      </tp>
      <tp>
        <v>-0.49770999999999999</v>
        <stp/>
        <stp>##V3_BDPV12</stp>
        <stp>EE0006M Index</stp>
        <stp>PX_LAST</stp>
        <stp>[DataSheet2.3.xlsm]EUR_DATA!R9C20</stp>
        <tr r="T9" s="31"/>
      </tp>
      <tp>
        <v>-0.49770999999999999</v>
        <stp/>
        <stp>##V3_BDPV12</stp>
        <stp>EE0006M Index</stp>
        <stp>PX_LAST</stp>
        <stp>[DataSheet2.3.xlsm]EUR_DATA!R9C25</stp>
        <tr r="Y9" s="31"/>
      </tp>
      <tp>
        <v>-0.55228999999999995</v>
        <stp/>
        <stp>##V3_BDPV12</stp>
        <stp>EE0001M Index</stp>
        <stp>PX_LAST</stp>
        <stp>[DataSheet2.3.xlsm]EUR_DATA!R7C20</stp>
        <tr r="T7" s="31"/>
      </tp>
      <tp>
        <v>-0.55228999999999995</v>
        <stp/>
        <stp>##V3_BDPV12</stp>
        <stp>EE0001M Index</stp>
        <stp>PX_LAST</stp>
        <stp>[DataSheet2.3.xlsm]EUR_DATA!R7C25</stp>
        <tr r="Y7" s="31"/>
      </tp>
      <tp>
        <v>-0.51614000000000004</v>
        <stp/>
        <stp>##V3_BDPV12</stp>
        <stp>EE0003M Index</stp>
        <stp>PX_LAST</stp>
        <stp>[DataSheet2.3.xlsm]EUR_DATA!R8C20</stp>
        <tr r="T8" s="31"/>
      </tp>
      <tp>
        <v>-0.51614000000000004</v>
        <stp/>
        <stp>##V3_BDPV12</stp>
        <stp>EE0003M Index</stp>
        <stp>PX_LAST</stp>
        <stp>[DataSheet2.3.xlsm]EUR_DATA!R8C25</stp>
        <tr r="Y8" s="31"/>
      </tp>
      <tp t="s">
        <v>15/09/2021</v>
        <stp/>
        <stp>##V3_BDPV12</stp>
        <stp>ED4 Comdty</stp>
        <stp>INT_RATE_FUT_END_DT</stp>
        <stp>[DataSheet2.3.xlsm]USD_DATA!R14C16</stp>
        <tr r="P14" s="6"/>
      </tp>
      <tp>
        <v>4.5999999999999996</v>
        <stp/>
        <stp>##V3_BDPV12</stp>
        <stp>EUBSAT9 Curncy</stp>
        <stp>LAST_PRICE</stp>
        <stp>[DataSheet2.3.xlsm]EUR_DATA!R19C30</stp>
        <tr r="AD19" s="31"/>
      </tp>
      <tp>
        <v>4.7</v>
        <stp/>
        <stp>##V3_BDPV12</stp>
        <stp>EUBSAT8 Curncy</stp>
        <stp>LAST_PRICE</stp>
        <stp>[DataSheet2.3.xlsm]EUR_DATA!R18C30</stp>
        <tr r="AD18" s="31"/>
      </tp>
      <tp>
        <v>-4.2500000000000003E-2</v>
        <stp/>
        <stp>##V3_BDPV12</stp>
        <stp>JYSW2 MTRT Curncy</stp>
        <stp>LAST_PRICE</stp>
        <stp>[DataSheet2.3.xlsm]JPY_DATA!R54C9</stp>
        <tr r="I54" s="46"/>
      </tp>
      <tp>
        <v>4.9000000000000004</v>
        <stp/>
        <stp>##V3_BDPV12</stp>
        <stp>EUBSAT5 Curncy</stp>
        <stp>LAST_PRICE</stp>
        <stp>[DataSheet2.3.xlsm]EUR_DATA!R15C30</stp>
        <tr r="AD15" s="31"/>
      </tp>
      <tp>
        <v>4.8499999999999996</v>
        <stp/>
        <stp>##V3_BDPV12</stp>
        <stp>EUBSAT4 Curncy</stp>
        <stp>LAST_PRICE</stp>
        <stp>[DataSheet2.3.xlsm]EUR_DATA!R14C30</stp>
        <tr r="AD14" s="31"/>
      </tp>
      <tp>
        <v>4.8</v>
        <stp/>
        <stp>##V3_BDPV12</stp>
        <stp>EUBSAT7 Curncy</stp>
        <stp>LAST_PRICE</stp>
        <stp>[DataSheet2.3.xlsm]EUR_DATA!R17C30</stp>
        <tr r="AD17" s="31"/>
      </tp>
      <tp>
        <v>4.9000000000000004</v>
        <stp/>
        <stp>##V3_BDPV12</stp>
        <stp>EUBSAT6 Curncy</stp>
        <stp>LAST_PRICE</stp>
        <stp>[DataSheet2.3.xlsm]EUR_DATA!R16C30</stp>
        <tr r="AD16" s="31"/>
      </tp>
      <tp>
        <v>4.3</v>
        <stp/>
        <stp>##V3_BDPV12</stp>
        <stp>EUBSAT1 Curncy</stp>
        <stp>LAST_PRICE</stp>
        <stp>[DataSheet2.3.xlsm]EUR_DATA!R11C30</stp>
        <tr r="AD11" s="31"/>
      </tp>
      <tp>
        <v>4.7</v>
        <stp/>
        <stp>##V3_BDPV12</stp>
        <stp>EUBSAT3 Curncy</stp>
        <stp>LAST_PRICE</stp>
        <stp>[DataSheet2.3.xlsm]EUR_DATA!R13C30</stp>
        <tr r="AD13" s="31"/>
      </tp>
      <tp>
        <v>4.4009</v>
        <stp/>
        <stp>##V3_BDPV12</stp>
        <stp>EUBSAT2 Curncy</stp>
        <stp>LAST_PRICE</stp>
        <stp>[DataSheet2.3.xlsm]EUR_DATA!R12C30</stp>
        <tr r="AD12" s="31"/>
      </tp>
      <tp>
        <v>7.5700000000000003E-2</v>
        <stp/>
        <stp>##V3_BDPV12</stp>
        <stp>USSOD CMPN Curncy</stp>
        <stp>LAST_PRICE</stp>
        <stp>[DataSheet2.3.xlsm]USD_DATA!R14C9</stp>
        <tr r="I14" s="6"/>
      </tp>
      <tp>
        <v>46890</v>
        <stp/>
        <stp>##V3_BDPV12</stp>
        <stp>RUB18M TRSU Curncy</stp>
        <stp>ASK</stp>
        <stp>[DataSheet2.2.xlsm]RUB_DATA!R20C50</stp>
        <tr r="AX20" s="4"/>
      </tp>
      <tp>
        <v>30670</v>
        <stp/>
        <stp>##V3_BDPV12</stp>
        <stp>RUB12M TRSU Curncy</stp>
        <stp>ASK</stp>
        <stp>[DataSheet2.2.xlsm]RUB_DATA!R19C50</stp>
        <tr r="AX19" s="4"/>
      </tp>
      <tp>
        <v>45890</v>
        <stp/>
        <stp>##V3_BDPV12</stp>
        <stp>RUB18M TRSU Curncy</stp>
        <stp>BID</stp>
        <stp>[DataSheet2.2.xlsm]RUB_DATA!R20C49</stp>
        <tr r="AW20" s="4"/>
      </tp>
      <tp>
        <v>30370</v>
        <stp/>
        <stp>##V3_BDPV12</stp>
        <stp>RUB12M TRSU Curncy</stp>
        <stp>BID</stp>
        <stp>[DataSheet2.2.xlsm]RUB_DATA!R19C49</stp>
        <tr r="AW19" s="4"/>
      </tp>
      <tp>
        <v>1509.96</v>
        <stp/>
        <stp>##V3_BDPV12</stp>
        <stp>CNH11M CMPN Curncy</stp>
        <stp>ASK</stp>
        <stp>[DataSheet2.3.xlsm]CNH_DATA!R22C50</stp>
        <tr r="AX22" s="50"/>
      </tp>
      <tp>
        <v>1374.15</v>
        <stp/>
        <stp>##V3_BDPV12</stp>
        <stp>CNH10M CMPN Curncy</stp>
        <stp>ASK</stp>
        <stp>[DataSheet2.3.xlsm]CNH_DATA!R21C50</stp>
        <tr r="AX21" s="50"/>
      </tp>
      <tp>
        <v>1655.86</v>
        <stp/>
        <stp>##V3_BDPV12</stp>
        <stp>CNH12M CMPN Curncy</stp>
        <stp>ASK</stp>
        <stp>[DataSheet2.3.xlsm]CNH_DATA!R23C50</stp>
        <tr r="AX23" s="50"/>
      </tp>
      <tp>
        <v>1634.92</v>
        <stp/>
        <stp>##V3_BDPV12</stp>
        <stp>CNH12M CMPN Curncy</stp>
        <stp>BID</stp>
        <stp>[DataSheet2.3.xlsm]CNH_DATA!R23C49</stp>
        <tr r="AW23" s="50"/>
      </tp>
      <tp>
        <v>1348.9</v>
        <stp/>
        <stp>##V3_BDPV12</stp>
        <stp>CNH10M CMPN Curncy</stp>
        <stp>BID</stp>
        <stp>[DataSheet2.3.xlsm]CNH_DATA!R21C49</stp>
        <tr r="AW21" s="50"/>
      </tp>
      <tp>
        <v>1484.24</v>
        <stp/>
        <stp>##V3_BDPV12</stp>
        <stp>CNH11M CMPN Curncy</stp>
        <stp>BID</stp>
        <stp>[DataSheet2.3.xlsm]CNH_DATA!R22C49</stp>
        <tr r="AW22" s="50"/>
      </tp>
      <tp>
        <v>7.0000000000000007E-2</v>
        <stp/>
        <stp>##V3_BDPV12</stp>
        <stp>ISFR0CF ICPL Curncy</stp>
        <stp>LAST_PRICE</stp>
        <stp>[DataSheet2.2.xlsm]ILS_DATA!R15C20</stp>
        <tr r="T15" s="17"/>
      </tp>
      <tp>
        <v>0.70499999999999996</v>
        <stp/>
        <stp>##V3_BDPV12</stp>
        <stp>HFFR0AG ICPL Curncy</stp>
        <stp>LAST_PRICE</stp>
        <stp>[DataSheet2.2.xlsm]HUF_DATA!R11C20</stp>
        <tr r="T11" s="15"/>
      </tp>
      <tp>
        <v>-0.45800000000000002</v>
        <stp/>
        <stp>##V3_BDPV12</stp>
        <stp>EUFR0DJ ICPL Curncy</stp>
        <stp>LAST_PRICE</stp>
        <stp>[DataSheet2.3.xlsm]EUR_DATA!R14C25</stp>
        <tr r="Y14" s="31"/>
      </tp>
      <tp>
        <v>0.22</v>
        <stp/>
        <stp>##V3_BDPV12</stp>
        <stp>EURTN Curncy</stp>
        <stp>BID</stp>
        <stp>[DataSheet2.3.xlsm]EUR_DATA!R9C52</stp>
        <tr r="AZ9" s="31"/>
      </tp>
      <tp>
        <v>-207</v>
        <stp/>
        <stp>##V3_BDPV12</stp>
        <stp>RRBS12 TRPU Curncy</stp>
        <stp>BID</stp>
        <stp>[DataSheet2.2.xlsm]RUB_DATA!R15C41</stp>
        <tr r="AO15" s="4"/>
      </tp>
      <tp>
        <v>-192</v>
        <stp/>
        <stp>##V3_BDPV12</stp>
        <stp>RRBS10 TRPU Curncy</stp>
        <stp>BID</stp>
        <stp>[DataSheet2.2.xlsm]RUB_DATA!R14C41</stp>
        <tr r="AO14" s="4"/>
      </tp>
      <tp>
        <v>-210</v>
        <stp/>
        <stp>##V3_BDPV12</stp>
        <stp>RRBS15 TRPU Curncy</stp>
        <stp>BID</stp>
        <stp>[DataSheet2.2.xlsm]RUB_DATA!R16C41</stp>
        <tr r="AO16" s="4"/>
      </tp>
      <tp>
        <v>-210</v>
        <stp/>
        <stp>##V3_BDPV12</stp>
        <stp>RRBS20 TRPU Curncy</stp>
        <stp>BID</stp>
        <stp>[DataSheet2.2.xlsm]RUB_DATA!R17C41</stp>
        <tr r="AO17" s="4"/>
      </tp>
      <tp>
        <v>-190</v>
        <stp/>
        <stp>##V3_BDPV12</stp>
        <stp>RRBS15 TRPU Curncy</stp>
        <stp>ASK</stp>
        <stp>[DataSheet2.2.xlsm]RUB_DATA!R16C42</stp>
        <tr r="AP16" s="4"/>
      </tp>
      <tp>
        <v>-182</v>
        <stp/>
        <stp>##V3_BDPV12</stp>
        <stp>RRBS10 TRPU Curncy</stp>
        <stp>ASK</stp>
        <stp>[DataSheet2.2.xlsm]RUB_DATA!R14C42</stp>
        <tr r="AP14" s="4"/>
      </tp>
      <tp>
        <v>-187</v>
        <stp/>
        <stp>##V3_BDPV12</stp>
        <stp>RRBS12 TRPU Curncy</stp>
        <stp>ASK</stp>
        <stp>[DataSheet2.2.xlsm]RUB_DATA!R15C42</stp>
        <tr r="AP15" s="4"/>
      </tp>
      <tp>
        <v>-190</v>
        <stp/>
        <stp>##V3_BDPV12</stp>
        <stp>RRBS20 TRPU Curncy</stp>
        <stp>ASK</stp>
        <stp>[DataSheet2.2.xlsm]RUB_DATA!R17C42</stp>
        <tr r="AP17" s="4"/>
      </tp>
      <tp t="s">
        <v>15/12/2021</v>
        <stp/>
        <stp>##V3_BDPV12</stp>
        <stp>ED5 Comdty</stp>
        <stp>INT_RATE_FUT_END_DT</stp>
        <stp>[DataSheet2.3.xlsm]USD_DATA!R15C16</stp>
        <tr r="P15" s="6"/>
      </tp>
      <tp>
        <v>-4.4999999999999998E-2</v>
        <stp/>
        <stp>##V3_BDPV12</stp>
        <stp>JYSW3 MTRT Curncy</stp>
        <stp>LAST_PRICE</stp>
        <stp>[DataSheet2.3.xlsm]JPY_DATA!R55C9</stp>
        <tr r="I55" s="46"/>
      </tp>
      <tp>
        <v>-0.2</v>
        <stp/>
        <stp>##V3_BDPV12</stp>
        <stp>HFEBS20 ICPL Curncy</stp>
        <stp>BID</stp>
        <stp>[DataSheet2.2.xlsm]HUF_DATA!R19C41</stp>
        <tr r="AO19" s="15"/>
      </tp>
      <tp>
        <v>0.6</v>
        <stp/>
        <stp>##V3_BDPV12</stp>
        <stp>HFEBS15 ICPL Curncy</stp>
        <stp>BID</stp>
        <stp>[DataSheet2.2.xlsm]HUF_DATA!R18C41</stp>
        <tr r="AO18" s="15"/>
      </tp>
      <tp>
        <v>1.25</v>
        <stp/>
        <stp>##V3_BDPV12</stp>
        <stp>HFEBS12 ICPL Curncy</stp>
        <stp>BID</stp>
        <stp>[DataSheet2.2.xlsm]HUF_DATA!R17C41</stp>
        <tr r="AO17" s="15"/>
      </tp>
      <tp>
        <v>1.75</v>
        <stp/>
        <stp>##V3_BDPV12</stp>
        <stp>HFEBS10 ICPL Curncy</stp>
        <stp>BID</stp>
        <stp>[DataSheet2.2.xlsm]HUF_DATA!R16C41</stp>
        <tr r="AO16" s="15"/>
      </tp>
      <tp>
        <v>9.8000000000000007</v>
        <stp/>
        <stp>##V3_BDPV12</stp>
        <stp>HFEBS20 ICPL Curncy</stp>
        <stp>ASK</stp>
        <stp>[DataSheet2.2.xlsm]HUF_DATA!R19C42</stp>
        <tr r="AP19" s="15"/>
      </tp>
      <tp>
        <v>11.75</v>
        <stp/>
        <stp>##V3_BDPV12</stp>
        <stp>HFEBS10 ICPL Curncy</stp>
        <stp>ASK</stp>
        <stp>[DataSheet2.2.xlsm]HUF_DATA!R16C42</stp>
        <tr r="AP16" s="15"/>
      </tp>
      <tp>
        <v>11.25</v>
        <stp/>
        <stp>##V3_BDPV12</stp>
        <stp>HFEBS12 ICPL Curncy</stp>
        <stp>ASK</stp>
        <stp>[DataSheet2.2.xlsm]HUF_DATA!R17C42</stp>
        <tr r="AP17" s="15"/>
      </tp>
      <tp>
        <v>10.6</v>
        <stp/>
        <stp>##V3_BDPV12</stp>
        <stp>HFEBS15 ICPL Curncy</stp>
        <stp>ASK</stp>
        <stp>[DataSheet2.2.xlsm]HUF_DATA!R18C42</stp>
        <tr r="AP18" s="15"/>
      </tp>
      <tp>
        <v>7.9799999999999996E-2</v>
        <stp/>
        <stp>##V3_BDPV12</stp>
        <stp>USSOC CMPN Curncy</stp>
        <stp>LAST_PRICE</stp>
        <stp>[DataSheet2.3.xlsm]USD_DATA!R13C9</stp>
        <tr r="I13" s="6"/>
      </tp>
      <tp>
        <v>-62</v>
        <stp/>
        <stp>##V3_BDPV12</stp>
        <stp>ISBS4 ICPL Curncy</stp>
        <stp>PX_LAST</stp>
        <stp>[DataSheet2.2.xlsm]ILS_DATA!R10C43</stp>
        <tr r="AQ10" s="17"/>
      </tp>
      <tp>
        <v>-0.15</v>
        <stp/>
        <stp>##V3_BDPV12</stp>
        <stp>HKDON ICHK Curncy</stp>
        <stp>PX_LAST</stp>
        <stp>[DataSheet2.2.xlsm]HKD_DATA!R8C51</stp>
        <tr r="AY8" s="52"/>
      </tp>
      <tp>
        <v>-0.05</v>
        <stp/>
        <stp>##V3_BDPV12</stp>
        <stp>HKDTN ICHK Curncy</stp>
        <stp>PX_LAST</stp>
        <stp>[DataSheet2.2.xlsm]HKD_DATA!R9C51</stp>
        <tr r="AY9" s="52"/>
      </tp>
      <tp>
        <v>-0.13</v>
        <stp/>
        <stp>##V3_BDPV12</stp>
        <stp>PLNON ICPL Curncy</stp>
        <stp>PX_LAST</stp>
        <stp>[DataSheet2.2.xlsm]PLN_DATA!R8C51</stp>
        <tr r="AY8" s="12"/>
      </tp>
      <tp>
        <v>-0.17499999999999999</v>
        <stp/>
        <stp>##V3_BDPV12</stp>
        <stp>PLNTN ICPL Curncy</stp>
        <stp>PX_LAST</stp>
        <stp>[DataSheet2.2.xlsm]PLN_DATA!R9C51</stp>
        <tr r="AY9" s="12"/>
      </tp>
      <tp>
        <v>0.40300000000000002</v>
        <stp/>
        <stp>##V3_BDPV12</stp>
        <stp>CKFR0EK CMPN Curncy</stp>
        <stp>LAST_PRICE</stp>
        <stp>[DataSheet2.2.xlsm]CZK_DATA!R15C20</stp>
        <tr r="T15" s="14"/>
      </tp>
      <tp>
        <v>-31.952000000000002</v>
        <stp/>
        <stp>##V3_BDPV12</stp>
        <stp>CDBSI Curncy</stp>
        <stp>BID</stp>
        <stp>[DataSheet2.3.xlsm]GBP_DATA!R9C41</stp>
        <tr r="AO9" s="58"/>
      </tp>
      <tp>
        <v>-31.952000000000002</v>
        <stp/>
        <stp>##V3_BDPV12</stp>
        <stp>CDBSI Curncy</stp>
        <stp>BID</stp>
        <stp>[DataSheet2.3.xlsm]CAD_DATA!R9C41</stp>
        <tr r="AO9" s="48"/>
      </tp>
      <tp>
        <v>-35.006999999999998</v>
        <stp/>
        <stp>##V3_BDPV12</stp>
        <stp>CDBSF Curncy</stp>
        <stp>BID</stp>
        <stp>[DataSheet2.3.xlsm]CAD_DATA!R8C41</stp>
        <tr r="AO8" s="48"/>
      </tp>
      <tp>
        <v>-33.506999999999998</v>
        <stp/>
        <stp>##V3_BDPV12</stp>
        <stp>CDBSC Curncy</stp>
        <stp>BID</stp>
        <stp>[DataSheet2.3.xlsm]GBP_DATA!R7C41</stp>
        <tr r="AO7" s="58"/>
      </tp>
      <tp>
        <v>-35.006999999999998</v>
        <stp/>
        <stp>##V3_BDPV12</stp>
        <stp>CDBSF Curncy</stp>
        <stp>BID</stp>
        <stp>[DataSheet2.3.xlsm]GBP_DATA!R8C41</stp>
        <tr r="AO8" s="58"/>
      </tp>
      <tp>
        <v>-33.506999999999998</v>
        <stp/>
        <stp>##V3_BDPV12</stp>
        <stp>CDBSC Curncy</stp>
        <stp>BID</stp>
        <stp>[DataSheet2.3.xlsm]CAD_DATA!R7C41</stp>
        <tr r="AO7" s="48"/>
      </tp>
      <tp t="s">
        <v>17/03/2021</v>
        <stp/>
        <stp>##V3_BDPV12</stp>
        <stp>ED2 Comdty</stp>
        <stp>INT_RATE_FUT_END_DT</stp>
        <stp>[DataSheet2.3.xlsm]USD_DATA!R12C16</stp>
        <tr r="P12" s="6"/>
      </tp>
      <tp>
        <v>-0.04</v>
        <stp/>
        <stp>##V3_BDPV12</stp>
        <stp>JYSW1 MTRT Curncy</stp>
        <stp>LAST_PRICE</stp>
        <stp>[DataSheet2.3.xlsm]JPY_DATA!R52C9</stp>
        <tr r="I52" s="46"/>
      </tp>
      <tp>
        <v>8.2799999999999999E-2</v>
        <stp/>
        <stp>##V3_BDPV12</stp>
        <stp>USSOB CMPN Curncy</stp>
        <stp>LAST_PRICE</stp>
        <stp>[DataSheet2.3.xlsm]USD_DATA!R12C9</stp>
        <tr r="I12" s="6"/>
      </tp>
      <tp>
        <v>-0.23</v>
        <stp/>
        <stp>##V3_BDPV12</stp>
        <stp>CZKSN CMPN Curncy</stp>
        <stp>PX_LAST</stp>
        <stp>[DataSheet2.2.xlsm]CZK_DATA!R10C51</stp>
        <tr r="AY10" s="14"/>
      </tp>
      <tp>
        <v>79</v>
        <stp/>
        <stp>##V3_BDPV12</stp>
        <stp>RUBTN TRSU Curncy</stp>
        <stp>PX_LAST</stp>
        <stp>[DataSheet2.2.xlsm]RUB_DATA!R9C51</stp>
        <tr r="AY9" s="4"/>
      </tp>
      <tp>
        <v>80</v>
        <stp/>
        <stp>##V3_BDPV12</stp>
        <stp>RUBON TRSU Curncy</stp>
        <stp>PX_LAST</stp>
        <stp>[DataSheet2.2.xlsm]RUB_DATA!R8C51</stp>
        <tr r="AY8" s="4"/>
      </tp>
      <tp>
        <v>-0.55000000000000004</v>
        <stp/>
        <stp>##V3_BDPV12</stp>
        <stp>CZK1W CMPN Curncy</stp>
        <stp>PX_LAST</stp>
        <stp>[DataSheet2.2.xlsm]CZK_DATA!R11C51</stp>
        <tr r="AY11" s="14"/>
      </tp>
      <tp>
        <v>-1.2</v>
        <stp/>
        <stp>##V3_BDPV12</stp>
        <stp>CZK2W CMPN Curncy</stp>
        <stp>PX_LAST</stp>
        <stp>[DataSheet2.2.xlsm]CZK_DATA!R12C51</stp>
        <tr r="AY12" s="14"/>
      </tp>
      <tp>
        <v>0.39</v>
        <stp/>
        <stp>##V3_BDPV12</stp>
        <stp>CKFR0DJ CMPN Curncy</stp>
        <stp>LAST_PRICE</stp>
        <stp>[DataSheet2.2.xlsm]CZK_DATA!R14C20</stp>
        <tr r="T14" s="14"/>
      </tp>
      <tp>
        <v>304.3</v>
        <stp/>
        <stp>##V3_BDPV12</stp>
        <stp>USDHUF Curncy</stp>
        <stp>BID</stp>
        <stp>[DataSheet2.2.xlsm]HUF_DATA!R7C49</stp>
        <tr r="AW7" s="15"/>
      </tp>
      <tp>
        <v>22.578600000000002</v>
        <stp/>
        <stp>##V3_BDPV12</stp>
        <stp>USDCZK Curncy</stp>
        <stp>ASK</stp>
        <stp>[DataSheet2.2.xlsm]CZK_DATA!R7C50</stp>
        <tr r="AX7" s="14"/>
      </tp>
      <tp>
        <v>3.54</v>
        <stp/>
        <stp>##V3_BDPV12</stp>
        <stp>SAFR011C ICPL Curncy</stp>
        <stp>LAST_PRICE</stp>
        <stp>[DataSheet2.2.xlsm]ZAR_DATA!R16C20</stp>
        <tr r="T16" s="8"/>
      </tp>
      <tp t="s">
        <v>16/06/2021</v>
        <stp/>
        <stp>##V3_BDPV12</stp>
        <stp>ED3 Comdty</stp>
        <stp>INT_RATE_FUT_END_DT</stp>
        <stp>[DataSheet2.3.xlsm]USD_DATA!R13C16</stp>
        <tr r="P13" s="6"/>
      </tp>
      <tp>
        <v>0.254</v>
        <stp/>
        <stp>##V3_BDPV12</stp>
        <stp>PZFR0F1 TPRA Curncy</stp>
        <stp>ASK</stp>
        <stp>[DataSheet2.2.xlsm]PLN_DATA!R16C19</stp>
        <tr r="S16" s="12"/>
      </tp>
      <tp>
        <v>0.251</v>
        <stp/>
        <stp>##V3_BDPV12</stp>
        <stp>PZFR0EK TPRA Curncy</stp>
        <stp>ASK</stp>
        <stp>[DataSheet2.2.xlsm]PLN_DATA!R15C19</stp>
        <tr r="S15" s="12"/>
      </tp>
      <tp>
        <v>0.24399999999999999</v>
        <stp/>
        <stp>##V3_BDPV12</stp>
        <stp>PZFR0DJ TPRA Curncy</stp>
        <stp>ASK</stp>
        <stp>[DataSheet2.2.xlsm]PLN_DATA!R14C19</stp>
        <tr r="S14" s="12"/>
      </tp>
      <tp>
        <v>0.24</v>
        <stp/>
        <stp>##V3_BDPV12</stp>
        <stp>PZFR0CI TPRA Curncy</stp>
        <stp>ASK</stp>
        <stp>[DataSheet2.2.xlsm]PLN_DATA!R13C19</stp>
        <tr r="S13" s="12"/>
      </tp>
      <tp>
        <v>0.251</v>
        <stp/>
        <stp>##V3_BDPV12</stp>
        <stp>PZFR0BH TPRA Curncy</stp>
        <stp>ASK</stp>
        <stp>[DataSheet2.2.xlsm]PLN_DATA!R12C19</stp>
        <tr r="S12" s="12"/>
      </tp>
      <tp>
        <v>0.26200000000000001</v>
        <stp/>
        <stp>##V3_BDPV12</stp>
        <stp>PZFR0AG TPRA Curncy</stp>
        <stp>ASK</stp>
        <stp>[DataSheet2.2.xlsm]PLN_DATA!R11C19</stp>
        <tr r="S11" s="12"/>
      </tp>
      <tp>
        <v>0.184</v>
        <stp/>
        <stp>##V3_BDPV12</stp>
        <stp>PZFR0DJ TPRA Curncy</stp>
        <stp>BID</stp>
        <stp>[DataSheet2.2.xlsm]PLN_DATA!R14C18</stp>
        <tr r="R14" s="12"/>
      </tp>
      <tp>
        <v>0.191</v>
        <stp/>
        <stp>##V3_BDPV12</stp>
        <stp>PZFR0EK TPRA Curncy</stp>
        <stp>BID</stp>
        <stp>[DataSheet2.2.xlsm]PLN_DATA!R15C18</stp>
        <tr r="R15" s="12"/>
      </tp>
      <tp>
        <v>0.19400000000000001</v>
        <stp/>
        <stp>##V3_BDPV12</stp>
        <stp>PZFR0F1 TPRA Curncy</stp>
        <stp>BID</stp>
        <stp>[DataSheet2.2.xlsm]PLN_DATA!R16C18</stp>
        <tr r="R16" s="12"/>
      </tp>
      <tp>
        <v>0.20200000000000001</v>
        <stp/>
        <stp>##V3_BDPV12</stp>
        <stp>PZFR0AG TPRA Curncy</stp>
        <stp>BID</stp>
        <stp>[DataSheet2.2.xlsm]PLN_DATA!R11C18</stp>
        <tr r="R11" s="12"/>
      </tp>
      <tp>
        <v>0.191</v>
        <stp/>
        <stp>##V3_BDPV12</stp>
        <stp>PZFR0BH TPRA Curncy</stp>
        <stp>BID</stp>
        <stp>[DataSheet2.2.xlsm]PLN_DATA!R12C18</stp>
        <tr r="R12" s="12"/>
      </tp>
      <tp>
        <v>0.18</v>
        <stp/>
        <stp>##V3_BDPV12</stp>
        <stp>PZFR0CI TPRA Curncy</stp>
        <stp>BID</stp>
        <stp>[DataSheet2.2.xlsm]PLN_DATA!R13C18</stp>
        <tr r="R13" s="12"/>
      </tp>
      <tp>
        <v>8.6999999999999994E-2</v>
        <stp/>
        <stp>##V3_BDPV12</stp>
        <stp>USSOA CMPN Curncy</stp>
        <stp>LAST_PRICE</stp>
        <stp>[DataSheet2.3.xlsm]USD_DATA!R11C9</stp>
        <tr r="I11" s="6"/>
      </tp>
      <tp>
        <v>0.17499999999999999</v>
        <stp/>
        <stp>##V3_BDPV12</stp>
        <stp>PZFR0FI TPRA Curncy</stp>
        <stp>MID</stp>
        <stp>[DataSheet2.2.xlsm]PLN_DATA!R12C26</stp>
        <tr r="Z12" s="12"/>
      </tp>
      <tp>
        <v>0.17699999999999999</v>
        <stp/>
        <stp>##V3_BDPV12</stp>
        <stp>PZFR0DG TPRA Curncy</stp>
        <stp>MID</stp>
        <stp>[DataSheet2.2.xlsm]PLN_DATA!R10C26</stp>
        <tr r="Z10" s="12"/>
      </tp>
      <tp>
        <v>0.17599999999999999</v>
        <stp/>
        <stp>##V3_BDPV12</stp>
        <stp>PZFR0EH TPRA Curncy</stp>
        <stp>MID</stp>
        <stp>[DataSheet2.2.xlsm]PLN_DATA!R11C26</stp>
        <tr r="Z11" s="12"/>
      </tp>
      <tp>
        <v>0.182</v>
        <stp/>
        <stp>##V3_BDPV12</stp>
        <stp>PZFR0I1 TPRA Curncy</stp>
        <stp>MID</stp>
        <stp>[DataSheet2.2.xlsm]PLN_DATA!R13C26</stp>
        <tr r="Z13" s="12"/>
      </tp>
      <tp t="s">
        <v>#N/A Invalid Security</v>
        <stp/>
        <stp>##V3_BDPV12</stp>
        <stp>RRSWM18M TRPU Curncy</stp>
        <stp>LAST_PRICE</stp>
        <stp>[DataSheet2.2.xlsm]RUB_DATA!R33C20</stp>
        <tr r="T33" s="4"/>
      </tp>
      <tp>
        <v>0.35499999999999998</v>
        <stp/>
        <stp>##V3_BDPV12</stp>
        <stp>CKFR0FI CMPN Curncy</stp>
        <stp>LAST_PRICE</stp>
        <stp>[DataSheet2.2.xlsm]CZK_DATA!R13C25</stp>
        <tr r="Y13" s="14"/>
      </tp>
      <tp>
        <v>0.4</v>
        <stp/>
        <stp>##V3_BDPV12</stp>
        <stp>CKFR0CI CMPN Curncy</stp>
        <stp>LAST_PRICE</stp>
        <stp>[DataSheet2.2.xlsm]CZK_DATA!R13C20</stp>
        <tr r="T13" s="14"/>
      </tp>
      <tp>
        <v>0.12</v>
        <stp/>
        <stp>##V3_BDPV12</stp>
        <stp>CKSO1Z FMDR Curncy</stp>
        <stp>LAST_PRICE</stp>
        <stp>[DataSheet2.2.xlsm]CZK_DATA!R8C12</stp>
        <tr r="L8" s="14"/>
      </tp>
      <tp>
        <v>-23.5</v>
        <stp/>
        <stp>##V3_BDPV12</stp>
        <stp>CKEUBS10 ICPL Curncy</stp>
        <stp>ASK</stp>
        <stp>[DataSheet2.2.xlsm]CZK_DATA!R17C42</stp>
        <tr r="AP17" s="14"/>
      </tp>
      <tp>
        <v>-10.5</v>
        <stp/>
        <stp>##V3_BDPV12</stp>
        <stp>CKEUBS20 ICPL Curncy</stp>
        <stp>ASK</stp>
        <stp>[DataSheet2.2.xlsm]CZK_DATA!R20C42</stp>
        <tr r="AP20" s="14"/>
      </tp>
      <tp>
        <v>-16</v>
        <stp/>
        <stp>##V3_BDPV12</stp>
        <stp>CKEUBS15 ICPL Curncy</stp>
        <stp>ASK</stp>
        <stp>[DataSheet2.2.xlsm]CZK_DATA!R19C42</stp>
        <tr r="AP19" s="14"/>
      </tp>
      <tp>
        <v>-21</v>
        <stp/>
        <stp>##V3_BDPV12</stp>
        <stp>CKEUBS12 ICPL Curncy</stp>
        <stp>ASK</stp>
        <stp>[DataSheet2.2.xlsm]CZK_DATA!R18C42</stp>
        <tr r="AP18" s="14"/>
      </tp>
      <tp>
        <v>-31</v>
        <stp/>
        <stp>##V3_BDPV12</stp>
        <stp>CKEUBS12 ICPL Curncy</stp>
        <stp>BID</stp>
        <stp>[DataSheet2.2.xlsm]CZK_DATA!R18C41</stp>
        <tr r="AO18" s="14"/>
      </tp>
      <tp>
        <v>-26</v>
        <stp/>
        <stp>##V3_BDPV12</stp>
        <stp>CKEUBS15 ICPL Curncy</stp>
        <stp>BID</stp>
        <stp>[DataSheet2.2.xlsm]CZK_DATA!R19C41</stp>
        <tr r="AO19" s="14"/>
      </tp>
      <tp>
        <v>-20.5</v>
        <stp/>
        <stp>##V3_BDPV12</stp>
        <stp>CKEUBS20 ICPL Curncy</stp>
        <stp>BID</stp>
        <stp>[DataSheet2.2.xlsm]CZK_DATA!R20C41</stp>
        <tr r="AO20" s="14"/>
      </tp>
      <tp>
        <v>-33.5</v>
        <stp/>
        <stp>##V3_BDPV12</stp>
        <stp>CKEUBS10 ICPL Curncy</stp>
        <stp>BID</stp>
        <stp>[DataSheet2.2.xlsm]CZK_DATA!R17C41</stp>
        <tr r="AO17" s="14"/>
      </tp>
      <tp>
        <v>0.247</v>
        <stp/>
        <stp>##V3_BDPV12</stp>
        <stp>CDSO1Z FMDR Curncy</stp>
        <stp>LAST_PRICE</stp>
        <stp>[DataSheet2.3.xlsm]GBP_DATA!R8C12</stp>
        <tr r="L8" s="58"/>
      </tp>
      <tp>
        <v>0.247</v>
        <stp/>
        <stp>##V3_BDPV12</stp>
        <stp>CDSO1Z FMDR Curncy</stp>
        <stp>LAST_PRICE</stp>
        <stp>[DataSheet2.3.xlsm]CAD_DATA!R8C12</stp>
        <tr r="L8" s="48"/>
      </tp>
      <tp>
        <v>19.625</v>
        <stp/>
        <stp>##V3_BDPV12</stp>
        <stp>USBG3 CMPN Curncy</stp>
        <stp>LAST_PRICE</stp>
        <stp>[DataSheet2.3.xlsm]USD_DATA!R29C9</stp>
        <tr r="I29" s="6"/>
      </tp>
      <tp>
        <v>-3.7499999999999999E-3</v>
        <stp/>
        <stp>##V3_BDPV12</stp>
        <stp>JYSW8 MTRT Curncy</stp>
        <stp>LAST_PRICE</stp>
        <stp>[DataSheet2.3.xlsm]JPY_DATA!R60C9</stp>
        <tr r="I60" s="46"/>
      </tp>
      <tp>
        <v>30</v>
        <stp/>
        <stp>##V3_BDPV12</stp>
        <stp>AED12M NBAD Curncy</stp>
        <stp>BID</stp>
        <stp>[DataSheet2.2.xlsm]AED_DATA!R29C49</stp>
        <tr r="AW29" s="18"/>
      </tp>
      <tp>
        <v>40</v>
        <stp/>
        <stp>##V3_BDPV12</stp>
        <stp>AED12M NBAD Curncy</stp>
        <stp>ASK</stp>
        <stp>[DataSheet2.2.xlsm]AED_DATA!R29C50</stp>
        <tr r="AX29" s="18"/>
      </tp>
      <tp>
        <v>-106</v>
        <stp/>
        <stp>##V3_BDPV12</stp>
        <stp>RRBS4 TRPU Curncy</stp>
        <stp>PX_LAST</stp>
        <stp>[DataSheet2.2.xlsm]RUB_DATA!R10C43</stp>
        <tr r="AQ10" s="4"/>
      </tp>
      <tp>
        <v>0.65</v>
        <stp/>
        <stp>##V3_BDPV12</stp>
        <stp>HUFO01WK BLC3 Curncy</stp>
        <stp>ASK</stp>
        <stp>[DataSheet2.2.xlsm]HUF_DATA!R8C11</stp>
        <tr r="K8" s="15"/>
      </tp>
      <tp>
        <v>0.65</v>
        <stp/>
        <stp>##V3_BDPV12</stp>
        <stp>HUFO02WK BLC3 Curncy</stp>
        <stp>ASK</stp>
        <stp>[DataSheet2.2.xlsm]HUF_DATA!R9C11</stp>
        <tr r="K9" s="15"/>
      </tp>
      <tp>
        <v>0.37</v>
        <stp/>
        <stp>##V3_BDPV12</stp>
        <stp>CKFR0BH CMPN Curncy</stp>
        <stp>LAST_PRICE</stp>
        <stp>[DataSheet2.2.xlsm]CZK_DATA!R12C20</stp>
        <tr r="T12" s="14"/>
      </tp>
      <tp>
        <v>-0.05</v>
        <stp/>
        <stp>##V3_BDPV12</stp>
        <stp>USDHUFON BGN Curncy</stp>
        <stp>BID</stp>
        <stp>[DataSheet2.2.xlsm]HUF_DATA!R8C49</stp>
        <tr r="AW8" s="15"/>
      </tp>
      <tp>
        <v>-8</v>
        <stp/>
        <stp>##V3_BDPV12</stp>
        <stp>HDBS10 ICHK Curncy</stp>
        <stp>ASK</stp>
        <stp>[DataSheet2.2.xlsm]HKD_DATA!R16C42</stp>
        <tr r="AP16" s="52"/>
      </tp>
      <tp>
        <v>-8</v>
        <stp/>
        <stp>##V3_BDPV12</stp>
        <stp>HDBS12 ICHK Curncy</stp>
        <stp>ASK</stp>
        <stp>[DataSheet2.2.xlsm]HKD_DATA!R17C42</stp>
        <tr r="AP17" s="52"/>
      </tp>
      <tp>
        <v>-8</v>
        <stp/>
        <stp>##V3_BDPV12</stp>
        <stp>HDBS15 ICHK Curncy</stp>
        <stp>ASK</stp>
        <stp>[DataSheet2.2.xlsm]HKD_DATA!R18C42</stp>
        <tr r="AP18" s="52"/>
      </tp>
      <tp>
        <v>-10</v>
        <stp/>
        <stp>##V3_BDPV12</stp>
        <stp>HDBS1F ICHK Curncy</stp>
        <stp>ASK</stp>
        <stp>[DataSheet2.2.xlsm]HKD_DATA!R10C42</stp>
        <tr r="AP10" s="52"/>
      </tp>
      <tp>
        <v>2.8149999999999999</v>
        <stp/>
        <stp>##V3_BDPV12</stp>
        <stp>EURNSW10 CCMK Curncy</stp>
        <stp>ASK</stp>
        <stp>[DataSheet2.2.xlsm]RON_DATA!R30C50</stp>
        <tr r="AX30" s="16"/>
      </tp>
      <tp>
        <v>-16</v>
        <stp/>
        <stp>##V3_BDPV12</stp>
        <stp>HDBS15 ICHK Curncy</stp>
        <stp>BID</stp>
        <stp>[DataSheet2.2.xlsm]HKD_DATA!R18C41</stp>
        <tr r="AO18" s="52"/>
      </tp>
      <tp>
        <v>-16</v>
        <stp/>
        <stp>##V3_BDPV12</stp>
        <stp>HDBS12 ICHK Curncy</stp>
        <stp>BID</stp>
        <stp>[DataSheet2.2.xlsm]HKD_DATA!R17C41</stp>
        <tr r="AO17" s="52"/>
      </tp>
      <tp>
        <v>-16</v>
        <stp/>
        <stp>##V3_BDPV12</stp>
        <stp>HDBS10 ICHK Curncy</stp>
        <stp>BID</stp>
        <stp>[DataSheet2.2.xlsm]HKD_DATA!R16C41</stp>
        <tr r="AO16" s="52"/>
      </tp>
      <tp>
        <v>-18</v>
        <stp/>
        <stp>##V3_BDPV12</stp>
        <stp>HDBS1F ICHK Curncy</stp>
        <stp>BID</stp>
        <stp>[DataSheet2.2.xlsm]HKD_DATA!R10C41</stp>
        <tr r="AO10" s="52"/>
      </tp>
      <tp>
        <v>2.415</v>
        <stp/>
        <stp>##V3_BDPV12</stp>
        <stp>EURNSW10 CCMK Curncy</stp>
        <stp>BID</stp>
        <stp>[DataSheet2.2.xlsm]RON_DATA!R30C49</stp>
        <tr r="AW30" s="16"/>
      </tp>
      <tp>
        <v>3.25</v>
        <stp/>
        <stp>##V3_BDPV12</stp>
        <stp>HFEBS4 ICPL Curncy</stp>
        <stp>BID</stp>
        <stp>[DataSheet2.2.xlsm]HUF_DATA!R10C41</stp>
        <tr r="AO10" s="15"/>
      </tp>
      <tp>
        <v>3</v>
        <stp/>
        <stp>##V3_BDPV12</stp>
        <stp>HFEBS5 ICPL Curncy</stp>
        <stp>BID</stp>
        <stp>[DataSheet2.2.xlsm]HUF_DATA!R11C41</stp>
        <tr r="AO11" s="15"/>
      </tp>
      <tp>
        <v>2.75</v>
        <stp/>
        <stp>##V3_BDPV12</stp>
        <stp>HFEBS6 ICPL Curncy</stp>
        <stp>BID</stp>
        <stp>[DataSheet2.2.xlsm]HUF_DATA!R12C41</stp>
        <tr r="AO12" s="15"/>
      </tp>
      <tp>
        <v>2.5</v>
        <stp/>
        <stp>##V3_BDPV12</stp>
        <stp>HFEBS7 ICPL Curncy</stp>
        <stp>BID</stp>
        <stp>[DataSheet2.2.xlsm]HUF_DATA!R13C41</stp>
        <tr r="AO13" s="15"/>
      </tp>
      <tp>
        <v>2.25</v>
        <stp/>
        <stp>##V3_BDPV12</stp>
        <stp>HFEBS8 ICPL Curncy</stp>
        <stp>BID</stp>
        <stp>[DataSheet2.2.xlsm]HUF_DATA!R14C41</stp>
        <tr r="AO14" s="15"/>
      </tp>
      <tp>
        <v>2</v>
        <stp/>
        <stp>##V3_BDPV12</stp>
        <stp>HFEBS9 ICPL Curncy</stp>
        <stp>BID</stp>
        <stp>[DataSheet2.2.xlsm]HUF_DATA!R15C41</stp>
        <tr r="AO15" s="15"/>
      </tp>
      <tp>
        <v>12.25</v>
        <stp/>
        <stp>##V3_BDPV12</stp>
        <stp>HFEBS8 ICPL Curncy</stp>
        <stp>ASK</stp>
        <stp>[DataSheet2.2.xlsm]HUF_DATA!R14C42</stp>
        <tr r="AP14" s="15"/>
      </tp>
      <tp>
        <v>12</v>
        <stp/>
        <stp>##V3_BDPV12</stp>
        <stp>HFEBS9 ICPL Curncy</stp>
        <stp>ASK</stp>
        <stp>[DataSheet2.2.xlsm]HUF_DATA!R15C42</stp>
        <tr r="AP15" s="15"/>
      </tp>
      <tp>
        <v>13.25</v>
        <stp/>
        <stp>##V3_BDPV12</stp>
        <stp>HFEBS4 ICPL Curncy</stp>
        <stp>ASK</stp>
        <stp>[DataSheet2.2.xlsm]HUF_DATA!R10C42</stp>
        <tr r="AP10" s="15"/>
      </tp>
      <tp>
        <v>13</v>
        <stp/>
        <stp>##V3_BDPV12</stp>
        <stp>HFEBS5 ICPL Curncy</stp>
        <stp>ASK</stp>
        <stp>[DataSheet2.2.xlsm]HUF_DATA!R11C42</stp>
        <tr r="AP11" s="15"/>
      </tp>
      <tp>
        <v>12.75</v>
        <stp/>
        <stp>##V3_BDPV12</stp>
        <stp>HFEBS6 ICPL Curncy</stp>
        <stp>ASK</stp>
        <stp>[DataSheet2.2.xlsm]HUF_DATA!R12C42</stp>
        <tr r="AP12" s="15"/>
      </tp>
      <tp>
        <v>12.5</v>
        <stp/>
        <stp>##V3_BDPV12</stp>
        <stp>HFEBS7 ICPL Curncy</stp>
        <stp>ASK</stp>
        <stp>[DataSheet2.2.xlsm]HUF_DATA!R13C42</stp>
        <tr r="AP13" s="15"/>
      </tp>
      <tp>
        <v>7.0999999999999994E-2</v>
        <stp/>
        <stp>##V3_BDPV12</stp>
        <stp>TELBOR06 Index</stp>
        <stp>PX_LAST</stp>
        <stp>[DataSheet2.2.xlsm]ILS_DATA!R10C20</stp>
        <tr r="T10" s="17"/>
      </tp>
      <tp t="s">
        <v>16/12/2020</v>
        <stp/>
        <stp>##V3_BDPV12</stp>
        <stp>ED1 Comdty</stp>
        <stp>INT_RATE_FUT_END_DT</stp>
        <stp>[DataSheet2.3.xlsm]USD_DATA!R11C16</stp>
        <tr r="P11" s="6"/>
      </tp>
      <tp>
        <v>19.0625</v>
        <stp/>
        <stp>##V3_BDPV12</stp>
        <stp>USBG2 CMPN Curncy</stp>
        <stp>LAST_PRICE</stp>
        <stp>[DataSheet2.3.xlsm]USD_DATA!R28C9</stp>
        <tr r="I28" s="6"/>
      </tp>
      <tp>
        <v>1.6250000000000001E-2</v>
        <stp/>
        <stp>##V3_BDPV12</stp>
        <stp>JYSW9 MTRT Curncy</stp>
        <stp>LAST_PRICE</stp>
        <stp>[DataSheet2.3.xlsm]JPY_DATA!R61C9</stp>
        <tr r="I61" s="46"/>
      </tp>
      <tp>
        <v>0.57999999999999996</v>
        <stp/>
        <stp>##V3_BDPV12</stp>
        <stp>HUFO01YR BLC3 Curncy</stp>
        <stp>LAST_PRICE</stp>
        <stp>[DataSheet2.2.xlsm]HUF_DATA!R15C12</stp>
        <tr r="L15" s="15"/>
      </tp>
      <tp>
        <v>0.46</v>
        <stp/>
        <stp>##V3_BDPV12</stp>
        <stp>HUFO02WK BLC3 Curncy</stp>
        <stp>BID</stp>
        <stp>[DataSheet2.2.xlsm]HUF_DATA!R9C10</stp>
        <tr r="J9" s="15"/>
      </tp>
      <tp>
        <v>0.46</v>
        <stp/>
        <stp>##V3_BDPV12</stp>
        <stp>HUFO01WK BLC3 Curncy</stp>
        <stp>BID</stp>
        <stp>[DataSheet2.2.xlsm]HUF_DATA!R8C10</stp>
        <tr r="J8" s="15"/>
      </tp>
      <tp>
        <v>0.36</v>
        <stp/>
        <stp>##V3_BDPV12</stp>
        <stp>CKFR0AG CMPN Curncy</stp>
        <stp>LAST_PRICE</stp>
        <stp>[DataSheet2.2.xlsm]CZK_DATA!R11C20</stp>
        <tr r="T11" s="14"/>
      </tp>
      <tp>
        <v>0.3</v>
        <stp/>
        <stp>##V3_BDPV12</stp>
        <stp>USDHUFON BGN Curncy</stp>
        <stp>ASK</stp>
        <stp>[DataSheet2.2.xlsm]HUF_DATA!R8C50</stp>
        <tr r="AX8" s="15"/>
      </tp>
      <tp>
        <v>12</v>
        <stp/>
        <stp>##V3_BDPV12</stp>
        <stp>SRBSV10 GMGM Curncy</stp>
        <stp>MID</stp>
        <stp>[DataSheet2.2.xlsm]SAR_DATA!R18C30</stp>
        <tr r="AD18" s="19"/>
      </tp>
      <tp>
        <v>18.4375</v>
        <stp/>
        <stp>##V3_BDPV12</stp>
        <stp>USBG1 CMPN Curncy</stp>
        <stp>LAST_PRICE</stp>
        <stp>[DataSheet2.3.xlsm]USD_DATA!R27C9</stp>
        <tr r="I27" s="6"/>
      </tp>
      <tp>
        <v>-83</v>
        <stp/>
        <stp>##V3_BDPV12</stp>
        <stp>SRUSSW4 GMGM Curncy</stp>
        <stp>BID</stp>
        <stp>[DataSheet2.2.xlsm]SAR_DATA!R10C41</stp>
        <tr r="AO10" s="19"/>
      </tp>
      <tp>
        <v>-93</v>
        <stp/>
        <stp>##V3_BDPV12</stp>
        <stp>SRUSSW5 GMGM Curncy</stp>
        <stp>BID</stp>
        <stp>[DataSheet2.2.xlsm]SAR_DATA!R11C41</stp>
        <tr r="AO11" s="19"/>
      </tp>
      <tp>
        <v>-114</v>
        <stp/>
        <stp>##V3_BDPV12</stp>
        <stp>SRUSSW7 GMGM Curncy</stp>
        <stp>BID</stp>
        <stp>[DataSheet2.2.xlsm]SAR_DATA!R12C41</stp>
        <tr r="AO12" s="19"/>
      </tp>
      <tp>
        <v>-94</v>
        <stp/>
        <stp>##V3_BDPV12</stp>
        <stp>SRUSSW7 GMGM Curncy</stp>
        <stp>ASK</stp>
        <stp>[DataSheet2.2.xlsm]SAR_DATA!R12C42</stp>
        <tr r="AP12" s="19"/>
      </tp>
      <tp>
        <v>-68</v>
        <stp/>
        <stp>##V3_BDPV12</stp>
        <stp>SRUSSW4 GMGM Curncy</stp>
        <stp>ASK</stp>
        <stp>[DataSheet2.2.xlsm]SAR_DATA!R10C42</stp>
        <tr r="AP10" s="19"/>
      </tp>
      <tp>
        <v>-78</v>
        <stp/>
        <stp>##V3_BDPV12</stp>
        <stp>SRUSSW5 GMGM Curncy</stp>
        <stp>ASK</stp>
        <stp>[DataSheet2.2.xlsm]SAR_DATA!R11C42</stp>
        <tr r="AP11" s="19"/>
      </tp>
      <tp>
        <v>0.95</v>
        <stp/>
        <stp>##V3_BDPV12</stp>
        <stp>SRFR0I1 GMGM Curncy</stp>
        <stp>ASK</stp>
        <stp>[DataSheet2.2.xlsm]SAR_DATA!R16C19</stp>
        <tr r="S16" s="19"/>
      </tp>
      <tp>
        <v>0.96</v>
        <stp/>
        <stp>##V3_BDPV12</stp>
        <stp>SRFR0FI GMGM Curncy</stp>
        <stp>ASK</stp>
        <stp>[DataSheet2.2.xlsm]SAR_DATA!R15C19</stp>
        <tr r="S15" s="19"/>
      </tp>
      <tp>
        <v>0.97</v>
        <stp/>
        <stp>##V3_BDPV12</stp>
        <stp>SRFR0BE GMGM Curncy</stp>
        <stp>ASK</stp>
        <stp>[DataSheet2.2.xlsm]SAR_DATA!R13C19</stp>
        <tr r="S13" s="19"/>
      </tp>
      <tp>
        <v>1.02</v>
        <stp/>
        <stp>##V3_BDPV12</stp>
        <stp>SRFR0CF GMGM Curncy</stp>
        <stp>ASK</stp>
        <stp>[DataSheet2.2.xlsm]SAR_DATA!R14C19</stp>
        <tr r="S14" s="19"/>
      </tp>
      <tp>
        <v>0.95</v>
        <stp/>
        <stp>##V3_BDPV12</stp>
        <stp>SRFR0AD GMGM Curncy</stp>
        <stp>ASK</stp>
        <stp>[DataSheet2.2.xlsm]SAR_DATA!R12C19</stp>
        <tr r="S12" s="19"/>
      </tp>
      <tp>
        <v>0.88</v>
        <stp/>
        <stp>##V3_BDPV12</stp>
        <stp>SRFR0FI GMGM Curncy</stp>
        <stp>BID</stp>
        <stp>[DataSheet2.2.xlsm]SAR_DATA!R15C18</stp>
        <tr r="R15" s="19"/>
      </tp>
      <tp>
        <v>0.87</v>
        <stp/>
        <stp>##V3_BDPV12</stp>
        <stp>SRFR0AD GMGM Curncy</stp>
        <stp>BID</stp>
        <stp>[DataSheet2.2.xlsm]SAR_DATA!R12C18</stp>
        <tr r="R12" s="19"/>
      </tp>
      <tp>
        <v>0.94</v>
        <stp/>
        <stp>##V3_BDPV12</stp>
        <stp>SRFR0CF GMGM Curncy</stp>
        <stp>BID</stp>
        <stp>[DataSheet2.2.xlsm]SAR_DATA!R14C18</stp>
        <tr r="R14" s="19"/>
      </tp>
      <tp>
        <v>0.89</v>
        <stp/>
        <stp>##V3_BDPV12</stp>
        <stp>SRFR0BE GMGM Curncy</stp>
        <stp>BID</stp>
        <stp>[DataSheet2.2.xlsm]SAR_DATA!R13C18</stp>
        <tr r="R13" s="19"/>
      </tp>
      <tp>
        <v>0.87</v>
        <stp/>
        <stp>##V3_BDPV12</stp>
        <stp>SRFR0I1 GMGM Curncy</stp>
        <stp>BID</stp>
        <stp>[DataSheet2.2.xlsm]SAR_DATA!R16C18</stp>
        <tr r="R16" s="19"/>
      </tp>
      <tp>
        <v>-15.866</v>
        <stp/>
        <stp>##V3_BDPV12</stp>
        <stp>CDBS20 Curncy</stp>
        <stp>BID</stp>
        <stp>[DataSheet2.3.xlsm]GBP_DATA!R17C41</stp>
        <tr r="AO17" s="58"/>
      </tp>
      <tp>
        <v>-12.746</v>
        <stp/>
        <stp>##V3_BDPV12</stp>
        <stp>CDBS10 Curncy</stp>
        <stp>BID</stp>
        <stp>[DataSheet2.3.xlsm]GBP_DATA!R16C41</stp>
        <tr r="AO16" s="58"/>
      </tp>
      <tp>
        <v>-19.038</v>
        <stp/>
        <stp>##V3_BDPV12</stp>
        <stp>CDBS30 Curncy</stp>
        <stp>BID</stp>
        <stp>[DataSheet2.3.xlsm]GBP_DATA!R18C41</stp>
        <tr r="AO18" s="58"/>
      </tp>
      <tp>
        <v>-16.962</v>
        <stp/>
        <stp>##V3_BDPV12</stp>
        <stp>CDBS30 Curncy</stp>
        <stp>ASK</stp>
        <stp>[DataSheet2.3.xlsm]GBP_DATA!R18C42</stp>
        <tr r="AP18" s="58"/>
      </tp>
      <tp>
        <v>-10.754</v>
        <stp/>
        <stp>##V3_BDPV12</stp>
        <stp>CDBS10 Curncy</stp>
        <stp>ASK</stp>
        <stp>[DataSheet2.3.xlsm]GBP_DATA!R16C42</stp>
        <tr r="AP16" s="58"/>
      </tp>
      <tp>
        <v>-13.634</v>
        <stp/>
        <stp>##V3_BDPV12</stp>
        <stp>CDBS20 Curncy</stp>
        <stp>ASK</stp>
        <stp>[DataSheet2.3.xlsm]GBP_DATA!R17C42</stp>
        <tr r="AP17" s="58"/>
      </tp>
      <tp>
        <v>0.34499999999999997</v>
        <stp/>
        <stp>##V3_BDPV12</stp>
        <stp>CKFR0CF CMPN Curncy</stp>
        <stp>LAST_PRICE</stp>
        <stp>[DataSheet2.2.xlsm]CZK_DATA!R12C25</stp>
        <tr r="Y12" s="14"/>
      </tp>
      <tp>
        <v>1.32</v>
        <stp/>
        <stp>##V3_BDPV12</stp>
        <stp>PZSW15 ICPL Curncy</stp>
        <stp>BID</stp>
        <stp>[DataSheet2.2.xlsm]PLN_DATA!R28C18</stp>
        <tr r="R28" s="12"/>
      </tp>
      <tp>
        <v>1.0349999999999999</v>
        <stp/>
        <stp>##V3_BDPV12</stp>
        <stp>PZSW10 ICPL Curncy</stp>
        <stp>BID</stp>
        <stp>[DataSheet2.2.xlsm]PLN_DATA!R26C18</stp>
        <tr r="R26" s="12"/>
      </tp>
      <tp>
        <v>1.165</v>
        <stp/>
        <stp>##V3_BDPV12</stp>
        <stp>PZSW12 ICPL Curncy</stp>
        <stp>BID</stp>
        <stp>[DataSheet2.2.xlsm]PLN_DATA!R27C18</stp>
        <tr r="R27" s="12"/>
      </tp>
      <tp>
        <v>1.385</v>
        <stp/>
        <stp>##V3_BDPV12</stp>
        <stp>PZSW20 ICPL Curncy</stp>
        <stp>BID</stp>
        <stp>[DataSheet2.2.xlsm]PLN_DATA!R29C18</stp>
        <tr r="R29" s="12"/>
      </tp>
      <tp>
        <v>1.425</v>
        <stp/>
        <stp>##V3_BDPV12</stp>
        <stp>PZSW20 ICPL Curncy</stp>
        <stp>ASK</stp>
        <stp>[DataSheet2.2.xlsm]PLN_DATA!R29C19</stp>
        <tr r="S29" s="12"/>
      </tp>
      <tp>
        <v>1.2050000000000001</v>
        <stp/>
        <stp>##V3_BDPV12</stp>
        <stp>PZSW12 ICPL Curncy</stp>
        <stp>ASK</stp>
        <stp>[DataSheet2.2.xlsm]PLN_DATA!R27C19</stp>
        <tr r="S27" s="12"/>
      </tp>
      <tp>
        <v>1.075</v>
        <stp/>
        <stp>##V3_BDPV12</stp>
        <stp>PZSW10 ICPL Curncy</stp>
        <stp>ASK</stp>
        <stp>[DataSheet2.2.xlsm]PLN_DATA!R26C19</stp>
        <tr r="S26" s="12"/>
      </tp>
      <tp>
        <v>1.36</v>
        <stp/>
        <stp>##V3_BDPV12</stp>
        <stp>PZSW15 ICPL Curncy</stp>
        <stp>ASK</stp>
        <stp>[DataSheet2.2.xlsm]PLN_DATA!R28C19</stp>
        <tr r="S28" s="12"/>
      </tp>
      <tp>
        <v>5.2450000000000001</v>
        <stp/>
        <stp>##V3_BDPV12</stp>
        <stp>IRSWO10 FMDR Curncy</stp>
        <stp>BID</stp>
        <stp>[DataSheet2.2.xlsm]INR_DATA!R19C10</stp>
        <tr r="J19" s="54"/>
      </tp>
      <tp>
        <v>5.274</v>
        <stp/>
        <stp>##V3_BDPV12</stp>
        <stp>IRSWO10 FMDR Curncy</stp>
        <stp>ASK</stp>
        <stp>[DataSheet2.2.xlsm]INR_DATA!R19C11</stp>
        <tr r="K19" s="54"/>
      </tp>
      <tp>
        <v>1610</v>
        <stp/>
        <stp>##V3_BDPV12</stp>
        <stp>SAR10Y GMGM Curncy</stp>
        <stp>BID</stp>
        <stp>[DataSheet2.2.xlsm]SAR_DATA!R23C49</stp>
        <tr r="AW23" s="19"/>
      </tp>
      <tp>
        <v>66</v>
        <stp/>
        <stp>##V3_BDPV12</stp>
        <stp>SAR12M GMGM Curncy</stp>
        <stp>BID</stp>
        <stp>[DataSheet2.2.xlsm]SAR_DATA!R16C49</stp>
        <tr r="AW16" s="19"/>
      </tp>
      <tp>
        <v>14.13</v>
        <stp/>
        <stp>##V3_BDPV12</stp>
        <stp>TYSW2V3 ICPL Curncy</stp>
        <stp>ASK</stp>
        <stp>[DataSheet2.2.xlsm]TRY_DATA!R12C19</stp>
        <tr r="S12" s="10"/>
      </tp>
      <tp>
        <v>12.75</v>
        <stp/>
        <stp>##V3_BDPV12</stp>
        <stp>TYSW1V3 ICPL Curncy</stp>
        <stp>BID</stp>
        <stp>[DataSheet2.2.xlsm]TRY_DATA!R11C18</stp>
        <tr r="R11" s="10"/>
      </tp>
      <tp>
        <v>13.66</v>
        <stp/>
        <stp>##V3_BDPV12</stp>
        <stp>TYSW3V3 ICPL Curncy</stp>
        <stp>ASK</stp>
        <stp>[DataSheet2.2.xlsm]TRY_DATA!R13C19</stp>
        <tr r="S13" s="10"/>
      </tp>
      <tp>
        <v>82</v>
        <stp/>
        <stp>##V3_BDPV12</stp>
        <stp>SAR12M GMGM Curncy</stp>
        <stp>ASK</stp>
        <stp>[DataSheet2.2.xlsm]SAR_DATA!R16C50</stp>
        <tr r="AX16" s="19"/>
      </tp>
      <tp>
        <v>2210</v>
        <stp/>
        <stp>##V3_BDPV12</stp>
        <stp>SAR10Y GMGM Curncy</stp>
        <stp>ASK</stp>
        <stp>[DataSheet2.2.xlsm]SAR_DATA!R23C50</stp>
        <tr r="AX23" s="19"/>
      </tp>
      <tp>
        <v>13.26</v>
        <stp/>
        <stp>##V3_BDPV12</stp>
        <stp>TYSW3V3 ICPL Curncy</stp>
        <stp>BID</stp>
        <stp>[DataSheet2.2.xlsm]TRY_DATA!R13C18</stp>
        <tr r="R13" s="10"/>
      </tp>
      <tp>
        <v>13.15</v>
        <stp/>
        <stp>##V3_BDPV12</stp>
        <stp>TYSW1V3 ICPL Curncy</stp>
        <stp>ASK</stp>
        <stp>[DataSheet2.2.xlsm]TRY_DATA!R11C19</stp>
        <tr r="S11" s="10"/>
      </tp>
      <tp>
        <v>13.73</v>
        <stp/>
        <stp>##V3_BDPV12</stp>
        <stp>TYSW2V3 ICPL Curncy</stp>
        <stp>BID</stp>
        <stp>[DataSheet2.2.xlsm]TRY_DATA!R12C18</stp>
        <tr r="R12" s="10"/>
      </tp>
      <tp>
        <v>13.27</v>
        <stp/>
        <stp>##V3_BDPV12</stp>
        <stp>TYSW6V3 ICPL Curncy</stp>
        <stp>ASK</stp>
        <stp>[DataSheet2.2.xlsm]TRY_DATA!R16C19</stp>
        <tr r="S16" s="10"/>
      </tp>
      <tp>
        <v>12.79</v>
        <stp/>
        <stp>##V3_BDPV12</stp>
        <stp>TYSW5V3 ICPL Curncy</stp>
        <stp>BID</stp>
        <stp>[DataSheet2.2.xlsm]TRY_DATA!R15C18</stp>
        <tr r="R15" s="10"/>
      </tp>
      <tp>
        <v>12.88</v>
        <stp/>
        <stp>##V3_BDPV12</stp>
        <stp>TYSW7V3 ICPL Curncy</stp>
        <stp>ASK</stp>
        <stp>[DataSheet2.2.xlsm]TRY_DATA!R17C19</stp>
        <tr r="S17" s="10"/>
      </tp>
      <tp>
        <v>13.19</v>
        <stp/>
        <stp>##V3_BDPV12</stp>
        <stp>TYSW4V3 ICPL Curncy</stp>
        <stp>BID</stp>
        <stp>[DataSheet2.2.xlsm]TRY_DATA!R14C18</stp>
        <tr r="R14" s="10"/>
      </tp>
      <tp>
        <v>13.59</v>
        <stp/>
        <stp>##V3_BDPV12</stp>
        <stp>TYSW4V3 ICPL Curncy</stp>
        <stp>ASK</stp>
        <stp>[DataSheet2.2.xlsm]TRY_DATA!R14C19</stp>
        <tr r="S14" s="10"/>
      </tp>
      <tp>
        <v>12.48</v>
        <stp/>
        <stp>##V3_BDPV12</stp>
        <stp>TYSW7V3 ICPL Curncy</stp>
        <stp>BID</stp>
        <stp>[DataSheet2.2.xlsm]TRY_DATA!R17C18</stp>
        <tr r="R17" s="10"/>
      </tp>
      <tp>
        <v>13.19</v>
        <stp/>
        <stp>##V3_BDPV12</stp>
        <stp>TYSW5V3 ICPL Curncy</stp>
        <stp>ASK</stp>
        <stp>[DataSheet2.2.xlsm]TRY_DATA!R15C19</stp>
        <tr r="S15" s="10"/>
      </tp>
      <tp>
        <v>12.87</v>
        <stp/>
        <stp>##V3_BDPV12</stp>
        <stp>TYSW6V3 ICPL Curncy</stp>
        <stp>BID</stp>
        <stp>[DataSheet2.2.xlsm]TRY_DATA!R16C18</stp>
        <tr r="R16" s="10"/>
      </tp>
      <tp>
        <v>12.04</v>
        <stp/>
        <stp>##V3_BDPV12</stp>
        <stp>TYSW9V3 ICPL Curncy</stp>
        <stp>BID</stp>
        <stp>[DataSheet2.2.xlsm]TRY_DATA!R19C18</stp>
        <tr r="R19" s="10"/>
      </tp>
      <tp>
        <v>12.3</v>
        <stp/>
        <stp>##V3_BDPV12</stp>
        <stp>TYSW8V3 ICPL Curncy</stp>
        <stp>BID</stp>
        <stp>[DataSheet2.2.xlsm]TRY_DATA!R18C18</stp>
        <tr r="R18" s="10"/>
      </tp>
      <tp>
        <v>12.7</v>
        <stp/>
        <stp>##V3_BDPV12</stp>
        <stp>TYSW8V3 ICPL Curncy</stp>
        <stp>ASK</stp>
        <stp>[DataSheet2.2.xlsm]TRY_DATA!R18C19</stp>
        <tr r="S18" s="10"/>
      </tp>
      <tp>
        <v>12.46</v>
        <stp/>
        <stp>##V3_BDPV12</stp>
        <stp>TYSW9V3 ICPL Curncy</stp>
        <stp>ASK</stp>
        <stp>[DataSheet2.2.xlsm]TRY_DATA!R19C19</stp>
        <tr r="S19" s="10"/>
      </tp>
      <tp>
        <v>3034.5</v>
        <stp/>
        <stp>##V3_BDPV12</stp>
        <stp>EURRON2Y CCMK Curncy</stp>
        <stp>LAST_PRICE</stp>
        <stp>[DataSheet2.2.xlsm]RON_DATA!R18C51</stp>
        <tr r="AY18" s="16"/>
      </tp>
      <tp>
        <v>4592.5</v>
        <stp/>
        <stp>##V3_BDPV12</stp>
        <stp>EURRON3Y CCMK Curncy</stp>
        <stp>LAST_PRICE</stp>
        <stp>[DataSheet2.2.xlsm]RON_DATA!R19C51</stp>
        <tr r="AY19" s="16"/>
      </tp>
      <tp>
        <v>7795.5</v>
        <stp/>
        <stp>##V3_BDPV12</stp>
        <stp>EURRON5Y CCMK Curncy</stp>
        <stp>LAST_PRICE</stp>
        <stp>[DataSheet2.2.xlsm]RON_DATA!R20C51</stp>
        <tr r="AY20" s="16"/>
      </tp>
      <tp>
        <v>0.37117076873779298</v>
        <stp/>
        <stp>##V3_BVIEW</stp>
        <stp>[DataSheet2.3.xlsm]EUR_CURVES!R4C26</stp>
        <stp>EUR.3M:BLOOMBERG DC 827353</stp>
        <stp>volatility</stp>
        <tr r="Z4" s="32"/>
      </tp>
      <tp>
        <v>0.34300000000000003</v>
        <stp/>
        <stp>##V3_BDPV12</stp>
        <stp>CKFR0BE CMPN Curncy</stp>
        <stp>LAST_PRICE</stp>
        <stp>[DataSheet2.2.xlsm]CZK_DATA!R11C25</stp>
        <tr r="Y11" s="14"/>
      </tp>
      <tp>
        <v>304.44</v>
        <stp/>
        <stp>##V3_BDPV12</stp>
        <stp>USDHUF Curncy</stp>
        <stp>ASK</stp>
        <stp>[DataSheet2.2.xlsm]HUF_DATA!R7C50</stp>
        <tr r="AX7" s="15"/>
      </tp>
      <tp>
        <v>22.567699999999999</v>
        <stp/>
        <stp>##V3_BDPV12</stp>
        <stp>USDCZK Curncy</stp>
        <stp>BID</stp>
        <stp>[DataSheet2.2.xlsm]CZK_DATA!R7C49</stp>
        <tr r="AW7" s="14"/>
      </tp>
      <tp>
        <v>23.25</v>
        <stp/>
        <stp>##V3_BDPV12</stp>
        <stp>PZBSEC4 ICPL Curncy</stp>
        <stp>ASK</stp>
        <stp>[DataSheet2.2.xlsm]PLN_DATA!R10C42</stp>
        <tr r="AP10" s="12"/>
      </tp>
      <tp>
        <v>26</v>
        <stp/>
        <stp>##V3_BDPV12</stp>
        <stp>PZBSEC5 ICPL Curncy</stp>
        <stp>ASK</stp>
        <stp>[DataSheet2.2.xlsm]PLN_DATA!R11C42</stp>
        <tr r="AP11" s="12"/>
      </tp>
      <tp>
        <v>27.5</v>
        <stp/>
        <stp>##V3_BDPV12</stp>
        <stp>PZBSEC6 ICPL Curncy</stp>
        <stp>ASK</stp>
        <stp>[DataSheet2.2.xlsm]PLN_DATA!R12C42</stp>
        <tr r="AP12" s="12"/>
      </tp>
      <tp>
        <v>29.25</v>
        <stp/>
        <stp>##V3_BDPV12</stp>
        <stp>PZBSEC7 ICPL Curncy</stp>
        <stp>ASK</stp>
        <stp>[DataSheet2.2.xlsm]PLN_DATA!R13C42</stp>
        <tr r="AP13" s="12"/>
      </tp>
      <tp>
        <v>30.75</v>
        <stp/>
        <stp>##V3_BDPV12</stp>
        <stp>PZBSEC8 ICPL Curncy</stp>
        <stp>ASK</stp>
        <stp>[DataSheet2.2.xlsm]PLN_DATA!R14C42</stp>
        <tr r="AP14" s="12"/>
      </tp>
      <tp>
        <v>32</v>
        <stp/>
        <stp>##V3_BDPV12</stp>
        <stp>PZBSEC9 ICPL Curncy</stp>
        <stp>ASK</stp>
        <stp>[DataSheet2.2.xlsm]PLN_DATA!R15C42</stp>
        <tr r="AP15" s="12"/>
      </tp>
      <tp>
        <v>20.75</v>
        <stp/>
        <stp>##V3_BDPV12</stp>
        <stp>PZBSEC8 ICPL Curncy</stp>
        <stp>BID</stp>
        <stp>[DataSheet2.2.xlsm]PLN_DATA!R14C41</stp>
        <tr r="AO14" s="12"/>
      </tp>
      <tp>
        <v>22</v>
        <stp/>
        <stp>##V3_BDPV12</stp>
        <stp>PZBSEC9 ICPL Curncy</stp>
        <stp>BID</stp>
        <stp>[DataSheet2.2.xlsm]PLN_DATA!R15C41</stp>
        <tr r="AO15" s="12"/>
      </tp>
      <tp>
        <v>13.25</v>
        <stp/>
        <stp>##V3_BDPV12</stp>
        <stp>PZBSEC4 ICPL Curncy</stp>
        <stp>BID</stp>
        <stp>[DataSheet2.2.xlsm]PLN_DATA!R10C41</stp>
        <tr r="AO10" s="12"/>
      </tp>
      <tp>
        <v>16</v>
        <stp/>
        <stp>##V3_BDPV12</stp>
        <stp>PZBSEC5 ICPL Curncy</stp>
        <stp>BID</stp>
        <stp>[DataSheet2.2.xlsm]PLN_DATA!R11C41</stp>
        <tr r="AO11" s="12"/>
      </tp>
      <tp>
        <v>17.5</v>
        <stp/>
        <stp>##V3_BDPV12</stp>
        <stp>PZBSEC6 ICPL Curncy</stp>
        <stp>BID</stp>
        <stp>[DataSheet2.2.xlsm]PLN_DATA!R12C41</stp>
        <tr r="AO12" s="12"/>
      </tp>
      <tp>
        <v>19.25</v>
        <stp/>
        <stp>##V3_BDPV12</stp>
        <stp>PZBSEC7 ICPL Curncy</stp>
        <stp>BID</stp>
        <stp>[DataSheet2.2.xlsm]PLN_DATA!R13C41</stp>
        <tr r="AO13" s="12"/>
      </tp>
      <tp>
        <v>0.75</v>
        <stp/>
        <stp>##V3_BDPV12</stp>
        <stp>HUFO09MO BLC3 Curncy</stp>
        <stp>ASK</stp>
        <stp>[DataSheet2.2.xlsm]HUF_DATA!R14C11</stp>
        <tr r="K14" s="15"/>
      </tp>
      <tp>
        <v>0.56999999999999995</v>
        <stp/>
        <stp>##V3_BDPV12</stp>
        <stp>HUFO09MO BLC3 Curncy</stp>
        <stp>BID</stp>
        <stp>[DataSheet2.2.xlsm]HUF_DATA!R14C10</stp>
        <tr r="J14" s="15"/>
      </tp>
      <tp>
        <v>0.52</v>
        <stp/>
        <stp>##V3_BDPV12</stp>
        <stp>HUFO06MO BLC3 Curncy</stp>
        <stp>BID</stp>
        <stp>[DataSheet2.2.xlsm]HUF_DATA!R13C10</stp>
        <tr r="J13" s="15"/>
      </tp>
      <tp>
        <v>0.71</v>
        <stp/>
        <stp>##V3_BDPV12</stp>
        <stp>HUFO06MO BLC3 Curncy</stp>
        <stp>ASK</stp>
        <stp>[DataSheet2.2.xlsm]HUF_DATA!R13C11</stp>
        <tr r="K13" s="15"/>
      </tp>
      <tp>
        <v>0.66</v>
        <stp/>
        <stp>##V3_BDPV12</stp>
        <stp>HUFO01MO BLC3 Curncy</stp>
        <stp>ASK</stp>
        <stp>[DataSheet2.2.xlsm]HUF_DATA!R10C11</stp>
        <tr r="K10" s="15"/>
      </tp>
      <tp>
        <v>0.76</v>
        <stp/>
        <stp>##V3_BDPV12</stp>
        <stp>HUFO01YR BLC3 Curncy</stp>
        <stp>ASK</stp>
        <stp>[DataSheet2.2.xlsm]HUF_DATA!R15C11</stp>
        <tr r="K15" s="15"/>
      </tp>
      <tp>
        <v>0.47</v>
        <stp/>
        <stp>##V3_BDPV12</stp>
        <stp>HUFO02MO BLC3 Curncy</stp>
        <stp>BID</stp>
        <stp>[DataSheet2.2.xlsm]HUF_DATA!R11C10</stp>
        <tr r="J11" s="15"/>
      </tp>
      <tp>
        <v>0.48</v>
        <stp/>
        <stp>##V3_BDPV12</stp>
        <stp>HUFO03MO BLC3 Curncy</stp>
        <stp>BID</stp>
        <stp>[DataSheet2.2.xlsm]HUF_DATA!R12C10</stp>
        <tr r="J12" s="15"/>
      </tp>
      <tp>
        <v>0.67</v>
        <stp/>
        <stp>##V3_BDPV12</stp>
        <stp>HUFO03MO BLC3 Curncy</stp>
        <stp>ASK</stp>
        <stp>[DataSheet2.2.xlsm]HUF_DATA!R12C11</stp>
        <tr r="K12" s="15"/>
      </tp>
      <tp>
        <v>0.66</v>
        <stp/>
        <stp>##V3_BDPV12</stp>
        <stp>HUFO02MO BLC3 Curncy</stp>
        <stp>ASK</stp>
        <stp>[DataSheet2.2.xlsm]HUF_DATA!R11C11</stp>
        <tr r="K11" s="15"/>
      </tp>
      <tp>
        <v>0.57999999999999996</v>
        <stp/>
        <stp>##V3_BDPV12</stp>
        <stp>HUFO01YR BLC3 Curncy</stp>
        <stp>BID</stp>
        <stp>[DataSheet2.2.xlsm]HUF_DATA!R15C10</stp>
        <tr r="J15" s="15"/>
      </tp>
      <tp>
        <v>0.46</v>
        <stp/>
        <stp>##V3_BDPV12</stp>
        <stp>HUFO01MO BLC3 Curncy</stp>
        <stp>BID</stp>
        <stp>[DataSheet2.2.xlsm]HUF_DATA!R10C10</stp>
        <tr r="J10" s="15"/>
      </tp>
      <tp>
        <v>0.34300000000000003</v>
        <stp/>
        <stp>##V3_BDPV12</stp>
        <stp>CKFR0AD CMPN Curncy</stp>
        <stp>LAST_PRICE</stp>
        <stp>[DataSheet2.3.xlsm]CAD_DATA!R10C25</stp>
        <tr r="Y10" s="48"/>
      </tp>
      <tp t="s">
        <v>#N/A N/A</v>
        <stp/>
        <stp>##V3_BDPV12</stp>
        <stp>SARTN SABK Curncy</stp>
        <stp>PX_LAST</stp>
        <stp>[DataSheet2.2.xlsm]SAR_DATA!R25C51</stp>
        <tr r="AY25" s="19"/>
      </tp>
      <tp>
        <v>39.5</v>
        <stp/>
        <stp>##V3_BDPV12</stp>
        <stp>SAR9M SABK Curncy</stp>
        <stp>PX_LAST</stp>
        <stp>[DataSheet2.2.xlsm]SAR_DATA!R31C51</stp>
        <tr r="AY31" s="19"/>
      </tp>
      <tp>
        <v>18.5</v>
        <stp/>
        <stp>##V3_BDPV12</stp>
        <stp>SAR6M SABK Curncy</stp>
        <stp>PX_LAST</stp>
        <stp>[DataSheet2.2.xlsm]SAR_DATA!R30C51</stp>
        <tr r="AY30" s="19"/>
      </tp>
      <tp t="s">
        <v>#N/A N/A</v>
        <stp/>
        <stp>##V3_BDPV12</stp>
        <stp>SAR5Y SABK Curncy</stp>
        <stp>PX_LAST</stp>
        <stp>[DataSheet2.2.xlsm]SAR_DATA!R36C51</stp>
        <tr r="AY36" s="19"/>
      </tp>
      <tp t="s">
        <v>#N/A N/A</v>
        <stp/>
        <stp>##V3_BDPV12</stp>
        <stp>SAR4Y SABK Curncy</stp>
        <stp>PX_LAST</stp>
        <stp>[DataSheet2.2.xlsm]SAR_DATA!R35C51</stp>
        <tr r="AY35" s="19"/>
      </tp>
      <tp>
        <v>6</v>
        <stp/>
        <stp>##V3_BDPV12</stp>
        <stp>SAR2M SABK Curncy</stp>
        <stp>PX_LAST</stp>
        <stp>[DataSheet2.2.xlsm]SAR_DATA!R28C51</stp>
        <tr r="AY28" s="19"/>
      </tp>
      <tp>
        <v>350</v>
        <stp/>
        <stp>##V3_BDPV12</stp>
        <stp>SAR3Y SABK Curncy</stp>
        <stp>PX_LAST</stp>
        <stp>[DataSheet2.2.xlsm]SAR_DATA!R34C51</stp>
        <tr r="AY34" s="19"/>
      </tp>
      <tp>
        <v>9</v>
        <stp/>
        <stp>##V3_BDPV12</stp>
        <stp>SAR3M SABK Curncy</stp>
        <stp>PX_LAST</stp>
        <stp>[DataSheet2.2.xlsm]SAR_DATA!R29C51</stp>
        <tr r="AY29" s="19"/>
      </tp>
      <tp>
        <v>197.5</v>
        <stp/>
        <stp>##V3_BDPV12</stp>
        <stp>SAR2Y SABK Curncy</stp>
        <stp>PX_LAST</stp>
        <stp>[DataSheet2.2.xlsm]SAR_DATA!R33C51</stp>
        <tr r="AY33" s="19"/>
      </tp>
      <tp>
        <v>2</v>
        <stp/>
        <stp>##V3_BDPV12</stp>
        <stp>SAR1M SABK Curncy</stp>
        <stp>PX_LAST</stp>
        <stp>[DataSheet2.2.xlsm]SAR_DATA!R27C51</stp>
        <tr r="AY27" s="19"/>
      </tp>
      <tp>
        <v>-0.3</v>
        <stp/>
        <stp>##V3_BDPV12</stp>
        <stp>SAR1W SABK Curncy</stp>
        <stp>PX_LAST</stp>
        <stp>[DataSheet2.2.xlsm]SAR_DATA!R26C51</stp>
        <tr r="AY26" s="19"/>
      </tp>
      <tp>
        <v>0.34300000000000003</v>
        <stp/>
        <stp>##V3_BDPV12</stp>
        <stp>CKFR0AD CMPN Curncy</stp>
        <stp>LAST_PRICE</stp>
        <stp>[DataSheet2.2.xlsm]CZK_DATA!R10C25</stp>
        <tr r="Y10" s="14"/>
      </tp>
      <tp>
        <v>-30.047999999999998</v>
        <stp/>
        <stp>##V3_BDPV12</stp>
        <stp>CDBSI Curncy</stp>
        <stp>ASK</stp>
        <stp>[DataSheet2.3.xlsm]GBP_DATA!R9C42</stp>
        <tr r="AP9" s="58"/>
      </tp>
      <tp>
        <v>-30.047999999999998</v>
        <stp/>
        <stp>##V3_BDPV12</stp>
        <stp>CDBSI Curncy</stp>
        <stp>ASK</stp>
        <stp>[DataSheet2.3.xlsm]CAD_DATA!R9C42</stp>
        <tr r="AP9" s="48"/>
      </tp>
      <tp>
        <v>4.7</v>
        <stp/>
        <stp>##V3_BDPV12</stp>
        <stp>RRFR1C1F TRSU Curncy</stp>
        <stp>LAST_PRICE</stp>
        <stp>[DataSheet2.2.xlsm]RUB_DATA!R17C20</stp>
        <tr r="T17" s="4"/>
      </tp>
      <tp>
        <v>-32.993000000000002</v>
        <stp/>
        <stp>##V3_BDPV12</stp>
        <stp>CDBSF Curncy</stp>
        <stp>ASK</stp>
        <stp>[DataSheet2.3.xlsm]CAD_DATA!R8C42</stp>
        <tr r="AP8" s="48"/>
      </tp>
      <tp>
        <v>-31.492999999999999</v>
        <stp/>
        <stp>##V3_BDPV12</stp>
        <stp>CDBSC Curncy</stp>
        <stp>ASK</stp>
        <stp>[DataSheet2.3.xlsm]GBP_DATA!R7C42</stp>
        <tr r="AP7" s="58"/>
      </tp>
      <tp>
        <v>-32.993000000000002</v>
        <stp/>
        <stp>##V3_BDPV12</stp>
        <stp>CDBSF Curncy</stp>
        <stp>ASK</stp>
        <stp>[DataSheet2.3.xlsm]GBP_DATA!R8C42</stp>
        <tr r="AP8" s="58"/>
      </tp>
      <tp>
        <v>-31.492999999999999</v>
        <stp/>
        <stp>##V3_BDPV12</stp>
        <stp>CDBSC Curncy</stp>
        <stp>ASK</stp>
        <stp>[DataSheet2.3.xlsm]CAD_DATA!R7C42</stp>
        <tr r="AP7" s="48"/>
      </tp>
      <tp>
        <v>2.5059999999999998</v>
        <stp/>
        <stp>##V3_BDPV12</stp>
        <stp>SRSW10 GMGM Curncy</stp>
        <stp>ASK</stp>
        <stp>[DataSheet2.2.xlsm]SAR_DATA!R24C19</stp>
        <tr r="S24" s="19"/>
      </tp>
      <tp>
        <v>2.4260000000000002</v>
        <stp/>
        <stp>##V3_BDPV12</stp>
        <stp>SRSW10 GMGM Curncy</stp>
        <stp>BID</stp>
        <stp>[DataSheet2.2.xlsm]SAR_DATA!R24C18</stp>
        <tr r="R24" s="19"/>
      </tp>
      <tp>
        <v>-92.340999999999994</v>
        <stp/>
        <stp>##V3_BDPV12</stp>
        <stp>UDUSSW10 GFID Curncy</stp>
        <stp>BID</stp>
        <stp>[DataSheet2.2.xlsm]AED_DATA!R13C41</stp>
        <tr r="AO13" s="18"/>
      </tp>
      <tp>
        <v>-75.340999999999994</v>
        <stp/>
        <stp>##V3_BDPV12</stp>
        <stp>UDUSSW10 GFID Curncy</stp>
        <stp>ASK</stp>
        <stp>[DataSheet2.2.xlsm]AED_DATA!R13C42</stp>
        <tr r="AP13" s="18"/>
      </tp>
      <tp>
        <v>19.25</v>
        <stp/>
        <stp>##V3_BDPV12</stp>
        <stp>USBGI CMPN Curncy</stp>
        <stp>LAST_PRICE</stp>
        <stp>[DataSheet2.3.xlsm]USD_DATA!R53C9</stp>
        <tr r="I53" s="6"/>
      </tp>
      <tp>
        <v>40</v>
        <stp/>
        <stp>##V3_BDPV12</stp>
        <stp>SAR12M SABK Curncy</stp>
        <stp>BID</stp>
        <stp>[DataSheet2.2.xlsm]SAR_DATA!R32C49</stp>
        <tr r="AW32" s="19"/>
      </tp>
      <tp>
        <v>80</v>
        <stp/>
        <stp>##V3_BDPV12</stp>
        <stp>SAR12M SABK Curncy</stp>
        <stp>ASK</stp>
        <stp>[DataSheet2.2.xlsm]SAR_DATA!R32C50</stp>
        <tr r="AX32" s="19"/>
      </tp>
      <tp>
        <v>0.91</v>
        <stp/>
        <stp>##V3_BDPV12</stp>
        <stp>SRFR0AD GMGM Curncy</stp>
        <stp>LAST_PRICE</stp>
        <stp>[DataSheet2.2.xlsm]SAR_DATA!R12C20</stp>
        <tr r="T12" s="19"/>
      </tp>
      <tp>
        <v>7.0000000000000007E-2</v>
        <stp/>
        <stp>##V3_BDPV12</stp>
        <stp>ISFR0FI ICPL Curncy</stp>
        <stp>LAST_PRICE</stp>
        <stp>[DataSheet2.2.xlsm]ILS_DATA!R16C20</stp>
        <tr r="T16" s="17"/>
      </tp>
      <tp>
        <v>0.78</v>
        <stp/>
        <stp>##V3_BDPV12</stp>
        <stp>HFFR0BH ICPL Curncy</stp>
        <stp>LAST_PRICE</stp>
        <stp>[DataSheet2.2.xlsm]HUF_DATA!R12C20</stp>
        <tr r="T12" s="15"/>
      </tp>
      <tp>
        <v>1500</v>
        <stp/>
        <stp>##V3_BDPV12</stp>
        <stp>EURRON12M CCMK Curncy</stp>
        <stp>LAST_PRICE</stp>
        <stp>[DataSheet2.2.xlsm]RON_DATA!R17C51</stp>
        <tr r="AY17" s="16"/>
      </tp>
      <tp>
        <v>-2.5999999999999999E-2</v>
        <stp/>
        <stp>##V3_BDPV12</stp>
        <stp>CADON BGN Curncy</stp>
        <stp>PX_LAST</stp>
        <stp>[DataSheet2.3.xlsm]GBP_DATA!R8C51</stp>
        <tr r="AY8" s="58"/>
      </tp>
      <tp>
        <v>0.24</v>
        <stp/>
        <stp>##V3_BDPV12</stp>
        <stp>EURTN Curncy</stp>
        <stp>ASK</stp>
        <stp>[DataSheet2.3.xlsm]EUR_DATA!R9C53</stp>
        <tr r="BA9" s="31"/>
      </tp>
      <tp>
        <v>-0.125</v>
        <stp/>
        <stp>##V3_BDPV12</stp>
        <stp>JPYON BGN Curncy</stp>
        <stp>PX_LAST</stp>
        <stp>[DataSheet2.3.xlsm]JPY_DATA!R8C41</stp>
        <tr r="AO8" s="46"/>
      </tp>
      <tp>
        <v>-2.5999999999999999E-2</v>
        <stp/>
        <stp>##V3_BDPV12</stp>
        <stp>CADON BGN Curncy</stp>
        <stp>PX_LAST</stp>
        <stp>[DataSheet2.3.xlsm]CAD_DATA!R8C51</stp>
        <tr r="AY8" s="48"/>
      </tp>
      <tp>
        <v>16.489999999999998</v>
        <stp/>
        <stp>##V3_BDPV12</stp>
        <stp>TRYON BGN Curncy</stp>
        <stp>PX_LAST</stp>
        <stp>[DataSheet2.2.xlsm]TRY_DATA!R8C51</stp>
        <tr r="AY8" s="10"/>
      </tp>
      <tp t="s">
        <v>15/09/2021</v>
        <stp/>
        <stp>##V3_BDPV12</stp>
        <stp>ERM1 Comdty</stp>
        <stp>INT_RATE_FUT_END_DT</stp>
        <stp>[DataSheet2.3.xlsm]EUR_DATA!R15C19</stp>
        <tr r="S15" s="31"/>
      </tp>
      <tp t="s">
        <v>16/06/2021</v>
        <stp/>
        <stp>##V3_BDPV12</stp>
        <stp>ERH1 Comdty</stp>
        <stp>INT_RATE_FUT_END_DT</stp>
        <stp>[DataSheet2.3.xlsm]EUR_DATA!R14C19</stp>
        <tr r="S14" s="31"/>
      </tp>
      <tp t="s">
        <v>16/03/2022</v>
        <stp/>
        <stp>##V3_BDPV12</stp>
        <stp>ERZ1 Comdty</stp>
        <stp>INT_RATE_FUT_END_DT</stp>
        <stp>[DataSheet2.3.xlsm]EUR_DATA!R17C19</stp>
        <tr r="S17" s="31"/>
      </tp>
      <tp t="s">
        <v>15/12/2021</v>
        <stp/>
        <stp>##V3_BDPV12</stp>
        <stp>ERU1 Comdty</stp>
        <stp>INT_RATE_FUT_END_DT</stp>
        <stp>[DataSheet2.3.xlsm]EUR_DATA!R16C19</stp>
        <tr r="S16" s="31"/>
      </tp>
      <tp>
        <v>-139</v>
        <stp/>
        <stp>##V3_BDPV12</stp>
        <stp>SRUSSW10 GMGM Curncy</stp>
        <stp>BID</stp>
        <stp>[DataSheet2.2.xlsm]INR_DATA!R13C41</stp>
        <tr r="AO13" s="54"/>
      </tp>
      <tp>
        <v>-119</v>
        <stp/>
        <stp>##V3_BDPV12</stp>
        <stp>SRUSSW10 GMGM Curncy</stp>
        <stp>ASK</stp>
        <stp>[DataSheet2.2.xlsm]INR_DATA!R13C42</stp>
        <tr r="AP13" s="54"/>
      </tp>
      <tp>
        <v>1.82</v>
        <stp/>
        <stp>##V3_BDPV12</stp>
        <stp>RNSW10 CCMK Curncy</stp>
        <stp>BID</stp>
        <stp>[DataSheet2.2.xlsm]RON_DATA!R21C18</stp>
        <tr r="R21" s="16"/>
      </tp>
      <tp>
        <v>2.2200000000000002</v>
        <stp/>
        <stp>##V3_BDPV12</stp>
        <stp>RNSW10 CCMK Curncy</stp>
        <stp>ASK</stp>
        <stp>[DataSheet2.2.xlsm]RON_DATA!R21C19</stp>
        <tr r="S21" s="16"/>
      </tp>
      <tp>
        <v>20.375</v>
        <stp/>
        <stp>##V3_BDPV12</stp>
        <stp>USBGF CMPN Curncy</stp>
        <stp>LAST_PRICE</stp>
        <stp>[DataSheet2.3.xlsm]USD_DATA!R52C9</stp>
        <tr r="I52" s="6"/>
      </tp>
      <tp>
        <v>0.93</v>
        <stp/>
        <stp>##V3_BDPV12</stp>
        <stp>SRFR0BE GMGM Curncy</stp>
        <stp>LAST_PRICE</stp>
        <stp>[DataSheet2.2.xlsm]SAR_DATA!R13C20</stp>
        <tr r="T13" s="19"/>
      </tp>
      <tp>
        <v>0.6</v>
        <stp/>
        <stp>##V3_BDPV12</stp>
        <stp>HDFR0FI CMPN Curncy</stp>
        <stp>LAST_PRICE</stp>
        <stp>[DataSheet2.2.xlsm]HKD_DATA!R12C20</stp>
        <tr r="T12" s="52"/>
      </tp>
      <tp>
        <v>0.84</v>
        <stp/>
        <stp>##V3_BDPV12</stp>
        <stp>HFFR0CI ICPL Curncy</stp>
        <stp>LAST_PRICE</stp>
        <stp>[DataSheet2.2.xlsm]HUF_DATA!R13C20</stp>
        <tr r="T13" s="15"/>
      </tp>
      <tp>
        <v>0.88</v>
        <stp/>
        <stp>##V3_BDPV12</stp>
        <stp>HFFR0FI ICPL Curncy</stp>
        <stp>LAST_PRICE</stp>
        <stp>[DataSheet2.2.xlsm]HUF_DATA!R13C25</stp>
        <tr r="Y13" s="15"/>
      </tp>
      <tp>
        <v>3</v>
        <stp/>
        <stp>##V3_BDPV12</stp>
        <stp>SAR1M GMGM Curncy</stp>
        <stp>PX_LAST</stp>
        <stp>[DataSheet2.2.xlsm]SAR_DATA!R11C51</stp>
        <tr r="AY11" s="19"/>
      </tp>
      <tp>
        <v>0.5</v>
        <stp/>
        <stp>##V3_BDPV12</stp>
        <stp>SAR1W GMGM Curncy</stp>
        <stp>PX_LAST</stp>
        <stp>[DataSheet2.2.xlsm]SAR_DATA!R10C51</stp>
        <tr r="AY10" s="19"/>
      </tp>
      <tp>
        <v>7</v>
        <stp/>
        <stp>##V3_BDPV12</stp>
        <stp>SAR2M GMGM Curncy</stp>
        <stp>PX_LAST</stp>
        <stp>[DataSheet2.2.xlsm]SAR_DATA!R12C51</stp>
        <tr r="AY12" s="19"/>
      </tp>
      <tp>
        <v>-16.962</v>
        <stp/>
        <stp>##V3_BDPV12</stp>
        <stp>CDBS30 Curncy</stp>
        <stp>ASK</stp>
        <stp>[DataSheet2.3.xlsm]CAD_DATA!R18C42</stp>
        <tr r="AP18" s="48"/>
      </tp>
      <tp>
        <v>-10.754</v>
        <stp/>
        <stp>##V3_BDPV12</stp>
        <stp>CDBS10 Curncy</stp>
        <stp>ASK</stp>
        <stp>[DataSheet2.3.xlsm]CAD_DATA!R16C42</stp>
        <tr r="AP16" s="48"/>
      </tp>
      <tp>
        <v>-13.634</v>
        <stp/>
        <stp>##V3_BDPV12</stp>
        <stp>CDBS20 Curncy</stp>
        <stp>ASK</stp>
        <stp>[DataSheet2.3.xlsm]CAD_DATA!R17C42</stp>
        <tr r="AP17" s="48"/>
      </tp>
      <tp>
        <v>-15.866</v>
        <stp/>
        <stp>##V3_BDPV12</stp>
        <stp>CDBS20 Curncy</stp>
        <stp>BID</stp>
        <stp>[DataSheet2.3.xlsm]CAD_DATA!R17C41</stp>
        <tr r="AO17" s="48"/>
      </tp>
      <tp>
        <v>-12.746</v>
        <stp/>
        <stp>##V3_BDPV12</stp>
        <stp>CDBS10 Curncy</stp>
        <stp>BID</stp>
        <stp>[DataSheet2.3.xlsm]CAD_DATA!R16C41</stp>
        <tr r="AO16" s="48"/>
      </tp>
      <tp>
        <v>-19.038</v>
        <stp/>
        <stp>##V3_BDPV12</stp>
        <stp>CDBS30 Curncy</stp>
        <stp>BID</stp>
        <stp>[DataSheet2.3.xlsm]CAD_DATA!R18C41</stp>
        <tr r="AO18" s="48"/>
      </tp>
      <tp>
        <v>540</v>
        <stp/>
        <stp>##V3_BDPV12</stp>
        <stp>EURHUF12M ICPL Curncy</stp>
        <stp>ASK</stp>
        <stp>[DataSheet2.2.xlsm]HUF_DATA!R34C50</stp>
        <tr r="AX34" s="15"/>
      </tp>
      <tp>
        <v>488</v>
        <stp/>
        <stp>##V3_BDPV12</stp>
        <stp>EURHUF12M ICPL Curncy</stp>
        <stp>BID</stp>
        <stp>[DataSheet2.2.xlsm]HUF_DATA!R34C49</stp>
        <tr r="AW34" s="15"/>
      </tp>
      <tp>
        <v>5.3642000000000003</v>
        <stp/>
        <stp>##V3_BDPV12</stp>
        <stp>USDBRL Curncy</stp>
        <stp>ASK</stp>
        <stp>[DataSheet2.3.xlsm]BRL_DATA!R7C50</stp>
        <tr r="AX7" s="59"/>
      </tp>
      <tp t="s">
        <v>16/09/2020</v>
        <stp/>
        <stp>##V3_BDPV12</stp>
        <stp>ERM0 Comdty</stp>
        <stp>INT_RATE_FUT_END_DT</stp>
        <stp>[DataSheet2.3.xlsm]EUR_DATA!R11C19</stp>
        <tr r="S11" s="31"/>
      </tp>
      <tp t="s">
        <v>17/03/2021</v>
        <stp/>
        <stp>##V3_BDPV12</stp>
        <stp>ERZ0 Comdty</stp>
        <stp>INT_RATE_FUT_END_DT</stp>
        <stp>[DataSheet2.3.xlsm]EUR_DATA!R13C19</stp>
        <tr r="S13" s="31"/>
      </tp>
      <tp t="s">
        <v>16/12/2020</v>
        <stp/>
        <stp>##V3_BDPV12</stp>
        <stp>ERU0 Comdty</stp>
        <stp>INT_RATE_FUT_END_DT</stp>
        <stp>[DataSheet2.3.xlsm]EUR_DATA!R12C19</stp>
        <tr r="S12" s="31"/>
      </tp>
      <tp>
        <v>19.75</v>
        <stp/>
        <stp>##V3_BDPV12</stp>
        <stp>USBG7 CMPN Curncy</stp>
        <stp>LAST_PRICE</stp>
        <stp>[DataSheet2.3.xlsm]USD_DATA!R32C9</stp>
        <tr r="I32" s="6"/>
      </tp>
      <tp>
        <v>73.61</v>
        <stp/>
        <stp>##V3_BDPV12</stp>
        <stp>IRN+1W CMPN Curncy</stp>
        <stp>PX_LAST</stp>
        <stp>[DataSheet2.2.xlsm]INR_DATA!R9C51</stp>
        <tr r="AY9" s="54"/>
      </tp>
      <tp>
        <v>-0.48299999999999998</v>
        <stp/>
        <stp>##V3_BDPV12</stp>
        <stp>EUSF2A ICPL Curncy</stp>
        <stp>LAST_PRICE</stp>
        <stp>[DataSheet2.3.xlsm]EUR_DATA!R9C12</stp>
        <tr r="L9" s="31"/>
      </tp>
      <tp>
        <v>-4.8669999999999998E-2</v>
        <stp/>
        <stp>##V3_BDPV12</stp>
        <stp>JY0006M Index</stp>
        <stp>PX_LAST</stp>
        <stp>[DataSheet2.3.xlsm]JPY_DATA!R9C32</stp>
        <tr r="AF9" s="46"/>
      </tp>
      <tp>
        <v>-21.25</v>
        <stp/>
        <stp>##V3_BDPV12</stp>
        <stp>EUBS10 ICPL Curncy</stp>
        <stp>BID</stp>
        <stp>[DataSheet2.3.xlsm]EUR_DATA!R20C44</stp>
        <tr r="AR20" s="31"/>
      </tp>
      <tp>
        <v>-21.625</v>
        <stp/>
        <stp>##V3_BDPV12</stp>
        <stp>EUBS12 ICPL Curncy</stp>
        <stp>BID</stp>
        <stp>[DataSheet2.3.xlsm]EUR_DATA!R21C44</stp>
        <tr r="AR21" s="31"/>
      </tp>
      <tp>
        <v>-21.375</v>
        <stp/>
        <stp>##V3_BDPV12</stp>
        <stp>EUBS15 ICPL Curncy</stp>
        <stp>BID</stp>
        <stp>[DataSheet2.3.xlsm]EUR_DATA!R22C44</stp>
        <tr r="AR22" s="31"/>
      </tp>
      <tp>
        <v>-11.875</v>
        <stp/>
        <stp>##V3_BDPV12</stp>
        <stp>EUBS30 ICPL Curncy</stp>
        <stp>BID</stp>
        <stp>[DataSheet2.3.xlsm]EUR_DATA!R25C44</stp>
        <tr r="AR25" s="31"/>
      </tp>
      <tp>
        <v>-14.875</v>
        <stp/>
        <stp>##V3_BDPV12</stp>
        <stp>EUBS25 ICPL Curncy</stp>
        <stp>BID</stp>
        <stp>[DataSheet2.3.xlsm]EUR_DATA!R24C44</stp>
        <tr r="AR24" s="31"/>
      </tp>
      <tp>
        <v>-18.75</v>
        <stp/>
        <stp>##V3_BDPV12</stp>
        <stp>EUBS20 ICPL Curncy</stp>
        <stp>BID</stp>
        <stp>[DataSheet2.3.xlsm]EUR_DATA!R23C44</stp>
        <tr r="AR23" s="31"/>
      </tp>
      <tp>
        <v>-14.5</v>
        <stp/>
        <stp>##V3_BDPV12</stp>
        <stp>EUBS1F ICPL Curncy</stp>
        <stp>BID</stp>
        <stp>[DataSheet2.3.xlsm]EUR_DATA!R11C44</stp>
        <tr r="AR11" s="31"/>
      </tp>
      <tp>
        <v>-4.8669999999999998E-2</v>
        <stp/>
        <stp>##V3_BDPV12</stp>
        <stp>JY0006M Index</stp>
        <stp>PX_LAST</stp>
        <stp>[DataSheet2.3.xlsm]JPY_DATA!R9C22</stp>
        <tr r="V9" s="46"/>
      </tp>
      <tp>
        <v>-13.75</v>
        <stp/>
        <stp>##V3_BDPV12</stp>
        <stp>EUBS20 ICPL Curncy</stp>
        <stp>ASK</stp>
        <stp>[DataSheet2.3.xlsm]EUR_DATA!R23C45</stp>
        <tr r="AS23" s="31"/>
      </tp>
      <tp>
        <v>-9.875</v>
        <stp/>
        <stp>##V3_BDPV12</stp>
        <stp>EUBS25 ICPL Curncy</stp>
        <stp>ASK</stp>
        <stp>[DataSheet2.3.xlsm]EUR_DATA!R24C45</stp>
        <tr r="AS24" s="31"/>
      </tp>
      <tp>
        <v>-9.5</v>
        <stp/>
        <stp>##V3_BDPV12</stp>
        <stp>EUBS1F ICPL Curncy</stp>
        <stp>ASK</stp>
        <stp>[DataSheet2.3.xlsm]EUR_DATA!R11C45</stp>
        <tr r="AS11" s="31"/>
      </tp>
      <tp>
        <v>-6.875</v>
        <stp/>
        <stp>##V3_BDPV12</stp>
        <stp>EUBS30 ICPL Curncy</stp>
        <stp>ASK</stp>
        <stp>[DataSheet2.3.xlsm]EUR_DATA!R25C45</stp>
        <tr r="AS25" s="31"/>
      </tp>
      <tp>
        <v>-16.375</v>
        <stp/>
        <stp>##V3_BDPV12</stp>
        <stp>EUBS15 ICPL Curncy</stp>
        <stp>ASK</stp>
        <stp>[DataSheet2.3.xlsm]EUR_DATA!R22C45</stp>
        <tr r="AS22" s="31"/>
      </tp>
      <tp>
        <v>-16.625</v>
        <stp/>
        <stp>##V3_BDPV12</stp>
        <stp>EUBS12 ICPL Curncy</stp>
        <stp>ASK</stp>
        <stp>[DataSheet2.3.xlsm]EUR_DATA!R21C45</stp>
        <tr r="AS21" s="31"/>
      </tp>
      <tp>
        <v>-16.25</v>
        <stp/>
        <stp>##V3_BDPV12</stp>
        <stp>EUBS10 ICPL Curncy</stp>
        <stp>ASK</stp>
        <stp>[DataSheet2.3.xlsm]EUR_DATA!R20C45</stp>
        <tr r="AS20" s="31"/>
      </tp>
      <tp>
        <v>-8.0500000000000002E-2</v>
        <stp/>
        <stp>##V3_BDPV12</stp>
        <stp>JY0003M Index</stp>
        <stp>PX_LAST</stp>
        <stp>[DataSheet2.3.xlsm]JPY_DATA!R8C22</stp>
        <tr r="V8" s="46"/>
      </tp>
      <tp>
        <v>-8.0500000000000002E-2</v>
        <stp/>
        <stp>##V3_BDPV12</stp>
        <stp>JY0003M Index</stp>
        <stp>PX_LAST</stp>
        <stp>[DataSheet2.3.xlsm]JPY_DATA!R8C32</stp>
        <tr r="AF8" s="46"/>
      </tp>
      <tp>
        <v>-9.7670000000000007E-2</v>
        <stp/>
        <stp>##V3_BDPV12</stp>
        <stp>JY0001M Index</stp>
        <stp>PX_LAST</stp>
        <stp>[DataSheet2.3.xlsm]JPY_DATA!R7C22</stp>
        <tr r="V7" s="46"/>
      </tp>
      <tp>
        <v>-9.7670000000000007E-2</v>
        <stp/>
        <stp>##V3_BDPV12</stp>
        <stp>JY0001M Index</stp>
        <stp>PX_LAST</stp>
        <stp>[DataSheet2.3.xlsm]JPY_DATA!R7C32</stp>
        <tr r="AF7" s="46"/>
      </tp>
      <tp>
        <v>0.64</v>
        <stp/>
        <stp>##V3_BDPV12</stp>
        <stp>BUBOR06M Index</stp>
        <stp>PX_LAST</stp>
        <stp>[DataSheet2.2.xlsm]HUF_DATA!R10C20</stp>
        <tr r="T10" s="15"/>
      </tp>
      <tp>
        <v>30</v>
        <stp/>
        <stp>##V3_BDPV12</stp>
        <stp>AED12M GMGM Curncy</stp>
        <stp>BID</stp>
        <stp>[DataSheet2.2.xlsm]AED_DATA!R16C49</stp>
        <tr r="AW16" s="18"/>
      </tp>
      <tp>
        <v>17</v>
        <stp/>
        <stp>##V3_BDPV12</stp>
        <stp>USBGC CMPN Curncy</stp>
        <stp>LAST_PRICE</stp>
        <stp>[DataSheet2.3.xlsm]USD_DATA!R51C9</stp>
        <tr r="I51" s="6"/>
      </tp>
      <tp>
        <v>40</v>
        <stp/>
        <stp>##V3_BDPV12</stp>
        <stp>AED12M GMGM Curncy</stp>
        <stp>ASK</stp>
        <stp>[DataSheet2.2.xlsm]AED_DATA!R16C50</stp>
        <tr r="AX16" s="18"/>
      </tp>
      <tp>
        <v>0.98</v>
        <stp/>
        <stp>##V3_BDPV12</stp>
        <stp>SRFR0CF GMGM Curncy</stp>
        <stp>LAST_PRICE</stp>
        <stp>[DataSheet2.2.xlsm]SAR_DATA!R14C20</stp>
        <tr r="T14" s="19"/>
      </tp>
      <tp>
        <v>0.88</v>
        <stp/>
        <stp>##V3_BDPV12</stp>
        <stp>HFFR0DJ ICPL Curncy</stp>
        <stp>LAST_PRICE</stp>
        <stp>[DataSheet2.2.xlsm]HUF_DATA!R14C20</stp>
        <tr r="T14" s="15"/>
      </tp>
      <tp>
        <v>-0.45900000000000002</v>
        <stp/>
        <stp>##V3_BDPV12</stp>
        <stp>EUFR0AG ICPL Curncy</stp>
        <stp>LAST_PRICE</stp>
        <stp>[DataSheet2.3.xlsm]EUR_DATA!R11C25</stp>
        <tr r="Y11" s="31"/>
      </tp>
      <tp>
        <v>12.73</v>
        <stp/>
        <stp>##V3_BDPV12</stp>
        <stp>TYUSSW10 TRPU Curncy</stp>
        <stp>BID</stp>
        <stp>[DataSheet2.2.xlsm]TRY_DATA!R35C49</stp>
        <tr r="AW35" s="10"/>
      </tp>
      <tp t="s">
        <v>#N/A N/A</v>
        <stp/>
        <stp>##V3_BDPV12</stp>
        <stp>TYUSSW12 TRPU Curncy</stp>
        <stp>BID</stp>
        <stp>[DataSheet2.2.xlsm]TRY_DATA!R36C49</stp>
        <tr r="AW36" s="10"/>
      </tp>
      <tp t="s">
        <v>#N/A N/A</v>
        <stp/>
        <stp>##V3_BDPV12</stp>
        <stp>TYUSSW15 TRPU Curncy</stp>
        <stp>BID</stp>
        <stp>[DataSheet2.2.xlsm]TRY_DATA!R37C49</stp>
        <tr r="AW37" s="10"/>
      </tp>
      <tp t="s">
        <v>#N/A N/A</v>
        <stp/>
        <stp>##V3_BDPV12</stp>
        <stp>TYUSSW15 TRPU Curncy</stp>
        <stp>ASK</stp>
        <stp>[DataSheet2.2.xlsm]TRY_DATA!R37C50</stp>
        <tr r="AX37" s="10"/>
      </tp>
      <tp t="s">
        <v>#N/A N/A</v>
        <stp/>
        <stp>##V3_BDPV12</stp>
        <stp>TYUSSW12 TRPU Curncy</stp>
        <stp>ASK</stp>
        <stp>[DataSheet2.2.xlsm]TRY_DATA!R36C50</stp>
        <tr r="AX36" s="10"/>
      </tp>
      <tp>
        <v>12.83</v>
        <stp/>
        <stp>##V3_BDPV12</stp>
        <stp>TYUSSW10 TRPU Curncy</stp>
        <stp>ASK</stp>
        <stp>[DataSheet2.2.xlsm]TRY_DATA!R35C50</stp>
        <tr r="AX35" s="10"/>
      </tp>
      <tp>
        <v>3.9620000000000002</v>
        <stp/>
        <stp>##V3_BDPV12</stp>
        <stp>IRSWO1 FMDR Curncy</stp>
        <stp>BID</stp>
        <stp>[DataSheet2.2.xlsm]INR_DATA!R13C10</stp>
        <tr r="J13" s="54"/>
      </tp>
      <tp>
        <v>4.4640000000000004</v>
        <stp/>
        <stp>##V3_BDPV12</stp>
        <stp>IRSWO4 FMDR Curncy</stp>
        <stp>BID</stp>
        <stp>[DataSheet2.2.xlsm]INR_DATA!R16C10</stp>
        <tr r="J16" s="54"/>
      </tp>
      <tp>
        <v>4.5919999999999996</v>
        <stp/>
        <stp>##V3_BDPV12</stp>
        <stp>IRSWO5 FMDR Curncy</stp>
        <stp>BID</stp>
        <stp>[DataSheet2.2.xlsm]INR_DATA!R17C10</stp>
        <tr r="J17" s="54"/>
      </tp>
      <tp>
        <v>4.1020000000000003</v>
        <stp/>
        <stp>##V3_BDPV12</stp>
        <stp>IRSWO2 FMDR Curncy</stp>
        <stp>BID</stp>
        <stp>[DataSheet2.2.xlsm]INR_DATA!R14C10</stp>
        <tr r="J14" s="54"/>
      </tp>
      <tp>
        <v>4.2850000000000001</v>
        <stp/>
        <stp>##V3_BDPV12</stp>
        <stp>IRSWO3 FMDR Curncy</stp>
        <stp>BID</stp>
        <stp>[DataSheet2.2.xlsm]INR_DATA!R15C10</stp>
        <tr r="J15" s="54"/>
      </tp>
      <tp>
        <v>4.8529999999999998</v>
        <stp/>
        <stp>##V3_BDPV12</stp>
        <stp>IRSWO7 FMDR Curncy</stp>
        <stp>BID</stp>
        <stp>[DataSheet2.2.xlsm]INR_DATA!R18C10</stp>
        <tr r="J18" s="54"/>
      </tp>
      <tp>
        <v>3.9079999999999999</v>
        <stp/>
        <stp>##V3_BDPV12</stp>
        <stp>IRSWOC FMDR Curncy</stp>
        <stp>BID</stp>
        <stp>[DataSheet2.2.xlsm]INR_DATA!R10C10</stp>
        <tr r="J10" s="54"/>
      </tp>
      <tp>
        <v>3.9409999999999998</v>
        <stp/>
        <stp>##V3_BDPV12</stp>
        <stp>IRSWOF FMDR Curncy</stp>
        <stp>BID</stp>
        <stp>[DataSheet2.2.xlsm]INR_DATA!R11C10</stp>
        <tr r="J11" s="54"/>
      </tp>
      <tp>
        <v>3.9830000000000001</v>
        <stp/>
        <stp>##V3_BDPV12</stp>
        <stp>IRSWOI FMDR Curncy</stp>
        <stp>BID</stp>
        <stp>[DataSheet2.2.xlsm]INR_DATA!R12C10</stp>
        <tr r="J12" s="54"/>
      </tp>
      <tp>
        <v>4.3</v>
        <stp/>
        <stp>##V3_BDPV12</stp>
        <stp>RRUSSW12 TRPU Curncy</stp>
        <stp>BID</stp>
        <stp>[DataSheet2.2.xlsm]RUB_DATA!R35C49</stp>
        <tr r="AW35" s="4"/>
      </tp>
      <tp>
        <v>4.3600000000000003</v>
        <stp/>
        <stp>##V3_BDPV12</stp>
        <stp>RRUSSW10 TRPU Curncy</stp>
        <stp>BID</stp>
        <stp>[DataSheet2.2.xlsm]RUB_DATA!R34C49</stp>
        <tr r="AW34" s="4"/>
      </tp>
      <tp>
        <v>4.29</v>
        <stp/>
        <stp>##V3_BDPV12</stp>
        <stp>RRUSSW15 TRPU Curncy</stp>
        <stp>BID</stp>
        <stp>[DataSheet2.2.xlsm]RUB_DATA!R36C49</stp>
        <tr r="AW36" s="4"/>
      </tp>
      <tp>
        <v>4.883</v>
        <stp/>
        <stp>##V3_BDPV12</stp>
        <stp>IRSWO7 FMDR Curncy</stp>
        <stp>ASK</stp>
        <stp>[DataSheet2.2.xlsm]INR_DATA!R18C11</stp>
        <tr r="K18" s="54"/>
      </tp>
      <tp>
        <v>4.1319999999999997</v>
        <stp/>
        <stp>##V3_BDPV12</stp>
        <stp>IRSWO2 FMDR Curncy</stp>
        <stp>ASK</stp>
        <stp>[DataSheet2.2.xlsm]INR_DATA!R14C11</stp>
        <tr r="K14" s="54"/>
      </tp>
      <tp>
        <v>4.3150000000000004</v>
        <stp/>
        <stp>##V3_BDPV12</stp>
        <stp>IRSWO3 FMDR Curncy</stp>
        <stp>ASK</stp>
        <stp>[DataSheet2.2.xlsm]INR_DATA!R15C11</stp>
        <tr r="K15" s="54"/>
      </tp>
      <tp>
        <v>3.992</v>
        <stp/>
        <stp>##V3_BDPV12</stp>
        <stp>IRSWO1 FMDR Curncy</stp>
        <stp>ASK</stp>
        <stp>[DataSheet2.2.xlsm]INR_DATA!R13C11</stp>
        <tr r="K13" s="54"/>
      </tp>
      <tp>
        <v>4.4939999999999998</v>
        <stp/>
        <stp>##V3_BDPV12</stp>
        <stp>IRSWO4 FMDR Curncy</stp>
        <stp>ASK</stp>
        <stp>[DataSheet2.2.xlsm]INR_DATA!R16C11</stp>
        <tr r="K16" s="54"/>
      </tp>
      <tp>
        <v>4.6219999999999999</v>
        <stp/>
        <stp>##V3_BDPV12</stp>
        <stp>IRSWO5 FMDR Curncy</stp>
        <stp>ASK</stp>
        <stp>[DataSheet2.2.xlsm]INR_DATA!R17C11</stp>
        <tr r="K17" s="54"/>
      </tp>
      <tp>
        <v>4.0129999999999999</v>
        <stp/>
        <stp>##V3_BDPV12</stp>
        <stp>IRSWOI FMDR Curncy</stp>
        <stp>ASK</stp>
        <stp>[DataSheet2.2.xlsm]INR_DATA!R12C11</stp>
        <tr r="K12" s="54"/>
      </tp>
      <tp>
        <v>3.9710000000000001</v>
        <stp/>
        <stp>##V3_BDPV12</stp>
        <stp>IRSWOF FMDR Curncy</stp>
        <stp>ASK</stp>
        <stp>[DataSheet2.2.xlsm]INR_DATA!R11C11</stp>
        <tr r="K11" s="54"/>
      </tp>
      <tp>
        <v>3.9380000000000002</v>
        <stp/>
        <stp>##V3_BDPV12</stp>
        <stp>IRSWOC FMDR Curncy</stp>
        <stp>ASK</stp>
        <stp>[DataSheet2.2.xlsm]INR_DATA!R10C11</stp>
        <tr r="K10" s="54"/>
      </tp>
      <tp>
        <v>4.49</v>
        <stp/>
        <stp>##V3_BDPV12</stp>
        <stp>RRUSSW15 TRPU Curncy</stp>
        <stp>ASK</stp>
        <stp>[DataSheet2.2.xlsm]RUB_DATA!R36C50</stp>
        <tr r="AX36" s="4"/>
      </tp>
      <tp>
        <v>4.46</v>
        <stp/>
        <stp>##V3_BDPV12</stp>
        <stp>RRUSSW10 TRPU Curncy</stp>
        <stp>ASK</stp>
        <stp>[DataSheet2.2.xlsm]RUB_DATA!R34C50</stp>
        <tr r="AX34" s="4"/>
      </tp>
      <tp>
        <v>4.5</v>
        <stp/>
        <stp>##V3_BDPV12</stp>
        <stp>RRUSSW12 TRPU Curncy</stp>
        <stp>ASK</stp>
        <stp>[DataSheet2.2.xlsm]RUB_DATA!R35C50</stp>
        <tr r="AX35" s="4"/>
      </tp>
      <tp>
        <v>7.73</v>
        <stp/>
        <stp>##V3_BDPV12</stp>
        <stp>SASW15 TPRA Curncy</stp>
        <stp>BID</stp>
        <stp>[DataSheet2.2.xlsm]ZAR_DATA!R30C18</stp>
        <tr r="R30" s="8"/>
      </tp>
      <tp>
        <v>7.35</v>
        <stp/>
        <stp>##V3_BDPV12</stp>
        <stp>SASW12 TPRA Curncy</stp>
        <stp>BID</stp>
        <stp>[DataSheet2.2.xlsm]ZAR_DATA!R29C18</stp>
        <tr r="R29" s="8"/>
      </tp>
      <tp>
        <v>6.89</v>
        <stp/>
        <stp>##V3_BDPV12</stp>
        <stp>SASW10 TPRA Curncy</stp>
        <stp>BID</stp>
        <stp>[DataSheet2.2.xlsm]ZAR_DATA!R28C18</stp>
        <tr r="R28" s="8"/>
      </tp>
      <tp>
        <v>8.0500000000000007</v>
        <stp/>
        <stp>##V3_BDPV12</stp>
        <stp>SASW30 TPRA Curncy</stp>
        <stp>BID</stp>
        <stp>[DataSheet2.2.xlsm]ZAR_DATA!R32C18</stp>
        <tr r="R32" s="8"/>
      </tp>
      <tp>
        <v>7.93</v>
        <stp/>
        <stp>##V3_BDPV12</stp>
        <stp>SASW20 TPRA Curncy</stp>
        <stp>BID</stp>
        <stp>[DataSheet2.2.xlsm]ZAR_DATA!R31C18</stp>
        <tr r="R31" s="8"/>
      </tp>
      <tp>
        <v>19.5</v>
        <stp/>
        <stp>##V3_BDPV12</stp>
        <stp>USBG5 CMPN Curncy</stp>
        <stp>LAST_PRICE</stp>
        <stp>[DataSheet2.3.xlsm]USD_DATA!R31C9</stp>
        <tr r="I31" s="6"/>
      </tp>
      <tp>
        <v>8.0299999999999994</v>
        <stp/>
        <stp>##V3_BDPV12</stp>
        <stp>SASW20 TPRA Curncy</stp>
        <stp>ASK</stp>
        <stp>[DataSheet2.2.xlsm]ZAR_DATA!R31C19</stp>
        <tr r="S31" s="8"/>
      </tp>
      <tp>
        <v>8.15</v>
        <stp/>
        <stp>##V3_BDPV12</stp>
        <stp>SASW30 TPRA Curncy</stp>
        <stp>ASK</stp>
        <stp>[DataSheet2.2.xlsm]ZAR_DATA!R32C19</stp>
        <tr r="S32" s="8"/>
      </tp>
      <tp>
        <v>6.99</v>
        <stp/>
        <stp>##V3_BDPV12</stp>
        <stp>SASW10 TPRA Curncy</stp>
        <stp>ASK</stp>
        <stp>[DataSheet2.2.xlsm]ZAR_DATA!R28C19</stp>
        <tr r="S28" s="8"/>
      </tp>
      <tp>
        <v>7.45</v>
        <stp/>
        <stp>##V3_BDPV12</stp>
        <stp>SASW12 TPRA Curncy</stp>
        <stp>ASK</stp>
        <stp>[DataSheet2.2.xlsm]ZAR_DATA!R29C19</stp>
        <tr r="S29" s="8"/>
      </tp>
      <tp>
        <v>7.83</v>
        <stp/>
        <stp>##V3_BDPV12</stp>
        <stp>SASW15 TPRA Curncy</stp>
        <stp>ASK</stp>
        <stp>[DataSheet2.2.xlsm]ZAR_DATA!R30C19</stp>
        <tr r="S30" s="8"/>
      </tp>
      <tp>
        <v>-3.2500000000000001E-2</v>
        <stp/>
        <stp>##V3_BDPV12</stp>
        <stp>JYSW6 MTRT Curncy</stp>
        <stp>LAST_PRICE</stp>
        <stp>[DataSheet2.3.xlsm]JPY_DATA!R58C9</stp>
        <tr r="I58" s="46"/>
      </tp>
      <tp t="s">
        <v>21/09/2022</v>
        <stp/>
        <stp>##V3_BDPV12</stp>
        <stp>ED8 Comdty</stp>
        <stp>INT_RATE_FUT_END_DT</stp>
        <stp>[DataSheet2.3.xlsm]USD_DATA!R18C16</stp>
        <tr r="P18" s="6"/>
      </tp>
      <tp>
        <v>-0.47699999999999998</v>
        <stp/>
        <stp>##V3_BDPV12</stp>
        <stp>EUSF1A ICPL Curncy</stp>
        <stp>LAST_PRICE</stp>
        <stp>[DataSheet2.3.xlsm]EUR_DATA!R8C12</stp>
        <tr r="L8" s="31"/>
      </tp>
      <tp>
        <v>75.87</v>
        <stp/>
        <stp>##V3_BDPV12</stp>
        <stp>IRN+9M CMPN Curncy</stp>
        <stp>BID</stp>
        <stp>[DataSheet2.2.xlsm]INR_DATA!R14C49</stp>
        <tr r="AW14" s="54"/>
      </tp>
      <tp>
        <v>91.3</v>
        <stp/>
        <stp>##V3_BDPV12</stp>
        <stp>IRN+5Y CMPN Curncy</stp>
        <stp>BID</stp>
        <stp>[DataSheet2.2.xlsm]INR_DATA!R18C49</stp>
        <tr r="AW18" s="54"/>
      </tp>
      <tp>
        <v>75.010000000000005</v>
        <stp/>
        <stp>##V3_BDPV12</stp>
        <stp>IRN+6M CMPN Curncy</stp>
        <stp>BID</stp>
        <stp>[DataSheet2.2.xlsm]INR_DATA!R13C49</stp>
        <tr r="AW13" s="54"/>
      </tp>
      <tp>
        <v>73.81</v>
        <stp/>
        <stp>##V3_BDPV12</stp>
        <stp>IRN+1M CMPN Curncy</stp>
        <stp>BID</stp>
        <stp>[DataSheet2.2.xlsm]INR_DATA!R10C49</stp>
        <tr r="AW10" s="54"/>
      </tp>
      <tp>
        <v>74.260000000000005</v>
        <stp/>
        <stp>##V3_BDPV12</stp>
        <stp>IRN+3M CMPN Curncy</stp>
        <stp>BID</stp>
        <stp>[DataSheet2.2.xlsm]INR_DATA!R12C49</stp>
        <tr r="AW12" s="54"/>
      </tp>
      <tp>
        <v>83.69</v>
        <stp/>
        <stp>##V3_BDPV12</stp>
        <stp>IRN+3Y CMPN Curncy</stp>
        <stp>BID</stp>
        <stp>[DataSheet2.2.xlsm]INR_DATA!R17C49</stp>
        <tr r="AW17" s="54"/>
      </tp>
      <tp>
        <v>74.040000000000006</v>
        <stp/>
        <stp>##V3_BDPV12</stp>
        <stp>IRN+2M CMPN Curncy</stp>
        <stp>BID</stp>
        <stp>[DataSheet2.2.xlsm]INR_DATA!R11C49</stp>
        <tr r="AW11" s="54"/>
      </tp>
      <tp>
        <v>79.91</v>
        <stp/>
        <stp>##V3_BDPV12</stp>
        <stp>IRN+2Y CMPN Curncy</stp>
        <stp>BID</stp>
        <stp>[DataSheet2.2.xlsm]INR_DATA!R16C49</stp>
        <tr r="AW16" s="54"/>
      </tp>
      <tp>
        <v>75.91</v>
        <stp/>
        <stp>##V3_BDPV12</stp>
        <stp>IRN+9M CMPN Curncy</stp>
        <stp>ASK</stp>
        <stp>[DataSheet2.2.xlsm]INR_DATA!R14C50</stp>
        <tr r="AX14" s="54"/>
      </tp>
      <tp>
        <v>75.069999999999993</v>
        <stp/>
        <stp>##V3_BDPV12</stp>
        <stp>IRN+6M CMPN Curncy</stp>
        <stp>ASK</stp>
        <stp>[DataSheet2.2.xlsm]INR_DATA!R13C50</stp>
        <tr r="AX13" s="54"/>
      </tp>
      <tp>
        <v>91.51</v>
        <stp/>
        <stp>##V3_BDPV12</stp>
        <stp>IRN+5Y CMPN Curncy</stp>
        <stp>ASK</stp>
        <stp>[DataSheet2.2.xlsm]INR_DATA!R18C50</stp>
        <tr r="AX18" s="54"/>
      </tp>
      <tp>
        <v>74.09</v>
        <stp/>
        <stp>##V3_BDPV12</stp>
        <stp>IRN+2M CMPN Curncy</stp>
        <stp>ASK</stp>
        <stp>[DataSheet2.2.xlsm]INR_DATA!R11C50</stp>
        <tr r="AX11" s="54"/>
      </tp>
      <tp>
        <v>80.239999999999995</v>
        <stp/>
        <stp>##V3_BDPV12</stp>
        <stp>IRN+2Y CMPN Curncy</stp>
        <stp>ASK</stp>
        <stp>[DataSheet2.2.xlsm]INR_DATA!R16C50</stp>
        <tr r="AX16" s="54"/>
      </tp>
      <tp>
        <v>74.31</v>
        <stp/>
        <stp>##V3_BDPV12</stp>
        <stp>IRN+3M CMPN Curncy</stp>
        <stp>ASK</stp>
        <stp>[DataSheet2.2.xlsm]INR_DATA!R12C50</stp>
        <tr r="AX12" s="54"/>
      </tp>
      <tp>
        <v>83.99</v>
        <stp/>
        <stp>##V3_BDPV12</stp>
        <stp>IRN+3Y CMPN Curncy</stp>
        <stp>ASK</stp>
        <stp>[DataSheet2.2.xlsm]INR_DATA!R17C50</stp>
        <tr r="AX17" s="54"/>
      </tp>
      <tp>
        <v>73.84</v>
        <stp/>
        <stp>##V3_BDPV12</stp>
        <stp>IRN+1M CMPN Curncy</stp>
        <stp>ASK</stp>
        <stp>[DataSheet2.2.xlsm]INR_DATA!R10C50</stp>
        <tr r="AX10" s="54"/>
      </tp>
      <tp>
        <v>0.34300000000000003</v>
        <stp/>
        <stp>##V3_BDPV12</stp>
        <stp>CKFR0AD CMPN Curncy</stp>
        <stp>LAST_PRICE</stp>
        <stp>[DataSheet2.3.xlsm]GBP_DATA!R10C25</stp>
        <tr r="Y10" s="58"/>
      </tp>
      <tp>
        <v>0.91500000000000004</v>
        <stp/>
        <stp>##V3_BDPV12</stp>
        <stp>HFFR0EK ICPL Curncy</stp>
        <stp>LAST_PRICE</stp>
        <stp>[DataSheet2.2.xlsm]HUF_DATA!R15C20</stp>
        <tr r="T15" s="15"/>
      </tp>
      <tp>
        <v>4.8566000000000003</v>
        <stp/>
        <stp>##V3_BDPV12</stp>
        <stp>EURRON Curncy</stp>
        <stp>BID</stp>
        <stp>[DataSheet2.2.xlsm]RON_DATA!R7C49</stp>
        <tr r="AW7" s="16"/>
      </tp>
      <tp>
        <v>3.88</v>
        <stp/>
        <stp>##V3_BDPV12</stp>
        <stp>SAFR1F1I ICPL Curncy</stp>
        <stp>LAST_PRICE</stp>
        <stp>[DataSheet2.2.xlsm]ZAR_DATA!R18C20</stp>
        <tr r="T18" s="8"/>
      </tp>
      <tp t="s">
        <v>15/06/2022</v>
        <stp/>
        <stp>##V3_BDPV12</stp>
        <stp>ERH2 Comdty</stp>
        <stp>INT_RATE_FUT_END_DT</stp>
        <stp>[DataSheet2.3.xlsm]EUR_DATA!R18C19</stp>
        <tr r="S18" s="31"/>
      </tp>
      <tp>
        <v>0.38339000000000001</v>
        <stp/>
        <stp>##V3_BDPV12</stp>
        <stp>HIHD01M Index</stp>
        <stp>PX_LAST</stp>
        <stp>[DataSheet2.2.xlsm]HKD_DATA!R8C20</stp>
        <tr r="T8" s="52"/>
      </tp>
      <tp>
        <v>0.52261999999999997</v>
        <stp/>
        <stp>##V3_BDPV12</stp>
        <stp>HIHD03M Index</stp>
        <stp>PX_LAST</stp>
        <stp>[DataSheet2.2.xlsm]HKD_DATA!R9C20</stp>
        <tr r="T9" s="52"/>
      </tp>
      <tp>
        <v>-0.02</v>
        <stp/>
        <stp>##V3_BDPV12</stp>
        <stp>JYSW7 MTRT Curncy</stp>
        <stp>LAST_PRICE</stp>
        <stp>[DataSheet2.3.xlsm]JPY_DATA!R59C9</stp>
        <tr r="I59" s="46"/>
      </tp>
      <tp>
        <v>19.75</v>
        <stp/>
        <stp>##V3_BDPV12</stp>
        <stp>USBG4 CMPN Curncy</stp>
        <stp>LAST_PRICE</stp>
        <stp>[DataSheet2.3.xlsm]USD_DATA!R30C9</stp>
        <tr r="I30" s="6"/>
      </tp>
      <tp>
        <v>-255</v>
        <stp/>
        <stp>##V3_BDPV12</stp>
        <stp>ILS12M ICPL Curncy</stp>
        <stp>ASK</stp>
        <stp>[DataSheet2.2.xlsm]ILS_DATA!R16C50</stp>
        <tr r="AX16" s="17"/>
      </tp>
      <tp>
        <v>-285</v>
        <stp/>
        <stp>##V3_BDPV12</stp>
        <stp>ILS12M ICPL Curncy</stp>
        <stp>BID</stp>
        <stp>[DataSheet2.2.xlsm]ILS_DATA!R16C49</stp>
        <tr r="AW16" s="17"/>
      </tp>
      <tp>
        <v>14</v>
        <stp/>
        <stp>##V3_BDPV12</stp>
        <stp>HDBA1  TPRA Curncy</stp>
        <stp>LAST_PRICE</stp>
        <stp>[DataSheet2.2.xlsm]HKD_DATA!R9C30</stp>
        <tr r="AD9" s="52"/>
      </tp>
      <tp t="s">
        <v>#N/A Invalid Security</v>
        <stp/>
        <stp>##V3_BDPV12</stp>
        <stp>RRSWM18M TRPU Curncy</stp>
        <stp>ASK</stp>
        <stp>[DataSheet2.2.xlsm]RUB_DATA!R33C19</stp>
        <tr r="S33" s="4"/>
      </tp>
      <tp t="s">
        <v>#N/A Invalid Security</v>
        <stp/>
        <stp>##V3_BDPV12</stp>
        <stp>RRSWM18M TRPU Curncy</stp>
        <stp>BID</stp>
        <stp>[DataSheet2.2.xlsm]RUB_DATA!R33C18</stp>
        <tr r="R33" s="4"/>
      </tp>
      <tp>
        <v>4.67</v>
        <stp/>
        <stp>##V3_BDPV12</stp>
        <stp>RRFR00C TRSU Curncy</stp>
        <stp>BID</stp>
        <stp>[DataSheet2.2.xlsm]RUB_DATA!R11C18</stp>
        <tr r="R11" s="4"/>
      </tp>
      <tp>
        <v>4.82</v>
        <stp/>
        <stp>##V3_BDPV12</stp>
        <stp>RRFR0I1 TRSU Curncy</stp>
        <stp>BID</stp>
        <stp>[DataSheet2.2.xlsm]RUB_DATA!R16C18</stp>
        <tr r="R16" s="4"/>
      </tp>
      <tp>
        <v>4.66</v>
        <stp/>
        <stp>##V3_BDPV12</stp>
        <stp>RRFR0BE TRSU Curncy</stp>
        <stp>BID</stp>
        <stp>[DataSheet2.2.xlsm]RUB_DATA!R13C18</stp>
        <tr r="R13" s="4"/>
      </tp>
      <tp>
        <v>4.62</v>
        <stp/>
        <stp>##V3_BDPV12</stp>
        <stp>RRFR0CF TRSU Curncy</stp>
        <stp>BID</stp>
        <stp>[DataSheet2.2.xlsm]RUB_DATA!R14C18</stp>
        <tr r="R14" s="4"/>
      </tp>
      <tp>
        <v>4.66</v>
        <stp/>
        <stp>##V3_BDPV12</stp>
        <stp>RRFR0AD TRSU Curncy</stp>
        <stp>BID</stp>
        <stp>[DataSheet2.2.xlsm]RUB_DATA!R12C18</stp>
        <tr r="R12" s="4"/>
      </tp>
      <tp>
        <v>4.7699999999999996</v>
        <stp/>
        <stp>##V3_BDPV12</stp>
        <stp>RRFR0FI TRSU Curncy</stp>
        <stp>BID</stp>
        <stp>[DataSheet2.2.xlsm]RUB_DATA!R15C18</stp>
        <tr r="R15" s="4"/>
      </tp>
      <tp>
        <v>4.7699999999999996</v>
        <stp/>
        <stp>##V3_BDPV12</stp>
        <stp>RRFR00C TRSU Curncy</stp>
        <stp>ASK</stp>
        <stp>[DataSheet2.2.xlsm]RUB_DATA!R11C19</stp>
        <tr r="S11" s="4"/>
      </tp>
      <tp>
        <v>4.76</v>
        <stp/>
        <stp>##V3_BDPV12</stp>
        <stp>RRFR0AD TRSU Curncy</stp>
        <stp>ASK</stp>
        <stp>[DataSheet2.2.xlsm]RUB_DATA!R12C19</stp>
        <tr r="S12" s="4"/>
      </tp>
      <tp>
        <v>4.72</v>
        <stp/>
        <stp>##V3_BDPV12</stp>
        <stp>RRFR0CF TRSU Curncy</stp>
        <stp>ASK</stp>
        <stp>[DataSheet2.2.xlsm]RUB_DATA!R14C19</stp>
        <tr r="S14" s="4"/>
      </tp>
      <tp>
        <v>4.76</v>
        <stp/>
        <stp>##V3_BDPV12</stp>
        <stp>RRFR0BE TRSU Curncy</stp>
        <stp>ASK</stp>
        <stp>[DataSheet2.2.xlsm]RUB_DATA!R13C19</stp>
        <tr r="S13" s="4"/>
      </tp>
      <tp>
        <v>4.87</v>
        <stp/>
        <stp>##V3_BDPV12</stp>
        <stp>RRFR0FI TRSU Curncy</stp>
        <stp>ASK</stp>
        <stp>[DataSheet2.2.xlsm]RUB_DATA!R15C19</stp>
        <tr r="S15" s="4"/>
      </tp>
      <tp>
        <v>4.92</v>
        <stp/>
        <stp>##V3_BDPV12</stp>
        <stp>RRFR0I1 TRSU Curncy</stp>
        <stp>ASK</stp>
        <stp>[DataSheet2.2.xlsm]RUB_DATA!R16C19</stp>
        <tr r="S16" s="4"/>
      </tp>
      <tp>
        <v>3.2749999999999999</v>
        <stp/>
        <stp>##V3_BDPV12</stp>
        <stp>SAFR0CF ICPL Curncy</stp>
        <stp>LAST_PRICE</stp>
        <stp>[DataSheet2.2.xlsm]ZAR_DATA!R13C20</stp>
        <tr r="T13" s="8"/>
      </tp>
      <tp>
        <v>0.1</v>
        <stp/>
        <stp>##V3_BDPV12</stp>
        <stp>SARTN GMGM Curncy</stp>
        <stp>PX_LAST</stp>
        <stp>[DataSheet2.2.xlsm]SAR_DATA!R9C51</stp>
        <tr r="AY9" s="19"/>
      </tp>
      <tp>
        <v>0</v>
        <stp/>
        <stp>##V3_BDPV12</stp>
        <stp>SARON GMGM Curncy</stp>
        <stp>PX_LAST</stp>
        <stp>[DataSheet2.2.xlsm]SAR_DATA!R8C51</stp>
        <tr r="AY8" s="19"/>
      </tp>
      <tp t="s">
        <v>#N/A N/A</v>
        <stp/>
        <stp>##V3_BDPV12</stp>
        <stp>BCNSN BGN Curncy</stp>
        <stp>PX_LAST</stp>
        <stp>[DataSheet2.3.xlsm]BRL_DATA!R8C51</stp>
        <tr r="AY8" s="59"/>
      </tp>
      <tp>
        <v>5.23</v>
        <stp/>
        <stp>##V3_BDPV12</stp>
        <stp>IRSWN7 BGN Curncy</stp>
        <stp>PX_LAST</stp>
        <stp>[DataSheet2.2.xlsm]INR_DATA!R24C51</stp>
        <tr r="AY24" s="54"/>
      </tp>
      <tp>
        <v>0.63500000000000001</v>
        <stp/>
        <stp>##V3_BDPV12</stp>
        <stp>ISSW10 ICPL Curncy</stp>
        <stp>BID</stp>
        <stp>[DataSheet2.2.xlsm]ILS_DATA!R27C18</stp>
        <tr r="R27" s="17"/>
      </tp>
      <tp>
        <v>0.67500000000000004</v>
        <stp/>
        <stp>##V3_BDPV12</stp>
        <stp>ISSW10 ICPL Curncy</stp>
        <stp>ASK</stp>
        <stp>[DataSheet2.2.xlsm]ILS_DATA!R27C19</stp>
        <tr r="S27" s="17"/>
      </tp>
      <tp>
        <v>4.8499999999999996</v>
        <stp/>
        <stp>##V3_BDPV12</stp>
        <stp>CGSWH10 TPRA Curncy</stp>
        <stp>ASK</stp>
        <stp>[DataSheet2.3.xlsm]CNH_DATA!R20C19</stp>
        <tr r="S20" s="50"/>
      </tp>
      <tp>
        <v>4.1500000000000004</v>
        <stp/>
        <stp>##V3_BDPV12</stp>
        <stp>CGSWH10 TPRA Curncy</stp>
        <stp>BID</stp>
        <stp>[DataSheet2.3.xlsm]CNH_DATA!R20C18</stp>
        <tr r="R20" s="50"/>
      </tp>
      <tp>
        <v>4.875</v>
        <stp/>
        <stp>##V3_BDPV12</stp>
        <stp>JYBSL4 MTRT Curncy</stp>
        <stp>LAST_PRICE</stp>
        <stp>[DataSheet2.3.xlsm]JPY_DATA!R38C9</stp>
        <tr r="I38" s="46"/>
      </tp>
      <tp>
        <v>2.5099999999999998</v>
        <stp/>
        <stp>##V3_BDPV12</stp>
        <stp>CGUSSW10 ICHK Curncy</stp>
        <stp>ASK</stp>
        <stp>[DataSheet2.3.xlsm]CNH_DATA!R33C50</stp>
        <tr r="AX33" s="50"/>
      </tp>
      <tp>
        <v>2.4500000000000002</v>
        <stp/>
        <stp>##V3_BDPV12</stp>
        <stp>CGUSSW10 ICHK Curncy</stp>
        <stp>BID</stp>
        <stp>[DataSheet2.3.xlsm]CNH_DATA!R33C49</stp>
        <tr r="AW33" s="50"/>
      </tp>
      <tp>
        <v>0.62</v>
        <stp/>
        <stp>##V3_BDPV12</stp>
        <stp>HDFR0I1 CMPN Curncy</stp>
        <stp>ASK</stp>
        <stp>[DataSheet2.2.xlsm]HKD_DATA!R13C19</stp>
        <tr r="S13" s="52"/>
      </tp>
      <tp>
        <v>0.65</v>
        <stp/>
        <stp>##V3_BDPV12</stp>
        <stp>HDFR0FI CMPN Curncy</stp>
        <stp>ASK</stp>
        <stp>[DataSheet2.2.xlsm]HKD_DATA!R12C19</stp>
        <tr r="S12" s="52"/>
      </tp>
      <tp>
        <v>0.64</v>
        <stp/>
        <stp>##V3_BDPV12</stp>
        <stp>HDFR0CF CMPN Curncy</stp>
        <stp>ASK</stp>
        <stp>[DataSheet2.2.xlsm]HKD_DATA!R11C19</stp>
        <tr r="S11" s="52"/>
      </tp>
      <tp>
        <v>0.55000000000000004</v>
        <stp/>
        <stp>##V3_BDPV12</stp>
        <stp>HDFR0FI CMPN Curncy</stp>
        <stp>BID</stp>
        <stp>[DataSheet2.2.xlsm]HKD_DATA!R12C18</stp>
        <tr r="R12" s="52"/>
      </tp>
      <tp>
        <v>0.54</v>
        <stp/>
        <stp>##V3_BDPV12</stp>
        <stp>HDFR0CF CMPN Curncy</stp>
        <stp>BID</stp>
        <stp>[DataSheet2.2.xlsm]HKD_DATA!R11C18</stp>
        <tr r="R11" s="52"/>
      </tp>
      <tp>
        <v>0.52</v>
        <stp/>
        <stp>##V3_BDPV12</stp>
        <stp>HDFR0I1 CMPN Curncy</stp>
        <stp>BID</stp>
        <stp>[DataSheet2.2.xlsm]HKD_DATA!R13C18</stp>
        <tr r="R13" s="52"/>
      </tp>
      <tp>
        <v>60</v>
        <stp/>
        <stp>##V3_BDPV12</stp>
        <stp>CNH2W CMPN Curncy</stp>
        <stp>PX_LAST</stp>
        <stp>[DataSheet2.3.xlsm]CNH_DATA!R11C51</stp>
        <tr r="AY11" s="50"/>
      </tp>
      <tp>
        <v>30</v>
        <stp/>
        <stp>##V3_BDPV12</stp>
        <stp>CNH1W CMPN Curncy</stp>
        <stp>PX_LAST</stp>
        <stp>[DataSheet2.3.xlsm]CNH_DATA!R10C51</stp>
        <tr r="AY10" s="50"/>
      </tp>
      <tp>
        <v>4.1500000000000004</v>
        <stp/>
        <stp>##V3_BDPV12</stp>
        <stp>EURRONON CCMK Curncy</stp>
        <stp>ASK</stp>
        <stp>[DataSheet2.2.xlsm]RON_DATA!R8C50</stp>
        <tr r="AX8" s="16"/>
      </tp>
      <tp>
        <v>4.13</v>
        <stp/>
        <stp>##V3_BDPV12</stp>
        <stp>EURRONTN CCMK Curncy</stp>
        <stp>ASK</stp>
        <stp>[DataSheet2.2.xlsm]RON_DATA!R9C50</stp>
        <tr r="AX9" s="16"/>
      </tp>
      <tp>
        <v>6.8483999999999998</v>
        <stp/>
        <stp>##V3_BDPV12</stp>
        <stp>USDCNH Curncy</stp>
        <stp>ASK</stp>
        <stp>[DataSheet2.3.xlsm]CNH_DATA!R7C50</stp>
        <tr r="AX7" s="50"/>
      </tp>
      <tp>
        <v>1.3228</v>
        <stp/>
        <stp>##V3_BDPV12</stp>
        <stp>USDCAD Curncy</stp>
        <stp>BID</stp>
        <stp>[DataSheet2.3.xlsm]CAD_DATA!R7C49</stp>
        <tr r="AW7" s="48"/>
      </tp>
      <tp>
        <v>1.3228</v>
        <stp/>
        <stp>##V3_BDPV12</stp>
        <stp>USDCAD Curncy</stp>
        <stp>BID</stp>
        <stp>[DataSheet2.3.xlsm]GBP_DATA!R7C49</stp>
        <tr r="AW7" s="58"/>
      </tp>
      <tp>
        <v>2.4260000000000002</v>
        <stp/>
        <stp>##V3_BDPV12</stp>
        <stp>SRSW10 GMGM Curncy</stp>
        <stp>BID</stp>
        <stp>[DataSheet2.2.xlsm]INR_DATA!R24C18</stp>
        <tr r="R24" s="54"/>
      </tp>
      <tp>
        <v>2.5059999999999998</v>
        <stp/>
        <stp>##V3_BDPV12</stp>
        <stp>SRSW10 GMGM Curncy</stp>
        <stp>ASK</stp>
        <stp>[DataSheet2.2.xlsm]INR_DATA!R24C19</stp>
        <tr r="S24" s="54"/>
      </tp>
      <tp>
        <v>5.25</v>
        <stp/>
        <stp>##V3_BDPV12</stp>
        <stp>JYBSL5 MTRT Curncy</stp>
        <stp>LAST_PRICE</stp>
        <stp>[DataSheet2.3.xlsm]JPY_DATA!R39C9</stp>
        <tr r="I39" s="46"/>
      </tp>
      <tp>
        <v>4.8499999999999996</v>
        <stp/>
        <stp>##V3_BDPV12</stp>
        <stp>CGSWH10 TPRA Curncy</stp>
        <stp>ASK</stp>
        <stp>[DataSheet2.3.xlsm]BRL_DATA!R20C19</stp>
        <tr r="S20" s="59"/>
      </tp>
      <tp>
        <v>4.1500000000000004</v>
        <stp/>
        <stp>##V3_BDPV12</stp>
        <stp>CGSWH10 TPRA Curncy</stp>
        <stp>BID</stp>
        <stp>[DataSheet2.3.xlsm]BRL_DATA!R20C18</stp>
        <tr r="R20" s="59"/>
      </tp>
      <tp>
        <v>4.33</v>
        <stp/>
        <stp>##V3_BDPV12</stp>
        <stp>RRUSSW1 TRPU Curncy</stp>
        <stp>ASK</stp>
        <stp>[DataSheet2.2.xlsm]RUB_DATA!R25C50</stp>
        <tr r="AX25" s="4"/>
      </tp>
      <tp>
        <v>4.38</v>
        <stp/>
        <stp>##V3_BDPV12</stp>
        <stp>RRUSSW2 TRPU Curncy</stp>
        <stp>ASK</stp>
        <stp>[DataSheet2.2.xlsm]RUB_DATA!R26C50</stp>
        <tr r="AX26" s="4"/>
      </tp>
      <tp>
        <v>4.3899999999999997</v>
        <stp/>
        <stp>##V3_BDPV12</stp>
        <stp>RRUSSW3 TRPU Curncy</stp>
        <stp>ASK</stp>
        <stp>[DataSheet2.2.xlsm]RUB_DATA!R27C50</stp>
        <tr r="AX27" s="4"/>
      </tp>
      <tp>
        <v>4.4000000000000004</v>
        <stp/>
        <stp>##V3_BDPV12</stp>
        <stp>RRUSSW4 TRPU Curncy</stp>
        <stp>ASK</stp>
        <stp>[DataSheet2.2.xlsm]RUB_DATA!R28C50</stp>
        <tr r="AX28" s="4"/>
      </tp>
      <tp>
        <v>4.41</v>
        <stp/>
        <stp>##V3_BDPV12</stp>
        <stp>RRUSSW5 TRPU Curncy</stp>
        <stp>ASK</stp>
        <stp>[DataSheet2.2.xlsm]RUB_DATA!R29C50</stp>
        <tr r="AX29" s="4"/>
      </tp>
      <tp>
        <v>4.42</v>
        <stp/>
        <stp>##V3_BDPV12</stp>
        <stp>RRUSSW6 TRPU Curncy</stp>
        <stp>ASK</stp>
        <stp>[DataSheet2.2.xlsm]RUB_DATA!R30C50</stp>
        <tr r="AX30" s="4"/>
      </tp>
      <tp>
        <v>4.43</v>
        <stp/>
        <stp>##V3_BDPV12</stp>
        <stp>RRUSSW7 TRPU Curncy</stp>
        <stp>ASK</stp>
        <stp>[DataSheet2.2.xlsm]RUB_DATA!R31C50</stp>
        <tr r="AX31" s="4"/>
      </tp>
      <tp>
        <v>4.4400000000000004</v>
        <stp/>
        <stp>##V3_BDPV12</stp>
        <stp>RRUSSW8 TRPU Curncy</stp>
        <stp>ASK</stp>
        <stp>[DataSheet2.2.xlsm]RUB_DATA!R32C50</stp>
        <tr r="AX32" s="4"/>
      </tp>
      <tp>
        <v>4.45</v>
        <stp/>
        <stp>##V3_BDPV12</stp>
        <stp>RRUSSW9 TRPU Curncy</stp>
        <stp>ASK</stp>
        <stp>[DataSheet2.2.xlsm]RUB_DATA!R33C50</stp>
        <tr r="AX33" s="4"/>
      </tp>
      <tp>
        <v>4.34</v>
        <stp/>
        <stp>##V3_BDPV12</stp>
        <stp>RRUSSW8 TRPU Curncy</stp>
        <stp>BID</stp>
        <stp>[DataSheet2.2.xlsm]RUB_DATA!R32C49</stp>
        <tr r="AW32" s="4"/>
      </tp>
      <tp>
        <v>4.3499999999999996</v>
        <stp/>
        <stp>##V3_BDPV12</stp>
        <stp>RRUSSW9 TRPU Curncy</stp>
        <stp>BID</stp>
        <stp>[DataSheet2.2.xlsm]RUB_DATA!R33C49</stp>
        <tr r="AW33" s="4"/>
      </tp>
      <tp>
        <v>4.32</v>
        <stp/>
        <stp>##V3_BDPV12</stp>
        <stp>RRUSSW6 TRPU Curncy</stp>
        <stp>BID</stp>
        <stp>[DataSheet2.2.xlsm]RUB_DATA!R30C49</stp>
        <tr r="AW30" s="4"/>
      </tp>
      <tp>
        <v>4.33</v>
        <stp/>
        <stp>##V3_BDPV12</stp>
        <stp>RRUSSW7 TRPU Curncy</stp>
        <stp>BID</stp>
        <stp>[DataSheet2.2.xlsm]RUB_DATA!R31C49</stp>
        <tr r="AW31" s="4"/>
      </tp>
      <tp>
        <v>4.3</v>
        <stp/>
        <stp>##V3_BDPV12</stp>
        <stp>RRUSSW4 TRPU Curncy</stp>
        <stp>BID</stp>
        <stp>[DataSheet2.2.xlsm]RUB_DATA!R28C49</stp>
        <tr r="AW28" s="4"/>
      </tp>
      <tp>
        <v>4.3099999999999996</v>
        <stp/>
        <stp>##V3_BDPV12</stp>
        <stp>RRUSSW5 TRPU Curncy</stp>
        <stp>BID</stp>
        <stp>[DataSheet2.2.xlsm]RUB_DATA!R29C49</stp>
        <tr r="AW29" s="4"/>
      </tp>
      <tp>
        <v>4.2300000000000004</v>
        <stp/>
        <stp>##V3_BDPV12</stp>
        <stp>RRUSSW1 TRPU Curncy</stp>
        <stp>BID</stp>
        <stp>[DataSheet2.2.xlsm]RUB_DATA!R25C49</stp>
        <tr r="AW25" s="4"/>
      </tp>
      <tp>
        <v>4.28</v>
        <stp/>
        <stp>##V3_BDPV12</stp>
        <stp>RRUSSW2 TRPU Curncy</stp>
        <stp>BID</stp>
        <stp>[DataSheet2.2.xlsm]RUB_DATA!R26C49</stp>
        <tr r="AW26" s="4"/>
      </tp>
      <tp>
        <v>4.29</v>
        <stp/>
        <stp>##V3_BDPV12</stp>
        <stp>RRUSSW3 TRPU Curncy</stp>
        <stp>BID</stp>
        <stp>[DataSheet2.2.xlsm]RUB_DATA!R27C49</stp>
        <tr r="AW27" s="4"/>
      </tp>
      <tp>
        <v>0.1</v>
        <stp/>
        <stp>##V3_BDPV12</stp>
        <stp>ISFR0AD ICPL Curncy</stp>
        <stp>ASK</stp>
        <stp>[DataSheet2.2.xlsm]ILS_DATA!R13C19</stp>
        <tr r="S13" s="17"/>
      </tp>
      <tp>
        <v>0.1</v>
        <stp/>
        <stp>##V3_BDPV12</stp>
        <stp>ISFR0BE ICPL Curncy</stp>
        <stp>ASK</stp>
        <stp>[DataSheet2.2.xlsm]ILS_DATA!R14C19</stp>
        <tr r="S14" s="17"/>
      </tp>
      <tp>
        <v>0.1</v>
        <stp/>
        <stp>##V3_BDPV12</stp>
        <stp>ISFR0CF ICPL Curncy</stp>
        <stp>ASK</stp>
        <stp>[DataSheet2.2.xlsm]ILS_DATA!R15C19</stp>
        <tr r="S15" s="17"/>
      </tp>
      <tp>
        <v>0.1</v>
        <stp/>
        <stp>##V3_BDPV12</stp>
        <stp>ISFR0FI ICPL Curncy</stp>
        <stp>ASK</stp>
        <stp>[DataSheet2.2.xlsm]ILS_DATA!R16C19</stp>
        <tr r="S16" s="17"/>
      </tp>
      <tp>
        <v>0.1</v>
        <stp/>
        <stp>##V3_BDPV12</stp>
        <stp>ISFR0I1 ICPL Curncy</stp>
        <stp>ASK</stp>
        <stp>[DataSheet2.2.xlsm]ILS_DATA!R17C19</stp>
        <tr r="S17" s="17"/>
      </tp>
      <tp>
        <v>0.04</v>
        <stp/>
        <stp>##V3_BDPV12</stp>
        <stp>ISFR0I1 ICPL Curncy</stp>
        <stp>BID</stp>
        <stp>[DataSheet2.2.xlsm]ILS_DATA!R17C18</stp>
        <tr r="R17" s="17"/>
      </tp>
      <tp>
        <v>0.04</v>
        <stp/>
        <stp>##V3_BDPV12</stp>
        <stp>ISFR0CF ICPL Curncy</stp>
        <stp>BID</stp>
        <stp>[DataSheet2.2.xlsm]ILS_DATA!R15C18</stp>
        <tr r="R15" s="17"/>
      </tp>
      <tp>
        <v>0.04</v>
        <stp/>
        <stp>##V3_BDPV12</stp>
        <stp>ISFR0BE ICPL Curncy</stp>
        <stp>BID</stp>
        <stp>[DataSheet2.2.xlsm]ILS_DATA!R14C18</stp>
        <tr r="R14" s="17"/>
      </tp>
      <tp>
        <v>0.04</v>
        <stp/>
        <stp>##V3_BDPV12</stp>
        <stp>ISFR0AD ICPL Curncy</stp>
        <stp>BID</stp>
        <stp>[DataSheet2.2.xlsm]ILS_DATA!R13C18</stp>
        <tr r="R13" s="17"/>
      </tp>
      <tp>
        <v>0.04</v>
        <stp/>
        <stp>##V3_BDPV12</stp>
        <stp>ISFR0FI ICPL Curncy</stp>
        <stp>BID</stp>
        <stp>[DataSheet2.2.xlsm]ILS_DATA!R16C18</stp>
        <tr r="R16" s="17"/>
      </tp>
      <tp>
        <v>-25.5</v>
        <stp/>
        <stp>##V3_BDPV12</stp>
        <stp>CDBS2 Curncy</stp>
        <stp>LAST_PRICE</stp>
        <stp>[DataSheet2.3.xlsm]GBP_DATA!R11C43</stp>
        <tr r="AQ11" s="58"/>
      </tp>
      <tp>
        <v>-21.5</v>
        <stp/>
        <stp>##V3_BDPV12</stp>
        <stp>CDBS3 Curncy</stp>
        <stp>LAST_PRICE</stp>
        <stp>[DataSheet2.3.xlsm]GBP_DATA!R12C43</stp>
        <tr r="AQ12" s="58"/>
      </tp>
      <tp>
        <v>-30</v>
        <stp/>
        <stp>##V3_BDPV12</stp>
        <stp>CDBS1 Curncy</stp>
        <stp>LAST_PRICE</stp>
        <stp>[DataSheet2.3.xlsm]GBP_DATA!R10C43</stp>
        <tr r="AQ10" s="58"/>
      </tp>
      <tp>
        <v>-14</v>
        <stp/>
        <stp>##V3_BDPV12</stp>
        <stp>CDBS7 Curncy</stp>
        <stp>LAST_PRICE</stp>
        <stp>[DataSheet2.3.xlsm]GBP_DATA!R15C43</stp>
        <tr r="AQ15" s="58"/>
      </tp>
      <tp>
        <v>-19</v>
        <stp/>
        <stp>##V3_BDPV12</stp>
        <stp>CDBS4 Curncy</stp>
        <stp>LAST_PRICE</stp>
        <stp>[DataSheet2.3.xlsm]GBP_DATA!R13C43</stp>
        <tr r="AQ13" s="58"/>
      </tp>
      <tp>
        <v>3.33</v>
        <stp/>
        <stp>##V3_BDPV12</stp>
        <stp>SAFR0AD ICPL Curncy</stp>
        <stp>LAST_PRICE</stp>
        <stp>[DataSheet2.2.xlsm]ZAR_DATA!R11C20</stp>
        <tr r="T11" s="8"/>
      </tp>
      <tp>
        <v>-16.75</v>
        <stp/>
        <stp>##V3_BDPV12</stp>
        <stp>CDBS5 Curncy</stp>
        <stp>LAST_PRICE</stp>
        <stp>[DataSheet2.3.xlsm]GBP_DATA!R14C43</stp>
        <tr r="AQ14" s="58"/>
      </tp>
      <tp>
        <v>-0.05</v>
        <stp/>
        <stp>##V3_BDPV12</stp>
        <stp>AEDTN NBAD Curncy</stp>
        <stp>PX_LAST</stp>
        <stp>[DataSheet2.2.xlsm]AED_DATA!R22C51</stp>
        <tr r="AY22" s="18"/>
      </tp>
      <tp>
        <v>22</v>
        <stp/>
        <stp>##V3_BDPV12</stp>
        <stp>AED9M NBAD Curncy</stp>
        <stp>PX_LAST</stp>
        <stp>[DataSheet2.2.xlsm]AED_DATA!R28C51</stp>
        <tr r="AY28" s="18"/>
      </tp>
      <tp>
        <v>125</v>
        <stp/>
        <stp>##V3_BDPV12</stp>
        <stp>AED2Y NBAD Curncy</stp>
        <stp>PX_LAST</stp>
        <stp>[DataSheet2.2.xlsm]AED_DATA!R30C51</stp>
        <tr r="AY30" s="18"/>
      </tp>
      <tp>
        <v>4.5</v>
        <stp/>
        <stp>##V3_BDPV12</stp>
        <stp>AED3M NBAD Curncy</stp>
        <stp>PX_LAST</stp>
        <stp>[DataSheet2.2.xlsm]AED_DATA!R26C51</stp>
        <tr r="AY26" s="18"/>
      </tp>
      <tp>
        <v>280</v>
        <stp/>
        <stp>##V3_BDPV12</stp>
        <stp>AED3Y NBAD Curncy</stp>
        <stp>PX_LAST</stp>
        <stp>[DataSheet2.2.xlsm]AED_DATA!R31C51</stp>
        <tr r="AY31" s="18"/>
      </tp>
      <tp>
        <v>2.5</v>
        <stp/>
        <stp>##V3_BDPV12</stp>
        <stp>AED2M NBAD Curncy</stp>
        <stp>PX_LAST</stp>
        <stp>[DataSheet2.2.xlsm]AED_DATA!R25C51</stp>
        <tr r="AY25" s="18"/>
      </tp>
      <tp>
        <v>-0.15</v>
        <stp/>
        <stp>##V3_BDPV12</stp>
        <stp>AED1W NBAD Curncy</stp>
        <stp>PX_LAST</stp>
        <stp>[DataSheet2.2.xlsm]AED_DATA!R23C51</stp>
        <tr r="AY23" s="18"/>
      </tp>
      <tp>
        <v>2.5</v>
        <stp/>
        <stp>##V3_BDPV12</stp>
        <stp>AED1M NBAD Curncy</stp>
        <stp>PX_LAST</stp>
        <stp>[DataSheet2.2.xlsm]AED_DATA!R24C51</stp>
        <tr r="AY24" s="18"/>
      </tp>
      <tp>
        <v>11</v>
        <stp/>
        <stp>##V3_BDPV12</stp>
        <stp>AED6M NBAD Curncy</stp>
        <stp>PX_LAST</stp>
        <stp>[DataSheet2.2.xlsm]AED_DATA!R27C51</stp>
        <tr r="AY27" s="18"/>
      </tp>
      <tp>
        <v>437.5</v>
        <stp/>
        <stp>##V3_BDPV12</stp>
        <stp>AED4Y NBAD Curncy</stp>
        <stp>PX_LAST</stp>
        <stp>[DataSheet2.2.xlsm]AED_DATA!R32C51</stp>
        <tr r="AY32" s="18"/>
      </tp>
      <tp>
        <v>575</v>
        <stp/>
        <stp>##V3_BDPV12</stp>
        <stp>AED5Y NBAD Curncy</stp>
        <stp>PX_LAST</stp>
        <stp>[DataSheet2.2.xlsm]AED_DATA!R33C51</stp>
        <tr r="AY33" s="18"/>
      </tp>
      <tp>
        <v>0.4743</v>
        <stp/>
        <stp>##V3_BDPV12</stp>
        <stp>USSWAP7 CMPN Curncy</stp>
        <stp>LAST_PRICE</stp>
        <stp>[DataSheet2.3.xlsm]USD_DATA!R44C9</stp>
        <tr r="I44" s="6"/>
      </tp>
      <tp>
        <v>5.23</v>
        <stp/>
        <stp>##V3_BDPV12</stp>
        <stp>IRSWN5 BGN Curncy</stp>
        <stp>PX_LAST</stp>
        <stp>[DataSheet2.2.xlsm]INR_DATA!R23C51</stp>
        <tr r="AY23" s="54"/>
      </tp>
      <tp>
        <v>2.355</v>
        <stp/>
        <stp>##V3_BDPV12</stp>
        <stp>EURNSW1 CCMK Curncy</stp>
        <stp>BID</stp>
        <stp>[DataSheet2.2.xlsm]RON_DATA!R21C49</stp>
        <tr r="AW21" s="16"/>
      </tp>
      <tp>
        <v>2.2850000000000001</v>
        <stp/>
        <stp>##V3_BDPV12</stp>
        <stp>EURNSW2 CCMK Curncy</stp>
        <stp>BID</stp>
        <stp>[DataSheet2.2.xlsm]RON_DATA!R22C49</stp>
        <tr r="AW22" s="16"/>
      </tp>
      <tp>
        <v>2.2749999999999999</v>
        <stp/>
        <stp>##V3_BDPV12</stp>
        <stp>EURNSW3 CCMK Curncy</stp>
        <stp>BID</stp>
        <stp>[DataSheet2.2.xlsm]RON_DATA!R23C49</stp>
        <tr r="AW23" s="16"/>
      </tp>
      <tp>
        <v>2.2749999999999999</v>
        <stp/>
        <stp>##V3_BDPV12</stp>
        <stp>EURNSW4 CCMK Curncy</stp>
        <stp>BID</stp>
        <stp>[DataSheet2.2.xlsm]RON_DATA!R24C49</stp>
        <tr r="AW24" s="16"/>
      </tp>
      <tp>
        <v>2.2850000000000001</v>
        <stp/>
        <stp>##V3_BDPV12</stp>
        <stp>EURNSW5 CCMK Curncy</stp>
        <stp>BID</stp>
        <stp>[DataSheet2.2.xlsm]RON_DATA!R25C49</stp>
        <tr r="AW25" s="16"/>
      </tp>
      <tp>
        <v>2.3050000000000002</v>
        <stp/>
        <stp>##V3_BDPV12</stp>
        <stp>EURNSW6 CCMK Curncy</stp>
        <stp>BID</stp>
        <stp>[DataSheet2.2.xlsm]RON_DATA!R26C49</stp>
        <tr r="AW26" s="16"/>
      </tp>
      <tp>
        <v>2.3250000000000002</v>
        <stp/>
        <stp>##V3_BDPV12</stp>
        <stp>EURNSW7 CCMK Curncy</stp>
        <stp>BID</stp>
        <stp>[DataSheet2.2.xlsm]RON_DATA!R27C49</stp>
        <tr r="AW27" s="16"/>
      </tp>
      <tp>
        <v>2.35</v>
        <stp/>
        <stp>##V3_BDPV12</stp>
        <stp>EURNSW8 CCMK Curncy</stp>
        <stp>BID</stp>
        <stp>[DataSheet2.2.xlsm]RON_DATA!R28C49</stp>
        <tr r="AW28" s="16"/>
      </tp>
      <tp>
        <v>2.38</v>
        <stp/>
        <stp>##V3_BDPV12</stp>
        <stp>EURNSW9 CCMK Curncy</stp>
        <stp>BID</stp>
        <stp>[DataSheet2.2.xlsm]RON_DATA!R29C49</stp>
        <tr r="AW29" s="16"/>
      </tp>
      <tp>
        <v>2.6549999999999998</v>
        <stp/>
        <stp>##V3_BDPV12</stp>
        <stp>EURNSW1 CCMK Curncy</stp>
        <stp>ASK</stp>
        <stp>[DataSheet2.2.xlsm]RON_DATA!R21C50</stp>
        <tr r="AX21" s="16"/>
      </tp>
      <tp>
        <v>2.6850000000000001</v>
        <stp/>
        <stp>##V3_BDPV12</stp>
        <stp>EURNSW2 CCMK Curncy</stp>
        <stp>ASK</stp>
        <stp>[DataSheet2.2.xlsm]RON_DATA!R22C50</stp>
        <tr r="AX22" s="16"/>
      </tp>
      <tp>
        <v>2.6749999999999998</v>
        <stp/>
        <stp>##V3_BDPV12</stp>
        <stp>EURNSW3 CCMK Curncy</stp>
        <stp>ASK</stp>
        <stp>[DataSheet2.2.xlsm]RON_DATA!R23C50</stp>
        <tr r="AX23" s="16"/>
      </tp>
      <tp>
        <v>2.6749999999999998</v>
        <stp/>
        <stp>##V3_BDPV12</stp>
        <stp>EURNSW4 CCMK Curncy</stp>
        <stp>ASK</stp>
        <stp>[DataSheet2.2.xlsm]RON_DATA!R24C50</stp>
        <tr r="AX24" s="16"/>
      </tp>
      <tp>
        <v>2.6850000000000001</v>
        <stp/>
        <stp>##V3_BDPV12</stp>
        <stp>EURNSW5 CCMK Curncy</stp>
        <stp>ASK</stp>
        <stp>[DataSheet2.2.xlsm]RON_DATA!R25C50</stp>
        <tr r="AX25" s="16"/>
      </tp>
      <tp>
        <v>2.7050000000000001</v>
        <stp/>
        <stp>##V3_BDPV12</stp>
        <stp>EURNSW6 CCMK Curncy</stp>
        <stp>ASK</stp>
        <stp>[DataSheet2.2.xlsm]RON_DATA!R26C50</stp>
        <tr r="AX26" s="16"/>
      </tp>
      <tp>
        <v>2.7250000000000001</v>
        <stp/>
        <stp>##V3_BDPV12</stp>
        <stp>EURNSW7 CCMK Curncy</stp>
        <stp>ASK</stp>
        <stp>[DataSheet2.2.xlsm]RON_DATA!R27C50</stp>
        <tr r="AX27" s="16"/>
      </tp>
      <tp>
        <v>2.75</v>
        <stp/>
        <stp>##V3_BDPV12</stp>
        <stp>EURNSW8 CCMK Curncy</stp>
        <stp>ASK</stp>
        <stp>[DataSheet2.2.xlsm]RON_DATA!R28C50</stp>
        <tr r="AX28" s="16"/>
      </tp>
      <tp>
        <v>2.78</v>
        <stp/>
        <stp>##V3_BDPV12</stp>
        <stp>EURNSW9 CCMK Curncy</stp>
        <stp>ASK</stp>
        <stp>[DataSheet2.2.xlsm]RON_DATA!R29C50</stp>
        <tr r="AX29" s="16"/>
      </tp>
      <tp>
        <v>4.9800000000000004</v>
        <stp/>
        <stp>##V3_BDPV12</stp>
        <stp>RRSWM2 TRPU Curncy</stp>
        <stp>BID</stp>
        <stp>[DataSheet2.2.xlsm]RUB_DATA!R19C18</stp>
        <tr r="R19" s="4"/>
      </tp>
      <tp>
        <v>4.79</v>
        <stp/>
        <stp>##V3_BDPV12</stp>
        <stp>RRSWM1 TRPU Curncy</stp>
        <stp>BID</stp>
        <stp>[DataSheet2.2.xlsm]RUB_DATA!R18C18</stp>
        <tr r="R18" s="4"/>
      </tp>
      <tp>
        <v>5.55</v>
        <stp/>
        <stp>##V3_BDPV12</stp>
        <stp>RRSWM5 TRPU Curncy</stp>
        <stp>BID</stp>
        <stp>[DataSheet2.2.xlsm]RUB_DATA!R22C18</stp>
        <tr r="R22" s="4"/>
      </tp>
      <tp>
        <v>5.38</v>
        <stp/>
        <stp>##V3_BDPV12</stp>
        <stp>RRSWM4 TRPU Curncy</stp>
        <stp>BID</stp>
        <stp>[DataSheet2.2.xlsm]RUB_DATA!R21C18</stp>
        <tr r="R21" s="4"/>
      </tp>
      <tp>
        <v>5.72</v>
        <stp/>
        <stp>##V3_BDPV12</stp>
        <stp>RRSWM6 TRPU Curncy</stp>
        <stp>BID</stp>
        <stp>[DataSheet2.2.xlsm]RUB_DATA!R23C18</stp>
        <tr r="R23" s="4"/>
      </tp>
      <tp>
        <v>5.18</v>
        <stp/>
        <stp>##V3_BDPV12</stp>
        <stp>RRSWM3 TRPU Curncy</stp>
        <stp>BID</stp>
        <stp>[DataSheet2.2.xlsm]RUB_DATA!R20C18</stp>
        <tr r="R20" s="4"/>
      </tp>
      <tp>
        <v>5.88</v>
        <stp/>
        <stp>##V3_BDPV12</stp>
        <stp>RRSWM7 TRPU Curncy</stp>
        <stp>BID</stp>
        <stp>[DataSheet2.2.xlsm]RUB_DATA!R24C18</stp>
        <tr r="R24" s="4"/>
      </tp>
      <tp>
        <v>6.14</v>
        <stp/>
        <stp>##V3_BDPV12</stp>
        <stp>RRSWM9 TRPU Curncy</stp>
        <stp>BID</stp>
        <stp>[DataSheet2.2.xlsm]RUB_DATA!R26C18</stp>
        <tr r="R26" s="4"/>
      </tp>
      <tp>
        <v>6.02</v>
        <stp/>
        <stp>##V3_BDPV12</stp>
        <stp>RRSWM8 TRPU Curncy</stp>
        <stp>BID</stp>
        <stp>[DataSheet2.2.xlsm]RUB_DATA!R25C18</stp>
        <tr r="R25" s="4"/>
      </tp>
      <tp>
        <v>6.12</v>
        <stp/>
        <stp>##V3_BDPV12</stp>
        <stp>RRSWM8 TRPU Curncy</stp>
        <stp>ASK</stp>
        <stp>[DataSheet2.2.xlsm]RUB_DATA!R25C19</stp>
        <tr r="S25" s="4"/>
      </tp>
      <tp>
        <v>6.24</v>
        <stp/>
        <stp>##V3_BDPV12</stp>
        <stp>RRSWM9 TRPU Curncy</stp>
        <stp>ASK</stp>
        <stp>[DataSheet2.2.xlsm]RUB_DATA!R26C19</stp>
        <tr r="S26" s="4"/>
      </tp>
      <tp>
        <v>5.28</v>
        <stp/>
        <stp>##V3_BDPV12</stp>
        <stp>RRSWM3 TRPU Curncy</stp>
        <stp>ASK</stp>
        <stp>[DataSheet2.2.xlsm]RUB_DATA!R20C19</stp>
        <tr r="S20" s="4"/>
      </tp>
      <tp>
        <v>5.98</v>
        <stp/>
        <stp>##V3_BDPV12</stp>
        <stp>RRSWM7 TRPU Curncy</stp>
        <stp>ASK</stp>
        <stp>[DataSheet2.2.xlsm]RUB_DATA!R24C19</stp>
        <tr r="S24" s="4"/>
      </tp>
      <tp>
        <v>5.48</v>
        <stp/>
        <stp>##V3_BDPV12</stp>
        <stp>RRSWM4 TRPU Curncy</stp>
        <stp>ASK</stp>
        <stp>[DataSheet2.2.xlsm]RUB_DATA!R21C19</stp>
        <tr r="S21" s="4"/>
      </tp>
      <tp>
        <v>5.82</v>
        <stp/>
        <stp>##V3_BDPV12</stp>
        <stp>RRSWM6 TRPU Curncy</stp>
        <stp>ASK</stp>
        <stp>[DataSheet2.2.xlsm]RUB_DATA!R23C19</stp>
        <tr r="S23" s="4"/>
      </tp>
      <tp>
        <v>5.65</v>
        <stp/>
        <stp>##V3_BDPV12</stp>
        <stp>RRSWM5 TRPU Curncy</stp>
        <stp>ASK</stp>
        <stp>[DataSheet2.2.xlsm]RUB_DATA!R22C19</stp>
        <tr r="S22" s="4"/>
      </tp>
      <tp>
        <v>4.8899999999999997</v>
        <stp/>
        <stp>##V3_BDPV12</stp>
        <stp>RRSWM1 TRPU Curncy</stp>
        <stp>ASK</stp>
        <stp>[DataSheet2.2.xlsm]RUB_DATA!R18C19</stp>
        <tr r="S18" s="4"/>
      </tp>
      <tp>
        <v>5.08</v>
        <stp/>
        <stp>##V3_BDPV12</stp>
        <stp>RRSWM2 TRPU Curncy</stp>
        <stp>ASK</stp>
        <stp>[DataSheet2.2.xlsm]RUB_DATA!R19C19</stp>
        <tr r="S19" s="4"/>
      </tp>
      <tp>
        <v>0.1555</v>
        <stp/>
        <stp>##V3_BDPV12</stp>
        <stp>US0001M Index</stp>
        <stp>PX_LAST</stp>
        <stp>[DataSheet2.3.xlsm]USD_DATA!R7C17</stp>
        <tr r="Q7" s="6"/>
      </tp>
      <tp>
        <v>0.2495</v>
        <stp/>
        <stp>##V3_BDPV12</stp>
        <stp>US0003M Index</stp>
        <stp>PX_LAST</stp>
        <stp>[DataSheet2.3.xlsm]USD_DATA!R8C17</stp>
        <tr r="Q8" s="6"/>
      </tp>
      <tp>
        <v>-55</v>
        <stp/>
        <stp>##V3_BDPV12</stp>
        <stp>SABS12 ICPL Curncy</stp>
        <stp>BID</stp>
        <stp>[DataSheet2.2.xlsm]ZAR_DATA!R17C41</stp>
        <tr r="AO17" s="8"/>
      </tp>
      <tp>
        <v>-49.5</v>
        <stp/>
        <stp>##V3_BDPV12</stp>
        <stp>SABS10 ICPL Curncy</stp>
        <stp>BID</stp>
        <stp>[DataSheet2.2.xlsm]ZAR_DATA!R16C41</stp>
        <tr r="AO16" s="8"/>
      </tp>
      <tp>
        <v>-60.5</v>
        <stp/>
        <stp>##V3_BDPV12</stp>
        <stp>SABS15 ICPL Curncy</stp>
        <stp>BID</stp>
        <stp>[DataSheet2.2.xlsm]ZAR_DATA!R18C41</stp>
        <tr r="AO18" s="8"/>
      </tp>
      <tp>
        <v>-71.5</v>
        <stp/>
        <stp>##V3_BDPV12</stp>
        <stp>SABS20 ICPL Curncy</stp>
        <stp>BID</stp>
        <stp>[DataSheet2.2.xlsm]ZAR_DATA!R19C41</stp>
        <tr r="AO19" s="8"/>
      </tp>
      <tp>
        <v>-50.5</v>
        <stp/>
        <stp>##V3_BDPV12</stp>
        <stp>SABS15 ICPL Curncy</stp>
        <stp>ASK</stp>
        <stp>[DataSheet2.2.xlsm]ZAR_DATA!R18C42</stp>
        <tr r="AP18" s="8"/>
      </tp>
      <tp>
        <v>-39.5</v>
        <stp/>
        <stp>##V3_BDPV12</stp>
        <stp>SABS10 ICPL Curncy</stp>
        <stp>ASK</stp>
        <stp>[DataSheet2.2.xlsm]ZAR_DATA!R16C42</stp>
        <tr r="AP16" s="8"/>
      </tp>
      <tp>
        <v>-45</v>
        <stp/>
        <stp>##V3_BDPV12</stp>
        <stp>SABS12 ICPL Curncy</stp>
        <stp>ASK</stp>
        <stp>[DataSheet2.2.xlsm]ZAR_DATA!R17C42</stp>
        <tr r="AP17" s="8"/>
      </tp>
      <tp>
        <v>-61.5</v>
        <stp/>
        <stp>##V3_BDPV12</stp>
        <stp>SABS20 ICPL Curncy</stp>
        <stp>ASK</stp>
        <stp>[DataSheet2.2.xlsm]ZAR_DATA!R19C42</stp>
        <tr r="AP19" s="8"/>
      </tp>
      <tp>
        <v>0.30099999999999999</v>
        <stp/>
        <stp>##V3_BDPV12</stp>
        <stp>US0006M Index</stp>
        <stp>PX_LAST</stp>
        <stp>[DataSheet2.3.xlsm]USD_DATA!R9C17</stp>
        <tr r="Q9" s="6"/>
      </tp>
      <tp>
        <v>-94</v>
        <stp/>
        <stp>##V3_BDPV12</stp>
        <stp>SRUSSW7 GMGM Curncy</stp>
        <stp>ASK</stp>
        <stp>[DataSheet2.2.xlsm]INR_DATA!R12C42</stp>
        <tr r="AP12" s="54"/>
      </tp>
      <tp>
        <v>-68</v>
        <stp/>
        <stp>##V3_BDPV12</stp>
        <stp>SRUSSW4 GMGM Curncy</stp>
        <stp>ASK</stp>
        <stp>[DataSheet2.2.xlsm]INR_DATA!R10C42</stp>
        <tr r="AP10" s="54"/>
      </tp>
      <tp>
        <v>-78</v>
        <stp/>
        <stp>##V3_BDPV12</stp>
        <stp>SRUSSW5 GMGM Curncy</stp>
        <stp>ASK</stp>
        <stp>[DataSheet2.2.xlsm]INR_DATA!R11C42</stp>
        <tr r="AP11" s="54"/>
      </tp>
      <tp>
        <v>-83</v>
        <stp/>
        <stp>##V3_BDPV12</stp>
        <stp>SRUSSW4 GMGM Curncy</stp>
        <stp>BID</stp>
        <stp>[DataSheet2.2.xlsm]INR_DATA!R10C41</stp>
        <tr r="AO10" s="54"/>
      </tp>
      <tp>
        <v>-93</v>
        <stp/>
        <stp>##V3_BDPV12</stp>
        <stp>SRUSSW5 GMGM Curncy</stp>
        <stp>BID</stp>
        <stp>[DataSheet2.2.xlsm]INR_DATA!R11C41</stp>
        <tr r="AO11" s="54"/>
      </tp>
      <tp>
        <v>-114</v>
        <stp/>
        <stp>##V3_BDPV12</stp>
        <stp>SRUSSW7 GMGM Curncy</stp>
        <stp>BID</stp>
        <stp>[DataSheet2.2.xlsm]INR_DATA!R12C41</stp>
        <tr r="AO12" s="54"/>
      </tp>
      <tp>
        <v>12</v>
        <stp/>
        <stp>##V3_BDPV12</stp>
        <stp>SRBSV10 GMGM Curncy</stp>
        <stp>MID</stp>
        <stp>[DataSheet2.2.xlsm]INR_DATA!R16C30</stp>
        <tr r="AD16" s="54"/>
      </tp>
      <tp>
        <v>0.88</v>
        <stp/>
        <stp>##V3_BDPV12</stp>
        <stp>SRFR0FI GMGM Curncy</stp>
        <stp>BID</stp>
        <stp>[DataSheet2.2.xlsm]INR_DATA!R15C18</stp>
        <tr r="R15" s="54"/>
      </tp>
      <tp>
        <v>0.87</v>
        <stp/>
        <stp>##V3_BDPV12</stp>
        <stp>SRFR0AD GMGM Curncy</stp>
        <stp>BID</stp>
        <stp>[DataSheet2.2.xlsm]INR_DATA!R12C18</stp>
        <tr r="R12" s="54"/>
      </tp>
      <tp>
        <v>0.94</v>
        <stp/>
        <stp>##V3_BDPV12</stp>
        <stp>SRFR0CF GMGM Curncy</stp>
        <stp>BID</stp>
        <stp>[DataSheet2.2.xlsm]INR_DATA!R14C18</stp>
        <tr r="R14" s="54"/>
      </tp>
      <tp>
        <v>0.89</v>
        <stp/>
        <stp>##V3_BDPV12</stp>
        <stp>SRFR0BE GMGM Curncy</stp>
        <stp>BID</stp>
        <stp>[DataSheet2.2.xlsm]INR_DATA!R13C18</stp>
        <tr r="R13" s="54"/>
      </tp>
      <tp>
        <v>0.87</v>
        <stp/>
        <stp>##V3_BDPV12</stp>
        <stp>SRFR0I1 GMGM Curncy</stp>
        <stp>BID</stp>
        <stp>[DataSheet2.2.xlsm]INR_DATA!R16C18</stp>
        <tr r="R16" s="54"/>
      </tp>
      <tp>
        <v>0.95</v>
        <stp/>
        <stp>##V3_BDPV12</stp>
        <stp>SRFR0I1 GMGM Curncy</stp>
        <stp>ASK</stp>
        <stp>[DataSheet2.2.xlsm]INR_DATA!R16C19</stp>
        <tr r="S16" s="54"/>
      </tp>
      <tp>
        <v>0.96</v>
        <stp/>
        <stp>##V3_BDPV12</stp>
        <stp>SRFR0FI GMGM Curncy</stp>
        <stp>ASK</stp>
        <stp>[DataSheet2.2.xlsm]INR_DATA!R15C19</stp>
        <tr r="S15" s="54"/>
      </tp>
      <tp>
        <v>0.97</v>
        <stp/>
        <stp>##V3_BDPV12</stp>
        <stp>SRFR0BE GMGM Curncy</stp>
        <stp>ASK</stp>
        <stp>[DataSheet2.2.xlsm]INR_DATA!R13C19</stp>
        <tr r="S13" s="54"/>
      </tp>
      <tp>
        <v>1.02</v>
        <stp/>
        <stp>##V3_BDPV12</stp>
        <stp>SRFR0CF GMGM Curncy</stp>
        <stp>ASK</stp>
        <stp>[DataSheet2.2.xlsm]INR_DATA!R14C19</stp>
        <tr r="S14" s="54"/>
      </tp>
      <tp>
        <v>0.95</v>
        <stp/>
        <stp>##V3_BDPV12</stp>
        <stp>SRFR0AD GMGM Curncy</stp>
        <stp>ASK</stp>
        <stp>[DataSheet2.2.xlsm]INR_DATA!R12C19</stp>
        <tr r="S12" s="54"/>
      </tp>
      <tp>
        <v>0.755</v>
        <stp/>
        <stp>##V3_BDPV12</stp>
        <stp>HFFR0AG ICPL Curncy</stp>
        <stp>ASK</stp>
        <stp>[DataSheet2.2.xlsm]HUF_DATA!R11C19</stp>
        <tr r="S11" s="15"/>
      </tp>
      <tp>
        <v>0.83</v>
        <stp/>
        <stp>##V3_BDPV12</stp>
        <stp>HFFR0BH ICPL Curncy</stp>
        <stp>ASK</stp>
        <stp>[DataSheet2.2.xlsm]HUF_DATA!R12C19</stp>
        <tr r="S12" s="15"/>
      </tp>
      <tp>
        <v>0.89</v>
        <stp/>
        <stp>##V3_BDPV12</stp>
        <stp>HFFR0CI ICPL Curncy</stp>
        <stp>ASK</stp>
        <stp>[DataSheet2.2.xlsm]HUF_DATA!R13C19</stp>
        <tr r="S13" s="15"/>
      </tp>
      <tp>
        <v>0.93</v>
        <stp/>
        <stp>##V3_BDPV12</stp>
        <stp>HFFR0DJ ICPL Curncy</stp>
        <stp>ASK</stp>
        <stp>[DataSheet2.2.xlsm]HUF_DATA!R14C19</stp>
        <tr r="S14" s="15"/>
      </tp>
      <tp>
        <v>0.96499999999999997</v>
        <stp/>
        <stp>##V3_BDPV12</stp>
        <stp>HFFR0EK ICPL Curncy</stp>
        <stp>ASK</stp>
        <stp>[DataSheet2.2.xlsm]HUF_DATA!R15C19</stp>
        <tr r="S15" s="15"/>
      </tp>
      <tp>
        <v>0.995</v>
        <stp/>
        <stp>##V3_BDPV12</stp>
        <stp>HFFR0F1 ICPL Curncy</stp>
        <stp>ASK</stp>
        <stp>[DataSheet2.2.xlsm]HUF_DATA!R16C19</stp>
        <tr r="S16" s="15"/>
      </tp>
      <tp>
        <v>0.79</v>
        <stp/>
        <stp>##V3_BDPV12</stp>
        <stp>HFFR0CI ICPL Curncy</stp>
        <stp>BID</stp>
        <stp>[DataSheet2.2.xlsm]HUF_DATA!R13C18</stp>
        <tr r="R13" s="15"/>
      </tp>
      <tp>
        <v>0.73</v>
        <stp/>
        <stp>##V3_BDPV12</stp>
        <stp>HFFR0BH ICPL Curncy</stp>
        <stp>BID</stp>
        <stp>[DataSheet2.2.xlsm]HUF_DATA!R12C18</stp>
        <tr r="R12" s="15"/>
      </tp>
      <tp>
        <v>0.65500000000000003</v>
        <stp/>
        <stp>##V3_BDPV12</stp>
        <stp>HFFR0AG ICPL Curncy</stp>
        <stp>BID</stp>
        <stp>[DataSheet2.2.xlsm]HUF_DATA!R11C18</stp>
        <tr r="R11" s="15"/>
      </tp>
      <tp>
        <v>0.89500000000000002</v>
        <stp/>
        <stp>##V3_BDPV12</stp>
        <stp>HFFR0F1 ICPL Curncy</stp>
        <stp>BID</stp>
        <stp>[DataSheet2.2.xlsm]HUF_DATA!R16C18</stp>
        <tr r="R16" s="15"/>
      </tp>
      <tp>
        <v>0.86499999999999999</v>
        <stp/>
        <stp>##V3_BDPV12</stp>
        <stp>HFFR0EK ICPL Curncy</stp>
        <stp>BID</stp>
        <stp>[DataSheet2.2.xlsm]HUF_DATA!R15C18</stp>
        <tr r="R15" s="15"/>
      </tp>
      <tp>
        <v>0.83</v>
        <stp/>
        <stp>##V3_BDPV12</stp>
        <stp>HFFR0DJ ICPL Curncy</stp>
        <stp>BID</stp>
        <stp>[DataSheet2.2.xlsm]HUF_DATA!R14C18</stp>
        <tr r="R14" s="15"/>
      </tp>
      <tp>
        <v>0.62</v>
        <stp/>
        <stp>##V3_BDPV12</stp>
        <stp>UDFR0FI GMGM Curncy</stp>
        <stp>LAST_PRICE</stp>
        <stp>[DataSheet2.2.xlsm]AED_DATA!R15C20</stp>
        <tr r="T15" s="18"/>
      </tp>
      <tp>
        <v>3.3149999999999999</v>
        <stp/>
        <stp>##V3_BDPV12</stp>
        <stp>SAFR0BE ICPL Curncy</stp>
        <stp>LAST_PRICE</stp>
        <stp>[DataSheet2.2.xlsm]ZAR_DATA!R12C20</stp>
        <tr r="T12" s="8"/>
      </tp>
      <tp>
        <v>0</v>
        <stp/>
        <stp>##V3_BDPV12</stp>
        <stp>JYJSLC1F MTRT Curncy</stp>
        <stp>LAST_PRICE</stp>
        <stp>[DataSheet2.3.xlsm]JPY_DATA!R15C22</stp>
        <tr r="V15" s="46"/>
      </tp>
      <tp>
        <v>171</v>
        <stp/>
        <stp>##V3_BDPV12</stp>
        <stp>TYBS4 ICPL Curncy</stp>
        <stp>PX_LAST</stp>
        <stp>[DataSheet2.2.xlsm]TRY_DATA!R10C43</stp>
        <tr r="AQ10" s="10"/>
      </tp>
      <tp>
        <v>3.7871999999999999</v>
        <stp/>
        <stp>##V3_BDPV12</stp>
        <stp>USDPLN Curncy</stp>
        <stp>ASK</stp>
        <stp>[DataSheet2.2.xlsm]PLN_DATA!R7C50</stp>
        <tr r="AX7" s="12"/>
      </tp>
      <tp>
        <v>0.2</v>
        <stp/>
        <stp>##V3_BDPV12</stp>
        <stp>USDHUFTN BGN Curncy</stp>
        <stp>ASK</stp>
        <stp>[DataSheet2.2.xlsm]HUF_DATA!R9C50</stp>
        <tr r="AX9" s="15"/>
      </tp>
      <tp>
        <v>2.11</v>
        <stp/>
        <stp>##V3_BDPV12</stp>
        <stp>BUBR12M Index</stp>
        <stp>ASK</stp>
        <stp>[DataSheet2.2.xlsm]RON_DATA!R11C19</stp>
        <tr r="S11" s="16"/>
      </tp>
      <tp>
        <v>1.76</v>
        <stp/>
        <stp>##V3_BDPV12</stp>
        <stp>BUBR12M Index</stp>
        <stp>BID</stp>
        <stp>[DataSheet2.2.xlsm]RON_DATA!R11C18</stp>
        <tr r="R11" s="16"/>
      </tp>
      <tp>
        <v>1.04</v>
        <stp/>
        <stp>##V3_BDPV12</stp>
        <stp>HDSW15 CMPN Curncy</stp>
        <stp>BID</stp>
        <stp>[DataSheet2.2.xlsm]HKD_DATA!R25C18</stp>
        <tr r="R25" s="52"/>
      </tp>
      <tp>
        <v>1.04</v>
        <stp/>
        <stp>##V3_BDPV12</stp>
        <stp>HDSW15 CMPN Curncy</stp>
        <stp>BID</stp>
        <stp>[DataSheet2.2.xlsm]HKD_DATA!R27C18</stp>
        <tr r="R27" s="52"/>
      </tp>
      <tp>
        <v>0.86</v>
        <stp/>
        <stp>##V3_BDPV12</stp>
        <stp>HDSW10 CMPN Curncy</stp>
        <stp>BID</stp>
        <stp>[DataSheet2.2.xlsm]HKD_DATA!R23C18</stp>
        <tr r="R23" s="52"/>
      </tp>
      <tp>
        <v>0.94499999999999995</v>
        <stp/>
        <stp>##V3_BDPV12</stp>
        <stp>HDSW12 CMPN Curncy</stp>
        <stp>BID</stp>
        <stp>[DataSheet2.2.xlsm]HKD_DATA!R24C18</stp>
        <tr r="R24" s="52"/>
      </tp>
      <tp>
        <v>1.04</v>
        <stp/>
        <stp>##V3_BDPV12</stp>
        <stp>HDSW15 CMPN Curncy</stp>
        <stp>BID</stp>
        <stp>[DataSheet2.2.xlsm]HKD_DATA!R28C18</stp>
        <tr r="R28" s="52"/>
      </tp>
      <tp>
        <v>1.0649999999999999</v>
        <stp/>
        <stp>##V3_BDPV12</stp>
        <stp>HDSW20 CMPN Curncy</stp>
        <stp>BID</stp>
        <stp>[DataSheet2.2.xlsm]HKD_DATA!R26C18</stp>
        <tr r="R26" s="52"/>
      </tp>
      <tp>
        <v>0.51</v>
        <stp/>
        <stp>##V3_BDPV12</stp>
        <stp>HDSW1F CMPN Curncy</stp>
        <stp>BID</stp>
        <stp>[DataSheet2.2.xlsm]HKD_DATA!R17C18</stp>
        <tr r="R17" s="52"/>
      </tp>
      <tp>
        <v>1.2649999999999999</v>
        <stp/>
        <stp>##V3_BDPV12</stp>
        <stp>HDSW20 CMPN Curncy</stp>
        <stp>ASK</stp>
        <stp>[DataSheet2.2.xlsm]HKD_DATA!R26C19</stp>
        <tr r="S26" s="52"/>
      </tp>
      <tp>
        <v>0.61</v>
        <stp/>
        <stp>##V3_BDPV12</stp>
        <stp>HDSW1F CMPN Curncy</stp>
        <stp>ASK</stp>
        <stp>[DataSheet2.2.xlsm]HKD_DATA!R17C19</stp>
        <tr r="S17" s="52"/>
      </tp>
      <tp>
        <v>1.1399999999999999</v>
        <stp/>
        <stp>##V3_BDPV12</stp>
        <stp>HDSW15 CMPN Curncy</stp>
        <stp>ASK</stp>
        <stp>[DataSheet2.2.xlsm]HKD_DATA!R28C19</stp>
        <tr r="S28" s="52"/>
      </tp>
      <tp>
        <v>1.0449999999999999</v>
        <stp/>
        <stp>##V3_BDPV12</stp>
        <stp>HDSW12 CMPN Curncy</stp>
        <stp>ASK</stp>
        <stp>[DataSheet2.2.xlsm]HKD_DATA!R24C19</stp>
        <tr r="S24" s="52"/>
      </tp>
      <tp>
        <v>0.96</v>
        <stp/>
        <stp>##V3_BDPV12</stp>
        <stp>HDSW10 CMPN Curncy</stp>
        <stp>ASK</stp>
        <stp>[DataSheet2.2.xlsm]HKD_DATA!R23C19</stp>
        <tr r="S23" s="52"/>
      </tp>
      <tp>
        <v>1.1399999999999999</v>
        <stp/>
        <stp>##V3_BDPV12</stp>
        <stp>HDSW15 CMPN Curncy</stp>
        <stp>ASK</stp>
        <stp>[DataSheet2.2.xlsm]HKD_DATA!R27C19</stp>
        <tr r="S27" s="52"/>
      </tp>
      <tp>
        <v>1.1399999999999999</v>
        <stp/>
        <stp>##V3_BDPV12</stp>
        <stp>HDSW15 CMPN Curncy</stp>
        <stp>ASK</stp>
        <stp>[DataSheet2.2.xlsm]HKD_DATA!R25C19</stp>
        <tr r="S25" s="52"/>
      </tp>
      <tp>
        <v>-56.994</v>
        <stp/>
        <stp>##V3_BDPV12</stp>
        <stp>UDUSSW7 GFID Curncy</stp>
        <stp>ASK</stp>
        <stp>[DataSheet2.2.xlsm]AED_DATA!R12C42</stp>
        <tr r="AP12" s="18"/>
      </tp>
      <tp>
        <v>-41.631</v>
        <stp/>
        <stp>##V3_BDPV12</stp>
        <stp>UDUSSW4 GFID Curncy</stp>
        <stp>ASK</stp>
        <stp>[DataSheet2.2.xlsm]AED_DATA!R10C42</stp>
        <tr r="AP10" s="18"/>
      </tp>
      <tp>
        <v>-48.722000000000001</v>
        <stp/>
        <stp>##V3_BDPV12</stp>
        <stp>UDUSSW5 GFID Curncy</stp>
        <stp>ASK</stp>
        <stp>[DataSheet2.2.xlsm]AED_DATA!R11C42</stp>
        <tr r="AP11" s="18"/>
      </tp>
      <tp>
        <v>-51.631</v>
        <stp/>
        <stp>##V3_BDPV12</stp>
        <stp>UDUSSW4 GFID Curncy</stp>
        <stp>BID</stp>
        <stp>[DataSheet2.2.xlsm]AED_DATA!R10C41</stp>
        <tr r="AO10" s="18"/>
      </tp>
      <tp>
        <v>-57.722000000000001</v>
        <stp/>
        <stp>##V3_BDPV12</stp>
        <stp>UDUSSW5 GFID Curncy</stp>
        <stp>BID</stp>
        <stp>[DataSheet2.2.xlsm]AED_DATA!R11C41</stp>
        <tr r="AO11" s="18"/>
      </tp>
      <tp>
        <v>-67.494</v>
        <stp/>
        <stp>##V3_BDPV12</stp>
        <stp>UDUSSW7 GFID Curncy</stp>
        <stp>BID</stp>
        <stp>[DataSheet2.2.xlsm]AED_DATA!R12C41</stp>
        <tr r="AO12" s="18"/>
      </tp>
      <tp>
        <v>-20</v>
        <stp/>
        <stp>##V3_BDPV12</stp>
        <stp>PLN12M ICPL Curncy</stp>
        <stp>ASK</stp>
        <stp>[DataSheet2.2.xlsm]PLN_DATA!R24C50</stp>
        <tr r="AX24" s="12"/>
      </tp>
      <tp>
        <v>-23.35</v>
        <stp/>
        <stp>##V3_BDPV12</stp>
        <stp>PLN10M ICPL Curncy</stp>
        <stp>ASK</stp>
        <stp>[DataSheet2.2.xlsm]PLN_DATA!R22C50</stp>
        <tr r="AX22" s="12"/>
      </tp>
      <tp>
        <v>-21.75</v>
        <stp/>
        <stp>##V3_BDPV12</stp>
        <stp>PLN11M ICPL Curncy</stp>
        <stp>ASK</stp>
        <stp>[DataSheet2.2.xlsm]PLN_DATA!R23C50</stp>
        <tr r="AX23" s="12"/>
      </tp>
      <tp>
        <v>-15</v>
        <stp/>
        <stp>##V3_BDPV12</stp>
        <stp>PLN18M ICPL Curncy</stp>
        <stp>ASK</stp>
        <stp>[DataSheet2.2.xlsm]PLN_DATA!R25C50</stp>
        <tr r="AX25" s="12"/>
      </tp>
      <tp>
        <v>-37.54</v>
        <stp/>
        <stp>##V3_BDPV12</stp>
        <stp>PLN11M ICPL Curncy</stp>
        <stp>BID</stp>
        <stp>[DataSheet2.2.xlsm]PLN_DATA!R23C49</stp>
        <tr r="AW23" s="12"/>
      </tp>
      <tp>
        <v>-35.31</v>
        <stp/>
        <stp>##V3_BDPV12</stp>
        <stp>PLN10M ICPL Curncy</stp>
        <stp>BID</stp>
        <stp>[DataSheet2.2.xlsm]PLN_DATA!R22C49</stp>
        <tr r="AW22" s="12"/>
      </tp>
      <tp>
        <v>-40</v>
        <stp/>
        <stp>##V3_BDPV12</stp>
        <stp>PLN12M ICPL Curncy</stp>
        <stp>BID</stp>
        <stp>[DataSheet2.2.xlsm]PLN_DATA!R24C49</stp>
        <tr r="AW24" s="12"/>
      </tp>
      <tp>
        <v>-55</v>
        <stp/>
        <stp>##V3_BDPV12</stp>
        <stp>PLN18M ICPL Curncy</stp>
        <stp>BID</stp>
        <stp>[DataSheet2.2.xlsm]PLN_DATA!R25C49</stp>
        <tr r="AW25" s="12"/>
      </tp>
      <tp>
        <v>0.214</v>
        <stp/>
        <stp>##V3_BDPV12</stp>
        <stp>PZFR0DJ TPRA Curncy</stp>
        <stp>LAST_PRICE</stp>
        <stp>[DataSheet2.2.xlsm]PLN_DATA!R14C20</stp>
        <tr r="T14" s="12"/>
      </tp>
      <tp>
        <v>0.98</v>
        <stp/>
        <stp>##V3_BDPV12</stp>
        <stp>SRFR0CF GMGM Curncy</stp>
        <stp>LAST_PRICE</stp>
        <stp>[DataSheet2.2.xlsm]INR_DATA!R14C20</stp>
        <tr r="T14" s="54"/>
      </tp>
      <tp>
        <v>4.82</v>
        <stp/>
        <stp>##V3_BDPV12</stp>
        <stp>RRFR0FI TRSU Curncy</stp>
        <stp>LAST_PRICE</stp>
        <stp>[DataSheet2.2.xlsm]RUB_DATA!R15C20</stp>
        <tr r="T15" s="4"/>
      </tp>
      <tp>
        <v>0.27360000000000001</v>
        <stp/>
        <stp>##V3_BDPV12</stp>
        <stp>USSWAP4 CMPN Curncy</stp>
        <stp>LAST_PRICE</stp>
        <stp>[DataSheet2.3.xlsm]USD_DATA!R42C9</stp>
        <tr r="I42" s="6"/>
      </tp>
      <tp>
        <v>7.7504999999999997</v>
        <stp/>
        <stp>##V3_BDPV12</stp>
        <stp>USDHKD Curncy</stp>
        <stp>ASK</stp>
        <stp>[DataSheet2.2.xlsm]HKD_DATA!R7C50</stp>
        <tr r="AX7" s="52"/>
      </tp>
      <tp>
        <v>4.76</v>
        <stp/>
        <stp>##V3_BDPV12</stp>
        <stp>IRSWN3 BGN Curncy</stp>
        <stp>PX_LAST</stp>
        <stp>[DataSheet2.2.xlsm]INR_DATA!R22C51</stp>
        <tr r="AY22" s="54"/>
      </tp>
      <tp>
        <v>0.221</v>
        <stp/>
        <stp>##V3_BDPV12</stp>
        <stp>PZFR0EK TPRA Curncy</stp>
        <stp>LAST_PRICE</stp>
        <stp>[DataSheet2.2.xlsm]PLN_DATA!R15C20</stp>
        <tr r="T15" s="12"/>
      </tp>
      <tp>
        <v>0.52</v>
        <stp/>
        <stp>##V3_BDPV12</stp>
        <stp>HUFO06MO BLC3 Curncy</stp>
        <stp>LAST_PRICE</stp>
        <stp>[DataSheet2.2.xlsm]HUF_DATA!R13C12</stp>
        <tr r="L13" s="15"/>
      </tp>
      <tp>
        <v>0.46</v>
        <stp/>
        <stp>##V3_BDPV12</stp>
        <stp>HUFO01MO BLC3 Curncy</stp>
        <stp>LAST_PRICE</stp>
        <stp>[DataSheet2.2.xlsm]HUF_DATA!R10C12</stp>
        <tr r="L10" s="15"/>
      </tp>
      <tp>
        <v>0.47</v>
        <stp/>
        <stp>##V3_BDPV12</stp>
        <stp>HUFO02MO BLC3 Curncy</stp>
        <stp>LAST_PRICE</stp>
        <stp>[DataSheet2.2.xlsm]HUF_DATA!R11C12</stp>
        <tr r="L11" s="15"/>
      </tp>
      <tp>
        <v>0.48</v>
        <stp/>
        <stp>##V3_BDPV12</stp>
        <stp>HUFO03MO BLC3 Curncy</stp>
        <stp>LAST_PRICE</stp>
        <stp>[DataSheet2.2.xlsm]HUF_DATA!R12C12</stp>
        <tr r="L12" s="15"/>
      </tp>
      <tp>
        <v>0.56999999999999995</v>
        <stp/>
        <stp>##V3_BDPV12</stp>
        <stp>HUFO09MO BLC3 Curncy</stp>
        <stp>LAST_PRICE</stp>
        <stp>[DataSheet2.2.xlsm]HUF_DATA!R14C12</stp>
        <tr r="L14" s="15"/>
      </tp>
      <tp>
        <v>2.605</v>
        <stp/>
        <stp>##V3_BDPV12</stp>
        <stp>CGUSSWI CMPN Curncy</stp>
        <stp>LAST_PRICE</stp>
        <stp>[DataSheet2.3.xlsm]CNH_DATA!R27C51</stp>
        <tr r="AY27" s="50"/>
      </tp>
      <tp>
        <v>0.33</v>
        <stp/>
        <stp>##V3_BDPV12</stp>
        <stp>USSWAP5 CMPN Curncy</stp>
        <stp>LAST_PRICE</stp>
        <stp>[DataSheet2.3.xlsm]USD_DATA!R43C9</stp>
        <tr r="I43" s="6"/>
      </tp>
      <tp>
        <v>3.25</v>
        <stp/>
        <stp>##V3_BDPV12</stp>
        <stp>JYBC1 MTRT Curncy</stp>
        <stp>PX_LAST</stp>
        <stp>[DataSheet2.3.xlsm]JPY_DATA!R12C17</stp>
        <tr r="Q12" s="46"/>
      </tp>
      <tp>
        <v>-0.46800000000000003</v>
        <stp/>
        <stp>##V3_BDPV12</stp>
        <stp>EONIA ICPL Index</stp>
        <stp>LAST_PRICE</stp>
        <stp>[DataSheet2.3.xlsm]EUR_DATA!R7C12</stp>
        <tr r="L7" s="31"/>
      </tp>
      <tp>
        <v>4.55</v>
        <stp/>
        <stp>##V3_BDPV12</stp>
        <stp>IRSWN2 BGN Curncy</stp>
        <stp>PX_LAST</stp>
        <stp>[DataSheet2.2.xlsm]INR_DATA!R21C51</stp>
        <tr r="AY21" s="54"/>
      </tp>
      <tp>
        <v>6.29</v>
        <stp/>
        <stp>##V3_BDPV12</stp>
        <stp>RRSWM12 TRPU Curncy</stp>
        <stp>BID</stp>
        <stp>[DataSheet2.2.xlsm]RUB_DATA!R28C18</stp>
        <tr r="R28" s="4"/>
      </tp>
      <tp>
        <v>6.44</v>
        <stp/>
        <stp>##V3_BDPV12</stp>
        <stp>RRSWM15 TRPU Curncy</stp>
        <stp>BID</stp>
        <stp>[DataSheet2.2.xlsm]RUB_DATA!R29C18</stp>
        <tr r="R29" s="4"/>
      </tp>
      <tp>
        <v>6.24</v>
        <stp/>
        <stp>##V3_BDPV12</stp>
        <stp>RRSWM10 TRPU Curncy</stp>
        <stp>BID</stp>
        <stp>[DataSheet2.2.xlsm]RUB_DATA!R27C18</stp>
        <tr r="R27" s="4"/>
      </tp>
      <tp>
        <v>6.29</v>
        <stp/>
        <stp>##V3_BDPV12</stp>
        <stp>RRSWM20 TRPU Curncy</stp>
        <stp>BID</stp>
        <stp>[DataSheet2.2.xlsm]RUB_DATA!R30C18</stp>
        <tr r="R30" s="4"/>
      </tp>
      <tp>
        <v>6.49</v>
        <stp/>
        <stp>##V3_BDPV12</stp>
        <stp>RRSWM20 TRPU Curncy</stp>
        <stp>ASK</stp>
        <stp>[DataSheet2.2.xlsm]RUB_DATA!R30C19</stp>
        <tr r="S30" s="4"/>
      </tp>
      <tp>
        <v>6.34</v>
        <stp/>
        <stp>##V3_BDPV12</stp>
        <stp>RRSWM10 TRPU Curncy</stp>
        <stp>ASK</stp>
        <stp>[DataSheet2.2.xlsm]RUB_DATA!R27C19</stp>
        <tr r="S27" s="4"/>
      </tp>
      <tp>
        <v>6.64</v>
        <stp/>
        <stp>##V3_BDPV12</stp>
        <stp>RRSWM15 TRPU Curncy</stp>
        <stp>ASK</stp>
        <stp>[DataSheet2.2.xlsm]RUB_DATA!R29C19</stp>
        <tr r="S29" s="4"/>
      </tp>
      <tp>
        <v>6.49</v>
        <stp/>
        <stp>##V3_BDPV12</stp>
        <stp>RRSWM12 TRPU Curncy</stp>
        <stp>ASK</stp>
        <stp>[DataSheet2.2.xlsm]RUB_DATA!R28C19</stp>
        <tr r="S28" s="4"/>
      </tp>
      <tp>
        <v>73.55</v>
        <stp/>
        <stp>##V3_BDPV12</stp>
        <stp>INR Curncy</stp>
        <stp>PX_LAST</stp>
        <stp>[DataSheet2.2.xlsm]INR_DATA!R7C51</stp>
        <tr r="AY7" s="54"/>
      </tp>
      <tp>
        <v>-30</v>
        <stp/>
        <stp>##V3_BDPV12</stp>
        <stp>CDBS1 Curncy</stp>
        <stp>LAST_PRICE</stp>
        <stp>[DataSheet2.3.xlsm]CAD_DATA!R10C43</stp>
        <tr r="AQ10" s="48"/>
      </tp>
      <tp>
        <v>-21.5</v>
        <stp/>
        <stp>##V3_BDPV12</stp>
        <stp>CDBS3 Curncy</stp>
        <stp>LAST_PRICE</stp>
        <stp>[DataSheet2.3.xlsm]CAD_DATA!R12C43</stp>
        <tr r="AQ12" s="48"/>
      </tp>
      <tp>
        <v>-25.5</v>
        <stp/>
        <stp>##V3_BDPV12</stp>
        <stp>CDBS2 Curncy</stp>
        <stp>LAST_PRICE</stp>
        <stp>[DataSheet2.3.xlsm]CAD_DATA!R11C43</stp>
        <tr r="AQ11" s="48"/>
      </tp>
      <tp>
        <v>-16.75</v>
        <stp/>
        <stp>##V3_BDPV12</stp>
        <stp>CDBS5 Curncy</stp>
        <stp>LAST_PRICE</stp>
        <stp>[DataSheet2.3.xlsm]CAD_DATA!R14C43</stp>
        <tr r="AQ14" s="48"/>
      </tp>
      <tp>
        <v>-19</v>
        <stp/>
        <stp>##V3_BDPV12</stp>
        <stp>CDBS4 Curncy</stp>
        <stp>LAST_PRICE</stp>
        <stp>[DataSheet2.3.xlsm]CAD_DATA!R13C43</stp>
        <tr r="AQ13" s="48"/>
      </tp>
      <tp>
        <v>-14</v>
        <stp/>
        <stp>##V3_BDPV12</stp>
        <stp>CDBS7 Curncy</stp>
        <stp>LAST_PRICE</stp>
        <stp>[DataSheet2.3.xlsm]CAD_DATA!R15C43</stp>
        <tr r="AQ15" s="48"/>
      </tp>
      <tp>
        <v>0.221</v>
        <stp/>
        <stp>##V3_BDPV12</stp>
        <stp>PZFR0BH TPRA Curncy</stp>
        <stp>LAST_PRICE</stp>
        <stp>[DataSheet2.2.xlsm]PLN_DATA!R12C20</stp>
        <tr r="T12" s="12"/>
      </tp>
      <tp>
        <v>0.91</v>
        <stp/>
        <stp>##V3_BDPV12</stp>
        <stp>SRFR0AD GMGM Curncy</stp>
        <stp>LAST_PRICE</stp>
        <stp>[DataSheet2.2.xlsm]INR_DATA!R12C20</stp>
        <tr r="T12" s="54"/>
      </tp>
      <tp>
        <v>0.2286</v>
        <stp/>
        <stp>##V3_BDPV12</stp>
        <stp>USSWAP2 CMPN Curncy</stp>
        <stp>LAST_PRICE</stp>
        <stp>[DataSheet2.3.xlsm]USD_DATA!R40C9</stp>
        <tr r="I40" s="6"/>
      </tp>
      <tp>
        <v>4.43</v>
        <stp/>
        <stp>##V3_BDPV12</stp>
        <stp>IRSWN1 BGN Curncy</stp>
        <stp>PX_LAST</stp>
        <stp>[DataSheet2.2.xlsm]INR_DATA!R20C51</stp>
        <tr r="AY20" s="54"/>
      </tp>
      <tp>
        <v>3.9</v>
        <stp/>
        <stp>##V3_BDPV12</stp>
        <stp>CGSWH5 TPRA Curncy</stp>
        <stp>ASK</stp>
        <stp>[DataSheet2.3.xlsm]BRL_DATA!R18C19</stp>
        <tr r="S18" s="59"/>
      </tp>
      <tp>
        <v>3.6</v>
        <stp/>
        <stp>##V3_BDPV12</stp>
        <stp>CGSWH2 TPRA Curncy</stp>
        <stp>ASK</stp>
        <stp>[DataSheet2.3.xlsm]BRL_DATA!R15C19</stp>
        <tr r="S15" s="59"/>
      </tp>
      <tp>
        <v>3.45</v>
        <stp/>
        <stp>##V3_BDPV12</stp>
        <stp>CGSWH1 TPRA Curncy</stp>
        <stp>ASK</stp>
        <stp>[DataSheet2.3.xlsm]BRL_DATA!R14C19</stp>
        <tr r="S14" s="59"/>
      </tp>
      <tp>
        <v>3.9</v>
        <stp/>
        <stp>##V3_BDPV12</stp>
        <stp>CGSWH3 TPRA Curncy</stp>
        <stp>ASK</stp>
        <stp>[DataSheet2.3.xlsm]BRL_DATA!R16C19</stp>
        <tr r="S16" s="59"/>
      </tp>
      <tp>
        <v>3.9</v>
        <stp/>
        <stp>##V3_BDPV12</stp>
        <stp>CGSWH4 TPRA Curncy</stp>
        <stp>ASK</stp>
        <stp>[DataSheet2.3.xlsm]BRL_DATA!R17C19</stp>
        <tr r="S17" s="59"/>
      </tp>
      <tp>
        <v>3.3</v>
        <stp/>
        <stp>##V3_BDPV12</stp>
        <stp>CGSWH4 TPRA Curncy</stp>
        <stp>BID</stp>
        <stp>[DataSheet2.3.xlsm]BRL_DATA!R17C18</stp>
        <tr r="R17" s="59"/>
      </tp>
      <tp>
        <v>2.95</v>
        <stp/>
        <stp>##V3_BDPV12</stp>
        <stp>CGSWH1 TPRA Curncy</stp>
        <stp>BID</stp>
        <stp>[DataSheet2.3.xlsm]BRL_DATA!R14C18</stp>
        <tr r="R14" s="59"/>
      </tp>
      <tp>
        <v>3.3</v>
        <stp/>
        <stp>##V3_BDPV12</stp>
        <stp>CGSWH3 TPRA Curncy</stp>
        <stp>BID</stp>
        <stp>[DataSheet2.3.xlsm]BRL_DATA!R16C18</stp>
        <tr r="R16" s="59"/>
      </tp>
      <tp>
        <v>3</v>
        <stp/>
        <stp>##V3_BDPV12</stp>
        <stp>CGSWH2 TPRA Curncy</stp>
        <stp>BID</stp>
        <stp>[DataSheet2.3.xlsm]BRL_DATA!R15C18</stp>
        <tr r="R15" s="59"/>
      </tp>
      <tp>
        <v>3.3</v>
        <stp/>
        <stp>##V3_BDPV12</stp>
        <stp>CGSWH5 TPRA Curncy</stp>
        <stp>BID</stp>
        <stp>[DataSheet2.3.xlsm]BRL_DATA!R18C18</stp>
        <tr r="R18" s="59"/>
      </tp>
      <tp>
        <v>-119</v>
        <stp/>
        <stp>##V3_BDPV12</stp>
        <stp>SRUSSW10 GMGM Curncy</stp>
        <stp>ASK</stp>
        <stp>[DataSheet2.2.xlsm]SAR_DATA!R13C42</stp>
        <tr r="AP13" s="19"/>
      </tp>
      <tp>
        <v>-139</v>
        <stp/>
        <stp>##V3_BDPV12</stp>
        <stp>SRUSSW10 GMGM Curncy</stp>
        <stp>BID</stp>
        <stp>[DataSheet2.2.xlsm]SAR_DATA!R13C41</stp>
        <tr r="AO13" s="19"/>
      </tp>
      <tp>
        <v>6.375</v>
        <stp/>
        <stp>##V3_BDPV12</stp>
        <stp>JYBB1F MTRT Curncy</stp>
        <stp>LAST_PRICE</stp>
        <stp>[DataSheet2.3.xlsm]JPY_DATA!R8C27</stp>
        <tr r="AA8" s="46"/>
      </tp>
      <tp>
        <v>-7.8750000000000001E-2</v>
        <stp/>
        <stp>##V3_BDPV12</stp>
        <stp>JYSO2 MTRT Curncy</stp>
        <stp>LAST_PRICE</stp>
        <stp>[DataSheet2.3.xlsm]JPY_DATA!R18C9</stp>
        <tr r="I18" s="46"/>
      </tp>
      <tp>
        <v>0.25</v>
        <stp/>
        <stp>##V3_BDPV12</stp>
        <stp>HDSQO5 TRHK Curncy</stp>
        <stp>BID</stp>
        <stp>[DataSheet2.2.xlsm]HKD_DATA!R18C10</stp>
        <tr r="J18" s="52"/>
      </tp>
      <tp>
        <v>0.37</v>
        <stp/>
        <stp>##V3_BDPV12</stp>
        <stp>HDSQO7 TRHK Curncy</stp>
        <stp>BID</stp>
        <stp>[DataSheet2.2.xlsm]HKD_DATA!R19C10</stp>
        <tr r="J19" s="52"/>
      </tp>
      <tp>
        <v>0.21</v>
        <stp/>
        <stp>##V3_BDPV12</stp>
        <stp>HDSQO4 TRHK Curncy</stp>
        <stp>BID</stp>
        <stp>[DataSheet2.2.xlsm]HKD_DATA!R17C10</stp>
        <tr r="J17" s="52"/>
      </tp>
      <tp>
        <v>0.13</v>
        <stp/>
        <stp>##V3_BDPV12</stp>
        <stp>HDSQO1 TRHK Curncy</stp>
        <stp>BID</stp>
        <stp>[DataSheet2.2.xlsm]HKD_DATA!R14C10</stp>
        <tr r="J14" s="52"/>
      </tp>
      <tp>
        <v>0.18</v>
        <stp/>
        <stp>##V3_BDPV12</stp>
        <stp>HDSQO3 TRHK Curncy</stp>
        <stp>BID</stp>
        <stp>[DataSheet2.2.xlsm]HKD_DATA!R16C10</stp>
        <tr r="J16" s="52"/>
      </tp>
      <tp>
        <v>0.16</v>
        <stp/>
        <stp>##V3_BDPV12</stp>
        <stp>HDSQO2 TRHK Curncy</stp>
        <stp>BID</stp>
        <stp>[DataSheet2.2.xlsm]HKD_DATA!R15C10</stp>
        <tr r="J15" s="52"/>
      </tp>
      <tp>
        <v>0.36</v>
        <stp/>
        <stp>##V3_BDPV12</stp>
        <stp>HDSQO2 TRHK Curncy</stp>
        <stp>ASK</stp>
        <stp>[DataSheet2.2.xlsm]HKD_DATA!R15C11</stp>
        <tr r="K15" s="52"/>
      </tp>
      <tp>
        <v>0.33</v>
        <stp/>
        <stp>##V3_BDPV12</stp>
        <stp>HDSQO1 TRHK Curncy</stp>
        <stp>ASK</stp>
        <stp>[DataSheet2.2.xlsm]HKD_DATA!R14C11</stp>
        <tr r="K14" s="52"/>
      </tp>
      <tp>
        <v>0.38</v>
        <stp/>
        <stp>##V3_BDPV12</stp>
        <stp>HDSQO3 TRHK Curncy</stp>
        <stp>ASK</stp>
        <stp>[DataSheet2.2.xlsm]HKD_DATA!R16C11</stp>
        <tr r="K16" s="52"/>
      </tp>
      <tp>
        <v>0.41</v>
        <stp/>
        <stp>##V3_BDPV12</stp>
        <stp>HDSQO4 TRHK Curncy</stp>
        <stp>ASK</stp>
        <stp>[DataSheet2.2.xlsm]HKD_DATA!R17C11</stp>
        <tr r="K17" s="52"/>
      </tp>
      <tp>
        <v>0.56999999999999995</v>
        <stp/>
        <stp>##V3_BDPV12</stp>
        <stp>HDSQO7 TRHK Curncy</stp>
        <stp>ASK</stp>
        <stp>[DataSheet2.2.xlsm]HKD_DATA!R19C11</stp>
        <tr r="K19" s="52"/>
      </tp>
      <tp>
        <v>0.45</v>
        <stp/>
        <stp>##V3_BDPV12</stp>
        <stp>HDSQO5 TRHK Curncy</stp>
        <stp>ASK</stp>
        <stp>[DataSheet2.2.xlsm]HKD_DATA!R18C11</stp>
        <tr r="K18" s="52"/>
      </tp>
      <tp>
        <v>4.0999999999999996</v>
        <stp/>
        <stp>##V3_BDPV12</stp>
        <stp>CNHON CMPN Curncy</stp>
        <stp>PX_LAST</stp>
        <stp>[DataSheet2.3.xlsm]CNH_DATA!R8C51</stp>
        <tr r="AY8" s="50"/>
      </tp>
      <tp>
        <v>4.5199999999999996</v>
        <stp/>
        <stp>##V3_BDPV12</stp>
        <stp>CNHTN CMPN Curncy</stp>
        <stp>PX_LAST</stp>
        <stp>[DataSheet2.3.xlsm]CNH_DATA!R9C51</stp>
        <tr r="AY9" s="50"/>
      </tp>
      <tp>
        <v>0.21</v>
        <stp/>
        <stp>##V3_BDPV12</stp>
        <stp>PZFR0CI TPRA Curncy</stp>
        <stp>LAST_PRICE</stp>
        <stp>[DataSheet2.2.xlsm]PLN_DATA!R13C20</stp>
        <tr r="T13" s="12"/>
      </tp>
      <tp>
        <v>0.93</v>
        <stp/>
        <stp>##V3_BDPV12</stp>
        <stp>SRFR0BE GMGM Curncy</stp>
        <stp>LAST_PRICE</stp>
        <stp>[DataSheet2.2.xlsm]INR_DATA!R13C20</stp>
        <tr r="T13" s="54"/>
      </tp>
      <tp>
        <v>-0.08</v>
        <stp/>
        <stp>##V3_BDPV12</stp>
        <stp>CZKON CMPN Curncy</stp>
        <stp>PX_LAST</stp>
        <stp>[DataSheet2.2.xlsm]CZK_DATA!R8C51</stp>
        <tr r="AY8" s="14"/>
      </tp>
      <tp>
        <v>-0.1</v>
        <stp/>
        <stp>##V3_BDPV12</stp>
        <stp>CZKTN CMPN Curncy</stp>
        <stp>PX_LAST</stp>
        <stp>[DataSheet2.2.xlsm]CZK_DATA!R9C51</stp>
        <tr r="AY9" s="14"/>
      </tp>
      <tp>
        <v>0.2404</v>
        <stp/>
        <stp>##V3_BDPV12</stp>
        <stp>USSWAP3 CMPN Curncy</stp>
        <stp>LAST_PRICE</stp>
        <stp>[DataSheet2.3.xlsm]USD_DATA!R41C9</stp>
        <tr r="I41" s="6"/>
      </tp>
      <tp>
        <v>-2.5000000000000001E-2</v>
        <stp/>
        <stp>##V3_BDPV12</stp>
        <stp>CADTN BGN Curncy</stp>
        <stp>PX_LAST</stp>
        <stp>[DataSheet2.3.xlsm]GBP_DATA!R9C51</stp>
        <tr r="AY9" s="58"/>
      </tp>
      <tp>
        <v>0.26</v>
        <stp/>
        <stp>##V3_BDPV12</stp>
        <stp>EURON Curncy</stp>
        <stp>ASK</stp>
        <stp>[DataSheet2.3.xlsm]EUR_DATA!R8C53</stp>
        <tr r="BA8" s="31"/>
      </tp>
      <tp>
        <v>-0.114</v>
        <stp/>
        <stp>##V3_BDPV12</stp>
        <stp>JPYTN BGN Curncy</stp>
        <stp>PX_LAST</stp>
        <stp>[DataSheet2.3.xlsm]JPY_DATA!R9C41</stp>
        <tr r="AO9" s="46"/>
      </tp>
      <tp>
        <v>-2.5000000000000001E-2</v>
        <stp/>
        <stp>##V3_BDPV12</stp>
        <stp>CADTN BGN Curncy</stp>
        <stp>PX_LAST</stp>
        <stp>[DataSheet2.3.xlsm]CAD_DATA!R9C51</stp>
        <tr r="AY9" s="48"/>
      </tp>
      <tp>
        <v>18.579999999999998</v>
        <stp/>
        <stp>##V3_BDPV12</stp>
        <stp>TRYTN BGN Curncy</stp>
        <stp>PX_LAST</stp>
        <stp>[DataSheet2.2.xlsm]TRY_DATA!R9C51</stp>
        <tr r="AY9" s="10"/>
      </tp>
      <tp>
        <v>0.72</v>
        <stp/>
        <stp>##V3_BDPV12</stp>
        <stp>HDSQO10 TRHK Curncy</stp>
        <stp>ASK</stp>
        <stp>[DataSheet2.2.xlsm]HKD_DATA!R20C11</stp>
        <tr r="K20" s="52"/>
      </tp>
      <tp>
        <v>0.52</v>
        <stp/>
        <stp>##V3_BDPV12</stp>
        <stp>HDSQO10 TRHK Curncy</stp>
        <stp>BID</stp>
        <stp>[DataSheet2.2.xlsm]HKD_DATA!R20C10</stp>
        <tr r="J20" s="52"/>
      </tp>
      <tp>
        <v>-8.8749999999999996E-2</v>
        <stp/>
        <stp>##V3_BDPV12</stp>
        <stp>JYSO3 MTRT Curncy</stp>
        <stp>LAST_PRICE</stp>
        <stp>[DataSheet2.3.xlsm]JPY_DATA!R19C9</stp>
        <tr r="I19" s="46"/>
      </tp>
      <tp>
        <v>17.98</v>
        <stp/>
        <stp>##V3_BDPV12</stp>
        <stp>TYUSSW1 TRPU Curncy</stp>
        <stp>ASK</stp>
        <stp>[DataSheet2.2.xlsm]TRY_DATA!R26C50</stp>
        <tr r="AX26" s="10"/>
      </tp>
      <tp>
        <v>16.86</v>
        <stp/>
        <stp>##V3_BDPV12</stp>
        <stp>TYUSSW2 TRPU Curncy</stp>
        <stp>ASK</stp>
        <stp>[DataSheet2.2.xlsm]TRY_DATA!R27C50</stp>
        <tr r="AX27" s="10"/>
      </tp>
      <tp>
        <v>15.87</v>
        <stp/>
        <stp>##V3_BDPV12</stp>
        <stp>TYUSSW3 TRPU Curncy</stp>
        <stp>ASK</stp>
        <stp>[DataSheet2.2.xlsm]TRY_DATA!R28C50</stp>
        <tr r="AX28" s="10"/>
      </tp>
      <tp>
        <v>15.14</v>
        <stp/>
        <stp>##V3_BDPV12</stp>
        <stp>TYUSSW4 TRPU Curncy</stp>
        <stp>ASK</stp>
        <stp>[DataSheet2.2.xlsm]TRY_DATA!R29C50</stp>
        <tr r="AX29" s="10"/>
      </tp>
      <tp>
        <v>14.02</v>
        <stp/>
        <stp>##V3_BDPV12</stp>
        <stp>TYUSSW6 TRPU Curncy</stp>
        <stp>ASK</stp>
        <stp>[DataSheet2.2.xlsm]TRY_DATA!R31C50</stp>
        <tr r="AX31" s="10"/>
      </tp>
      <tp>
        <v>14.53</v>
        <stp/>
        <stp>##V3_BDPV12</stp>
        <stp>TYUSSW5 TRPU Curncy</stp>
        <stp>ASK</stp>
        <stp>[DataSheet2.2.xlsm]TRY_DATA!R30C50</stp>
        <tr r="AX30" s="10"/>
      </tp>
      <tp>
        <v>13.62</v>
        <stp/>
        <stp>##V3_BDPV12</stp>
        <stp>TYUSSW7 TRPU Curncy</stp>
        <stp>ASK</stp>
        <stp>[DataSheet2.2.xlsm]TRY_DATA!R32C50</stp>
        <tr r="AX32" s="10"/>
      </tp>
      <tp>
        <v>13.29</v>
        <stp/>
        <stp>##V3_BDPV12</stp>
        <stp>TYUSSW8 TRPU Curncy</stp>
        <stp>ASK</stp>
        <stp>[DataSheet2.2.xlsm]TRY_DATA!R33C50</stp>
        <tr r="AX33" s="10"/>
      </tp>
      <tp>
        <v>13.04</v>
        <stp/>
        <stp>##V3_BDPV12</stp>
        <stp>TYUSSW9 TRPU Curncy</stp>
        <stp>ASK</stp>
        <stp>[DataSheet2.2.xlsm]TRY_DATA!R34C50</stp>
        <tr r="AX34" s="10"/>
      </tp>
      <tp>
        <v>12.94</v>
        <stp/>
        <stp>##V3_BDPV12</stp>
        <stp>TYUSSW9 TRPU Curncy</stp>
        <stp>BID</stp>
        <stp>[DataSheet2.2.xlsm]TRY_DATA!R34C49</stp>
        <tr r="AW34" s="10"/>
      </tp>
      <tp>
        <v>13.19</v>
        <stp/>
        <stp>##V3_BDPV12</stp>
        <stp>TYUSSW8 TRPU Curncy</stp>
        <stp>BID</stp>
        <stp>[DataSheet2.2.xlsm]TRY_DATA!R33C49</stp>
        <tr r="AW33" s="10"/>
      </tp>
      <tp>
        <v>14.43</v>
        <stp/>
        <stp>##V3_BDPV12</stp>
        <stp>TYUSSW5 TRPU Curncy</stp>
        <stp>BID</stp>
        <stp>[DataSheet2.2.xlsm]TRY_DATA!R30C49</stp>
        <tr r="AW30" s="10"/>
      </tp>
      <tp>
        <v>13.52</v>
        <stp/>
        <stp>##V3_BDPV12</stp>
        <stp>TYUSSW7 TRPU Curncy</stp>
        <stp>BID</stp>
        <stp>[DataSheet2.2.xlsm]TRY_DATA!R32C49</stp>
        <tr r="AW32" s="10"/>
      </tp>
      <tp>
        <v>13.92</v>
        <stp/>
        <stp>##V3_BDPV12</stp>
        <stp>TYUSSW6 TRPU Curncy</stp>
        <stp>BID</stp>
        <stp>[DataSheet2.2.xlsm]TRY_DATA!R31C49</stp>
        <tr r="AW31" s="10"/>
      </tp>
      <tp>
        <v>15.04</v>
        <stp/>
        <stp>##V3_BDPV12</stp>
        <stp>TYUSSW4 TRPU Curncy</stp>
        <stp>BID</stp>
        <stp>[DataSheet2.2.xlsm]TRY_DATA!R29C49</stp>
        <tr r="AW29" s="10"/>
      </tp>
      <tp>
        <v>15.77</v>
        <stp/>
        <stp>##V3_BDPV12</stp>
        <stp>TYUSSW3 TRPU Curncy</stp>
        <stp>BID</stp>
        <stp>[DataSheet2.2.xlsm]TRY_DATA!R28C49</stp>
        <tr r="AW28" s="10"/>
      </tp>
      <tp>
        <v>16.760000000000002</v>
        <stp/>
        <stp>##V3_BDPV12</stp>
        <stp>TYUSSW2 TRPU Curncy</stp>
        <stp>BID</stp>
        <stp>[DataSheet2.2.xlsm]TRY_DATA!R27C49</stp>
        <tr r="AW27" s="10"/>
      </tp>
      <tp>
        <v>17.88</v>
        <stp/>
        <stp>##V3_BDPV12</stp>
        <stp>TYUSSW1 TRPU Curncy</stp>
        <stp>BID</stp>
        <stp>[DataSheet2.2.xlsm]TRY_DATA!R26C49</stp>
        <tr r="AW26" s="10"/>
      </tp>
      <tp>
        <v>0.3</v>
        <stp/>
        <stp>##V3_BDPV12</stp>
        <stp>PRIB01M Index</stp>
        <stp>PX_LAST</stp>
        <stp>[DataSheet2.2.xlsm]CZK_DATA!R8C20</stp>
        <tr r="T8" s="14"/>
      </tp>
      <tp>
        <v>4.8499999999999996</v>
        <stp/>
        <stp>##V3_BDPV12</stp>
        <stp>CGSWH7 TPRA Curncy</stp>
        <stp>ASK</stp>
        <stp>[DataSheet2.3.xlsm]CNH_DATA!R19C19</stp>
        <tr r="S19" s="50"/>
      </tp>
      <tp>
        <v>3.9</v>
        <stp/>
        <stp>##V3_BDPV12</stp>
        <stp>CGSWH5 TPRA Curncy</stp>
        <stp>ASK</stp>
        <stp>[DataSheet2.3.xlsm]CNH_DATA!R18C19</stp>
        <tr r="S18" s="50"/>
      </tp>
      <tp>
        <v>3.6</v>
        <stp/>
        <stp>##V3_BDPV12</stp>
        <stp>CGSWH2 TPRA Curncy</stp>
        <stp>ASK</stp>
        <stp>[DataSheet2.3.xlsm]CNH_DATA!R15C19</stp>
        <tr r="S15" s="50"/>
      </tp>
      <tp>
        <v>3.45</v>
        <stp/>
        <stp>##V3_BDPV12</stp>
        <stp>CGSWH1 TPRA Curncy</stp>
        <stp>ASK</stp>
        <stp>[DataSheet2.3.xlsm]CNH_DATA!R14C19</stp>
        <tr r="S14" s="50"/>
      </tp>
      <tp>
        <v>3.9</v>
        <stp/>
        <stp>##V3_BDPV12</stp>
        <stp>CGSWH3 TPRA Curncy</stp>
        <stp>ASK</stp>
        <stp>[DataSheet2.3.xlsm]CNH_DATA!R16C19</stp>
        <tr r="S16" s="50"/>
      </tp>
      <tp>
        <v>3.9</v>
        <stp/>
        <stp>##V3_BDPV12</stp>
        <stp>CGSWH4 TPRA Curncy</stp>
        <stp>ASK</stp>
        <stp>[DataSheet2.3.xlsm]CNH_DATA!R17C19</stp>
        <tr r="S17" s="50"/>
      </tp>
      <tp>
        <v>0.34</v>
        <stp/>
        <stp>##V3_BDPV12</stp>
        <stp>PRIB03M Index</stp>
        <stp>PX_LAST</stp>
        <stp>[DataSheet2.2.xlsm]CZK_DATA!R9C20</stp>
        <tr r="T9" s="14"/>
      </tp>
      <tp>
        <v>3.3</v>
        <stp/>
        <stp>##V3_BDPV12</stp>
        <stp>CGSWH4 TPRA Curncy</stp>
        <stp>BID</stp>
        <stp>[DataSheet2.3.xlsm]CNH_DATA!R17C18</stp>
        <tr r="R17" s="50"/>
      </tp>
      <tp>
        <v>2.95</v>
        <stp/>
        <stp>##V3_BDPV12</stp>
        <stp>CGSWH1 TPRA Curncy</stp>
        <stp>BID</stp>
        <stp>[DataSheet2.3.xlsm]CNH_DATA!R14C18</stp>
        <tr r="R14" s="50"/>
      </tp>
      <tp>
        <v>3.3</v>
        <stp/>
        <stp>##V3_BDPV12</stp>
        <stp>CGSWH3 TPRA Curncy</stp>
        <stp>BID</stp>
        <stp>[DataSheet2.3.xlsm]CNH_DATA!R16C18</stp>
        <tr r="R16" s="50"/>
      </tp>
      <tp>
        <v>3</v>
        <stp/>
        <stp>##V3_BDPV12</stp>
        <stp>CGSWH2 TPRA Curncy</stp>
        <stp>BID</stp>
        <stp>[DataSheet2.3.xlsm]CNH_DATA!R15C18</stp>
        <tr r="R15" s="50"/>
      </tp>
      <tp>
        <v>3.3</v>
        <stp/>
        <stp>##V3_BDPV12</stp>
        <stp>CGSWH5 TPRA Curncy</stp>
        <stp>BID</stp>
        <stp>[DataSheet2.3.xlsm]CNH_DATA!R18C18</stp>
        <tr r="R18" s="50"/>
      </tp>
      <tp>
        <v>4.1500000000000004</v>
        <stp/>
        <stp>##V3_BDPV12</stp>
        <stp>CGSWH7 TPRA Curncy</stp>
        <stp>BID</stp>
        <stp>[DataSheet2.3.xlsm]CNH_DATA!R19C18</stp>
        <tr r="R19" s="50"/>
      </tp>
      <tp>
        <v>4.71</v>
        <stp/>
        <stp>##V3_BDPV12</stp>
        <stp>RRFR0BE TRSU Curncy</stp>
        <stp>LAST_PRICE</stp>
        <stp>[DataSheet2.2.xlsm]RUB_DATA!R13C20</stp>
        <tr r="T13" s="4"/>
      </tp>
      <tp>
        <v>0.20100000000000001</v>
        <stp/>
        <stp>##V3_BDPV12</stp>
        <stp>EURON Curncy</stp>
        <stp>BID</stp>
        <stp>[DataSheet2.3.xlsm]EUR_DATA!R8C52</stp>
        <tr r="AZ8" s="31"/>
      </tp>
      <tp>
        <v>1557</v>
        <stp/>
        <stp>##V3_BDPV12</stp>
        <stp>EURRON12M CCMK Curncy</stp>
        <stp>ASK</stp>
        <stp>[DataSheet2.2.xlsm]RON_DATA!R17C50</stp>
        <tr r="AX17" s="16"/>
      </tp>
      <tp>
        <v>-0.46800000000000003</v>
        <stp/>
        <stp>##V3_BDPV12</stp>
        <stp>EUFR0G1A ICPL Curncy</stp>
        <stp>LAST_PRICE</stp>
        <stp>[DataSheet2.3.xlsm]EUR_DATA!R17C25</stp>
        <tr r="Y17" s="31"/>
      </tp>
      <tp>
        <v>1443</v>
        <stp/>
        <stp>##V3_BDPV12</stp>
        <stp>EURRON12M CCMK Curncy</stp>
        <stp>BID</stp>
        <stp>[DataSheet2.2.xlsm]RON_DATA!R17C49</stp>
        <tr r="AW17" s="16"/>
      </tp>
      <tp>
        <v>-17.986000000000001</v>
        <stp/>
        <stp>##V3_BDPV12</stp>
        <stp>CDBS4 Curncy</stp>
        <stp>ASK</stp>
        <stp>[DataSheet2.3.xlsm]GBP_DATA!R13C42</stp>
        <tr r="AP13" s="58"/>
      </tp>
      <tp>
        <v>-20.013999999999999</v>
        <stp/>
        <stp>##V3_BDPV12</stp>
        <stp>CDBS4 Curncy</stp>
        <stp>BID</stp>
        <stp>[DataSheet2.3.xlsm]GBP_DATA!R13C41</stp>
        <tr r="AO13" s="58"/>
      </tp>
      <tp>
        <v>5.25</v>
        <stp/>
        <stp>##V3_BDPV12</stp>
        <stp>JYBSL6 MTRT Curncy</stp>
        <stp>LAST_PRICE</stp>
        <stp>[DataSheet2.3.xlsm]JPY_DATA!R40C9</stp>
        <tr r="I40" s="46"/>
      </tp>
      <tp>
        <v>-5.7500000000000002E-2</v>
        <stp/>
        <stp>##V3_BDPV12</stp>
        <stp>JYSO1 MTRT Curncy</stp>
        <stp>LAST_PRICE</stp>
        <stp>[DataSheet2.3.xlsm]JPY_DATA!R16C9</stp>
        <tr r="I16" s="46"/>
      </tp>
      <tp>
        <v>-0.36020000000000002</v>
        <stp/>
        <stp>##V3_BDPV12</stp>
        <stp>EUSW8V3 CMPN Curncy</stp>
        <stp>BID</stp>
        <stp>[DataSheet2.3.xlsm]EUR_DATA!R25C18</stp>
        <tr r="R25" s="31"/>
      </tp>
      <tp>
        <v>-0.312</v>
        <stp/>
        <stp>##V3_BDPV12</stp>
        <stp>EUSW9V3 CMPN Curncy</stp>
        <stp>BID</stp>
        <stp>[DataSheet2.3.xlsm]EUR_DATA!R26C18</stp>
        <tr r="R26" s="31"/>
      </tp>
      <tp>
        <v>-0.30719999999999997</v>
        <stp/>
        <stp>##V3_BDPV12</stp>
        <stp>EUSW9V3 CMPN Curncy</stp>
        <stp>ASK</stp>
        <stp>[DataSheet2.3.xlsm]EUR_DATA!R26C19</stp>
        <tr r="S26" s="31"/>
      </tp>
      <tp>
        <v>-0.35520000000000002</v>
        <stp/>
        <stp>##V3_BDPV12</stp>
        <stp>EUSW8V3 CMPN Curncy</stp>
        <stp>ASK</stp>
        <stp>[DataSheet2.3.xlsm]EUR_DATA!R25C19</stp>
        <tr r="S25" s="31"/>
      </tp>
      <tp>
        <v>-0.40079999999999999</v>
        <stp/>
        <stp>##V3_BDPV12</stp>
        <stp>EUSW7V3 CMPN Curncy</stp>
        <stp>ASK</stp>
        <stp>[DataSheet2.3.xlsm]EUR_DATA!R24C19</stp>
        <tr r="S24" s="31"/>
      </tp>
      <tp>
        <v>-0.5081</v>
        <stp/>
        <stp>##V3_BDPV12</stp>
        <stp>EUSW4V3 CMPN Curncy</stp>
        <stp>BID</stp>
        <stp>[DataSheet2.3.xlsm]EUR_DATA!R21C18</stp>
        <tr r="R21" s="31"/>
      </tp>
      <tp>
        <v>-0.44309999999999999</v>
        <stp/>
        <stp>##V3_BDPV12</stp>
        <stp>EUSW6V3 CMPN Curncy</stp>
        <stp>ASK</stp>
        <stp>[DataSheet2.3.xlsm]EUR_DATA!R23C19</stp>
        <tr r="S23" s="31"/>
      </tp>
      <tp>
        <v>-0.48230000000000001</v>
        <stp/>
        <stp>##V3_BDPV12</stp>
        <stp>EUSW5V3 CMPN Curncy</stp>
        <stp>BID</stp>
        <stp>[DataSheet2.3.xlsm]EUR_DATA!R22C18</stp>
        <tr r="R22" s="31"/>
      </tp>
      <tp>
        <v>3.7509000000000001</v>
        <stp/>
        <stp>##V3_BDPV12</stp>
        <stp>SAR Curncy</stp>
        <stp>PX_LAST</stp>
        <stp>[DataSheet2.2.xlsm]SAR_DATA!R7C51</stp>
        <tr r="AY7" s="19"/>
      </tp>
      <tp>
        <v>-0.4773</v>
        <stp/>
        <stp>##V3_BDPV12</stp>
        <stp>EUSW5V3 CMPN Curncy</stp>
        <stp>ASK</stp>
        <stp>[DataSheet2.3.xlsm]EUR_DATA!R22C19</stp>
        <tr r="S22" s="31"/>
      </tp>
      <tp>
        <v>-0.4481</v>
        <stp/>
        <stp>##V3_BDPV12</stp>
        <stp>EUSW6V3 CMPN Curncy</stp>
        <stp>BID</stp>
        <stp>[DataSheet2.3.xlsm]EUR_DATA!R23C18</stp>
        <tr r="R23" s="31"/>
      </tp>
      <tp>
        <v>-0.50309999999999999</v>
        <stp/>
        <stp>##V3_BDPV12</stp>
        <stp>EUSW4V3 CMPN Curncy</stp>
        <stp>ASK</stp>
        <stp>[DataSheet2.3.xlsm]EUR_DATA!R21C19</stp>
        <tr r="S21" s="31"/>
      </tp>
      <tp>
        <v>-0.40579999999999999</v>
        <stp/>
        <stp>##V3_BDPV12</stp>
        <stp>EUSW7V3 CMPN Curncy</stp>
        <stp>BID</stp>
        <stp>[DataSheet2.3.xlsm]EUR_DATA!R24C18</stp>
        <tr r="R24" s="31"/>
      </tp>
      <tp>
        <v>-0.5202</v>
        <stp/>
        <stp>##V3_BDPV12</stp>
        <stp>EUSW3V3 CMPN Curncy</stp>
        <stp>ASK</stp>
        <stp>[DataSheet2.3.xlsm]EUR_DATA!R20C19</stp>
        <tr r="S20" s="31"/>
      </tp>
      <tp>
        <v>-0.52190000000000003</v>
        <stp/>
        <stp>##V3_BDPV12</stp>
        <stp>EUSW2V3 CMPN Curncy</stp>
        <stp>ASK</stp>
        <stp>[DataSheet2.3.xlsm]EUR_DATA!R19C19</stp>
        <tr r="S19" s="31"/>
      </tp>
      <tp>
        <v>-0.52539999999999998</v>
        <stp/>
        <stp>##V3_BDPV12</stp>
        <stp>EUSW2V3 CMPN Curncy</stp>
        <stp>BID</stp>
        <stp>[DataSheet2.3.xlsm]EUR_DATA!R19C18</stp>
        <tr r="R19" s="31"/>
      </tp>
      <tp>
        <v>-0.52480000000000004</v>
        <stp/>
        <stp>##V3_BDPV12</stp>
        <stp>EUSW3V3 CMPN Curncy</stp>
        <stp>BID</stp>
        <stp>[DataSheet2.3.xlsm]EUR_DATA!R20C18</stp>
        <tr r="R20" s="31"/>
      </tp>
      <tp>
        <v>0.23200000000000001</v>
        <stp/>
        <stp>##V3_BDPV12</stp>
        <stp>PZFR0AG TPRA Curncy</stp>
        <stp>LAST_PRICE</stp>
        <stp>[DataSheet2.2.xlsm]PLN_DATA!R11C20</stp>
        <tr r="T11" s="12"/>
      </tp>
      <tp>
        <v>0.6429891129104135</v>
        <stp/>
        <stp>##V3_BVIEW</stp>
        <stp>[DataSheet2.3.xlsm]USD_CURVES!R1C44</stp>
        <stp>USD.3M:BLOOMBERG DC 330056</stp>
        <stp>volatility</stp>
        <tr r="AR1" s="3"/>
      </tp>
      <tp>
        <v>4.71</v>
        <stp/>
        <stp>##V3_BDPV12</stp>
        <stp>RRFR0AD TRSU Curncy</stp>
        <stp>LAST_PRICE</stp>
        <stp>[DataSheet2.2.xlsm]RUB_DATA!R12C20</stp>
        <tr r="T12" s="4"/>
      </tp>
      <tp>
        <v>0.17499999999999999</v>
        <stp/>
        <stp>##V3_BDPV12</stp>
        <stp>PZFR0CF TPRA Curncy</stp>
        <stp>MID</stp>
        <stp>[DataSheet2.2.xlsm]PLN_DATA!R9C26</stp>
        <tr r="Z9" s="12"/>
      </tp>
      <tp t="s">
        <v>EUR.3M:BLOOMBERG DC 827353</v>
        <stp/>
        <stp>##V3_BCURVESTRIPV12</stp>
        <stp>[DataSheet2.3.xlsm]EUR_CURVES!R4C26</stp>
        <stp>S201</stp>
        <tr r="Z4" s="32"/>
      </tp>
      <tp>
        <v>1.8959999999999999</v>
        <stp/>
        <stp>##V3_BDPV12</stp>
        <stp>UDSW10 GMGM Curncy</stp>
        <stp>ASK</stp>
        <stp>[DataSheet2.2.xlsm]AED_DATA!R24C19</stp>
        <tr r="S24" s="18"/>
      </tp>
      <tp>
        <v>1.8160000000000001</v>
        <stp/>
        <stp>##V3_BDPV12</stp>
        <stp>UDSW10 GMGM Curncy</stp>
        <stp>BID</stp>
        <stp>[DataSheet2.2.xlsm]AED_DATA!R24C18</stp>
        <tr r="R24" s="18"/>
      </tp>
      <tp>
        <v>-15.741</v>
        <stp/>
        <stp>##V3_BDPV12</stp>
        <stp>CDBS5 Curncy</stp>
        <stp>ASK</stp>
        <stp>[DataSheet2.3.xlsm]GBP_DATA!R14C42</stp>
        <tr r="AP14" s="58"/>
      </tp>
      <tp>
        <v>-31.013999999999999</v>
        <stp/>
        <stp>##V3_BDPV12</stp>
        <stp>CDBS1 Curncy</stp>
        <stp>BID</stp>
        <stp>[DataSheet2.3.xlsm]CAD_DATA!R10C41</stp>
        <tr r="AO10" s="48"/>
      </tp>
      <tp>
        <v>-28.986000000000001</v>
        <stp/>
        <stp>##V3_BDPV12</stp>
        <stp>CDBS1 Curncy</stp>
        <stp>ASK</stp>
        <stp>[DataSheet2.3.xlsm]CAD_DATA!R10C42</stp>
        <tr r="AP10" s="48"/>
      </tp>
      <tp>
        <v>-17.759</v>
        <stp/>
        <stp>##V3_BDPV12</stp>
        <stp>CDBS5 Curncy</stp>
        <stp>BID</stp>
        <stp>[DataSheet2.3.xlsm]GBP_DATA!R14C41</stp>
        <tr r="AO14" s="58"/>
      </tp>
      <tp>
        <v>5.375</v>
        <stp/>
        <stp>##V3_BDPV12</stp>
        <stp>JYBSL7 MTRT Curncy</stp>
        <stp>LAST_PRICE</stp>
        <stp>[DataSheet2.3.xlsm]JPY_DATA!R41C9</stp>
        <tr r="I41" s="46"/>
      </tp>
      <tp>
        <v>-0.05</v>
        <stp/>
        <stp>##V3_BDPV12</stp>
        <stp>JYSOF MTRT Curncy</stp>
        <stp>LAST_PRICE</stp>
        <stp>[DataSheet2.3.xlsm]JPY_DATA!R14C9</stp>
        <tr r="I14" s="46"/>
      </tp>
      <tp>
        <v>0.373</v>
        <stp/>
        <stp>##V3_BDPV12</stp>
        <stp>CKFR0EK CMPN Curncy</stp>
        <stp>BID</stp>
        <stp>[DataSheet2.2.xlsm]CZK_DATA!R15C18</stp>
        <tr r="R15" s="14"/>
      </tp>
      <tp>
        <v>0.36</v>
        <stp/>
        <stp>##V3_BDPV12</stp>
        <stp>CKFR0DJ CMPN Curncy</stp>
        <stp>BID</stp>
        <stp>[DataSheet2.2.xlsm]CZK_DATA!R14C18</stp>
        <tr r="R14" s="14"/>
      </tp>
      <tp>
        <v>0.375</v>
        <stp/>
        <stp>##V3_BDPV12</stp>
        <stp>CKFR0F1 CMPN Curncy</stp>
        <stp>BID</stp>
        <stp>[DataSheet2.2.xlsm]CZK_DATA!R16C18</stp>
        <tr r="R16" s="14"/>
      </tp>
      <tp>
        <v>0.33</v>
        <stp/>
        <stp>##V3_BDPV12</stp>
        <stp>CKFR0AG CMPN Curncy</stp>
        <stp>BID</stp>
        <stp>[DataSheet2.2.xlsm]CZK_DATA!R11C18</stp>
        <tr r="R11" s="14"/>
      </tp>
      <tp>
        <v>0.38</v>
        <stp/>
        <stp>##V3_BDPV12</stp>
        <stp>CKFR0CI CMPN Curncy</stp>
        <stp>BID</stp>
        <stp>[DataSheet2.2.xlsm]CZK_DATA!R13C18</stp>
        <tr r="R13" s="14"/>
      </tp>
      <tp>
        <v>0.34</v>
        <stp/>
        <stp>##V3_BDPV12</stp>
        <stp>CKFR0BH CMPN Curncy</stp>
        <stp>BID</stp>
        <stp>[DataSheet2.2.xlsm]CZK_DATA!R12C18</stp>
        <tr r="R12" s="14"/>
      </tp>
      <tp>
        <v>0.435</v>
        <stp/>
        <stp>##V3_BDPV12</stp>
        <stp>CKFR0F1 CMPN Curncy</stp>
        <stp>ASK</stp>
        <stp>[DataSheet2.2.xlsm]CZK_DATA!R16C19</stp>
        <tr r="S16" s="14"/>
      </tp>
      <tp>
        <v>0.42</v>
        <stp/>
        <stp>##V3_BDPV12</stp>
        <stp>CKFR0DJ CMPN Curncy</stp>
        <stp>ASK</stp>
        <stp>[DataSheet2.2.xlsm]CZK_DATA!R14C19</stp>
        <tr r="S14" s="14"/>
      </tp>
      <tp>
        <v>0.433</v>
        <stp/>
        <stp>##V3_BDPV12</stp>
        <stp>CKFR0EK CMPN Curncy</stp>
        <stp>ASK</stp>
        <stp>[DataSheet2.2.xlsm]CZK_DATA!R15C19</stp>
        <tr r="S15" s="14"/>
      </tp>
      <tp>
        <v>0.4</v>
        <stp/>
        <stp>##V3_BDPV12</stp>
        <stp>CKFR0BH CMPN Curncy</stp>
        <stp>ASK</stp>
        <stp>[DataSheet2.2.xlsm]CZK_DATA!R12C19</stp>
        <tr r="S12" s="14"/>
      </tp>
      <tp>
        <v>0.42</v>
        <stp/>
        <stp>##V3_BDPV12</stp>
        <stp>CKFR0CI CMPN Curncy</stp>
        <stp>ASK</stp>
        <stp>[DataSheet2.2.xlsm]CZK_DATA!R13C19</stp>
        <tr r="S13" s="14"/>
      </tp>
      <tp>
        <v>0.39</v>
        <stp/>
        <stp>##V3_BDPV12</stp>
        <stp>CKFR0AG CMPN Curncy</stp>
        <stp>ASK</stp>
        <stp>[DataSheet2.2.xlsm]CZK_DATA!R11C19</stp>
        <tr r="S11" s="14"/>
      </tp>
      <tp>
        <v>-0.2</v>
        <stp/>
        <stp>##V3_BDPV12</stp>
        <stp>HKD1W ICHK Curncy</stp>
        <stp>PX_LAST</stp>
        <stp>[DataSheet2.2.xlsm]HKD_DATA!R10C51</stp>
        <tr r="AY10" s="52"/>
      </tp>
      <tp>
        <v>0.25</v>
        <stp/>
        <stp>##V3_BDPV12</stp>
        <stp>HKD2W ICHK Curncy</stp>
        <stp>PX_LAST</stp>
        <stp>[DataSheet2.2.xlsm]HKD_DATA!R11C51</stp>
        <tr r="AY11" s="52"/>
      </tp>
      <tp>
        <v>2.6</v>
        <stp/>
        <stp>##V3_BDPV12</stp>
        <stp>CGUSSWF CMPN Curncy</stp>
        <stp>LAST_PRICE</stp>
        <stp>[DataSheet2.3.xlsm]CNH_DATA!R26C51</stp>
        <tr r="AY26" s="50"/>
      </tp>
      <tp>
        <v>0.19</v>
        <stp/>
        <stp>##V3_BDPV12</stp>
        <stp>PZFR0BE TPRA Curncy</stp>
        <stp>MID</stp>
        <stp>[DataSheet2.2.xlsm]PLN_DATA!R8C26</stp>
        <tr r="Z8" s="12"/>
      </tp>
      <tp>
        <v>-0.52900000000000003</v>
        <stp/>
        <stp>##V3_BDPV12</stp>
        <stp>EUSWE1F ICPL Curncy</stp>
        <stp>LAST_PRICE</stp>
        <stp>[DataSheet2.3.xlsm]EUR_DATA!R16C12</stp>
        <tr r="L16" s="31"/>
      </tp>
      <tp>
        <v>-0.47399999999999998</v>
        <stp/>
        <stp>##V3_BDPV12</stp>
        <stp>EUFR0I1C ICPL Curncy</stp>
        <stp>LAST_PRICE</stp>
        <stp>[DataSheet2.3.xlsm]EUR_DATA!R19C25</stp>
        <tr r="Y19" s="31"/>
      </tp>
      <tp>
        <v>13.5</v>
        <stp/>
        <stp>##V3_BDPV12</stp>
        <stp>SRBSV2 GMGM Curncy</stp>
        <stp>MID</stp>
        <stp>[DataSheet2.2.xlsm]SAR_DATA!R13C30</stp>
        <tr r="AD13" s="19"/>
      </tp>
      <tp>
        <v>12.5</v>
        <stp/>
        <stp>##V3_BDPV12</stp>
        <stp>SRBSV4 GMGM Curncy</stp>
        <stp>MID</stp>
        <stp>[DataSheet2.2.xlsm]SAR_DATA!R15C30</stp>
        <tr r="AD15" s="19"/>
      </tp>
      <tp>
        <v>12</v>
        <stp/>
        <stp>##V3_BDPV12</stp>
        <stp>SRBSV7 GMGM Curncy</stp>
        <stp>MID</stp>
        <stp>[DataSheet2.2.xlsm]SAR_DATA!R17C30</stp>
        <tr r="AD17" s="19"/>
      </tp>
      <tp>
        <v>15.5</v>
        <stp/>
        <stp>##V3_BDPV12</stp>
        <stp>SRBSV1 GMGM Curncy</stp>
        <stp>MID</stp>
        <stp>[DataSheet2.2.xlsm]SAR_DATA!R12C30</stp>
        <tr r="AD12" s="19"/>
      </tp>
      <tp>
        <v>12</v>
        <stp/>
        <stp>##V3_BDPV12</stp>
        <stp>SRBSV5 GMGM Curncy</stp>
        <stp>MID</stp>
        <stp>[DataSheet2.2.xlsm]SAR_DATA!R16C30</stp>
        <tr r="AD16" s="19"/>
      </tp>
      <tp>
        <v>12.5</v>
        <stp/>
        <stp>##V3_BDPV12</stp>
        <stp>SRBSV3 GMGM Curncy</stp>
        <stp>MID</stp>
        <stp>[DataSheet2.2.xlsm]SAR_DATA!R14C30</stp>
        <tr r="AD14" s="19"/>
      </tp>
      <tp>
        <v>18</v>
        <stp/>
        <stp>##V3_BDPV12</stp>
        <stp>SRBSVD GMGM Curncy</stp>
        <stp>MID</stp>
        <stp>[DataSheet2.2.xlsm]SAR_DATA!R10C30</stp>
        <tr r="AD10" s="19"/>
      </tp>
      <tp>
        <v>16.5</v>
        <stp/>
        <stp>##V3_BDPV12</stp>
        <stp>SRBSVE GMGM Curncy</stp>
        <stp>MID</stp>
        <stp>[DataSheet2.2.xlsm]SAR_DATA!R11C30</stp>
        <tr r="AD11" s="19"/>
      </tp>
      <tp>
        <v>1.52</v>
        <stp/>
        <stp>##V3_BDPV12</stp>
        <stp>EURCZKSN CMPN Curncy</stp>
        <stp>ASK</stp>
        <stp>[DataSheet2.2.xlsm]CZK_DATA!R34C50</stp>
        <tr r="AX34" s="14"/>
      </tp>
      <tp>
        <v>0.55000000000000004</v>
        <stp/>
        <stp>##V3_BDPV12</stp>
        <stp>EURCZKTN CMPN Curncy</stp>
        <stp>ASK</stp>
        <stp>[DataSheet2.2.xlsm]CZK_DATA!R33C50</stp>
        <tr r="AX33" s="14"/>
      </tp>
      <tp>
        <v>0.5</v>
        <stp/>
        <stp>##V3_BDPV12</stp>
        <stp>EURCZKON CMPN Curncy</stp>
        <stp>ASK</stp>
        <stp>[DataSheet2.2.xlsm]CZK_DATA!R32C50</stp>
        <tr r="AX32" s="14"/>
      </tp>
      <tp>
        <v>-26.51</v>
        <stp/>
        <stp>##V3_BDPV12</stp>
        <stp>CDBS2 Curncy</stp>
        <stp>BID</stp>
        <stp>[DataSheet2.3.xlsm]CAD_DATA!R11C41</stp>
        <tr r="AO11" s="48"/>
      </tp>
      <tp>
        <v>-24.49</v>
        <stp/>
        <stp>##V3_BDPV12</stp>
        <stp>CDBS2 Curncy</stp>
        <stp>ASK</stp>
        <stp>[DataSheet2.3.xlsm]CAD_DATA!R11C42</stp>
        <tr r="AP11" s="48"/>
      </tp>
      <tp>
        <v>0.35</v>
        <stp/>
        <stp>##V3_BDPV12</stp>
        <stp>EURCZKON CMPN Curncy</stp>
        <stp>BID</stp>
        <stp>[DataSheet2.2.xlsm]CZK_DATA!R32C49</stp>
        <tr r="AW32" s="14"/>
      </tp>
      <tp>
        <v>1.07</v>
        <stp/>
        <stp>##V3_BDPV12</stp>
        <stp>EURCZKSN CMPN Curncy</stp>
        <stp>BID</stp>
        <stp>[DataSheet2.2.xlsm]CZK_DATA!R34C49</stp>
        <tr r="AW34" s="14"/>
      </tp>
      <tp>
        <v>0.27</v>
        <stp/>
        <stp>##V3_BDPV12</stp>
        <stp>EURCZKTN CMPN Curncy</stp>
        <stp>BID</stp>
        <stp>[DataSheet2.2.xlsm]CZK_DATA!R33C49</stp>
        <tr r="AW33" s="14"/>
      </tp>
      <tp>
        <v>5.5</v>
        <stp/>
        <stp>##V3_BDPV12</stp>
        <stp>JYBSL8 MTRT Curncy</stp>
        <stp>LAST_PRICE</stp>
        <stp>[DataSheet2.3.xlsm]JPY_DATA!R42C9</stp>
        <tr r="I42" s="46"/>
      </tp>
      <tp>
        <v>-5.8749999999999997E-2</v>
        <stp/>
        <stp>##V3_BDPV12</stp>
        <stp>JYSO8 MTRT Curncy</stp>
        <stp>LAST_PRICE</stp>
        <stp>[DataSheet2.3.xlsm]JPY_DATA!R24C9</stp>
        <tr r="I24" s="46"/>
      </tp>
      <tp>
        <v>-5.5E-2</v>
        <stp/>
        <stp>##V3_BDPV12</stp>
        <stp>JYSOI MTRT Curncy</stp>
        <stp>LAST_PRICE</stp>
        <stp>[DataSheet2.3.xlsm]JPY_DATA!R15C9</stp>
        <tr r="I15" s="46"/>
      </tp>
      <tp>
        <v>0.57999999999999996</v>
        <stp/>
        <stp>##V3_BDPV12</stp>
        <stp>UDFR0FI GMGM Curncy</stp>
        <stp>BID</stp>
        <stp>[DataSheet2.2.xlsm]AED_DATA!R15C18</stp>
        <tr r="R15" s="18"/>
      </tp>
      <tp>
        <v>0.38</v>
        <stp/>
        <stp>##V3_BDPV12</stp>
        <stp>UDFR0AD GMGM Curncy</stp>
        <stp>BID</stp>
        <stp>[DataSheet2.2.xlsm]AED_DATA!R12C18</stp>
        <tr r="R12" s="18"/>
      </tp>
      <tp>
        <v>0.57999999999999996</v>
        <stp/>
        <stp>##V3_BDPV12</stp>
        <stp>UDFR0CF GMGM Curncy</stp>
        <stp>BID</stp>
        <stp>[DataSheet2.2.xlsm]AED_DATA!R14C18</stp>
        <tr r="R14" s="18"/>
      </tp>
      <tp>
        <v>0.48</v>
        <stp/>
        <stp>##V3_BDPV12</stp>
        <stp>UDFR0BE GMGM Curncy</stp>
        <stp>BID</stp>
        <stp>[DataSheet2.2.xlsm]AED_DATA!R13C18</stp>
        <tr r="R13" s="18"/>
      </tp>
      <tp>
        <v>0.66</v>
        <stp/>
        <stp>##V3_BDPV12</stp>
        <stp>UDFR0I1 GMGM Curncy</stp>
        <stp>BID</stp>
        <stp>[DataSheet2.2.xlsm]AED_DATA!R16C18</stp>
        <tr r="R16" s="18"/>
      </tp>
      <tp>
        <v>0.74</v>
        <stp/>
        <stp>##V3_BDPV12</stp>
        <stp>UDFR0I1 GMGM Curncy</stp>
        <stp>ASK</stp>
        <stp>[DataSheet2.2.xlsm]AED_DATA!R16C19</stp>
        <tr r="S16" s="18"/>
      </tp>
      <tp>
        <v>0.66</v>
        <stp/>
        <stp>##V3_BDPV12</stp>
        <stp>UDFR0FI GMGM Curncy</stp>
        <stp>ASK</stp>
        <stp>[DataSheet2.2.xlsm]AED_DATA!R15C19</stp>
        <tr r="S15" s="18"/>
      </tp>
      <tp>
        <v>0.56000000000000005</v>
        <stp/>
        <stp>##V3_BDPV12</stp>
        <stp>UDFR0BE GMGM Curncy</stp>
        <stp>ASK</stp>
        <stp>[DataSheet2.2.xlsm]AED_DATA!R13C19</stp>
        <tr r="S13" s="18"/>
      </tp>
      <tp>
        <v>0.66</v>
        <stp/>
        <stp>##V3_BDPV12</stp>
        <stp>UDFR0CF GMGM Curncy</stp>
        <stp>ASK</stp>
        <stp>[DataSheet2.2.xlsm]AED_DATA!R14C19</stp>
        <tr r="S14" s="18"/>
      </tp>
      <tp>
        <v>0.46</v>
        <stp/>
        <stp>##V3_BDPV12</stp>
        <stp>UDFR0AD GMGM Curncy</stp>
        <stp>ASK</stp>
        <stp>[DataSheet2.2.xlsm]AED_DATA!R12C19</stp>
        <tr r="S12" s="18"/>
      </tp>
      <tp>
        <v>2.5</v>
        <stp/>
        <stp>##V3_BDPV12</stp>
        <stp>AED2M GMGM Curncy</stp>
        <stp>PX_LAST</stp>
        <stp>[DataSheet2.2.xlsm]AED_DATA!R12C51</stp>
        <tr r="AY12" s="18"/>
      </tp>
      <tp>
        <v>0.25</v>
        <stp/>
        <stp>##V3_BDPV12</stp>
        <stp>AED1W GMGM Curncy</stp>
        <stp>PX_LAST</stp>
        <stp>[DataSheet2.2.xlsm]AED_DATA!R10C51</stp>
        <tr r="AY10" s="18"/>
      </tp>
      <tp>
        <v>1</v>
        <stp/>
        <stp>##V3_BDPV12</stp>
        <stp>AED1M GMGM Curncy</stp>
        <stp>PX_LAST</stp>
        <stp>[DataSheet2.2.xlsm]AED_DATA!R11C51</stp>
        <tr r="AY11" s="18"/>
      </tp>
      <tp>
        <v>0.92</v>
        <stp/>
        <stp>##V3_BDPV12</stp>
        <stp>SRFR0FI GMGM Curncy</stp>
        <stp>LAST_PRICE</stp>
        <stp>[DataSheet2.2.xlsm]INR_DATA!R15C20</stp>
        <tr r="T15" s="54"/>
      </tp>
      <tp>
        <v>4.67</v>
        <stp/>
        <stp>##V3_BDPV12</stp>
        <stp>RRFR0CF TRSU Curncy</stp>
        <stp>LAST_PRICE</stp>
        <stp>[DataSheet2.2.xlsm]RUB_DATA!R14C20</stp>
        <tr r="T14" s="4"/>
      </tp>
      <tp>
        <v>-18</v>
        <stp/>
        <stp>##V3_BDPV12</stp>
        <stp>ILS1M ICPL Curncy</stp>
        <stp>PX_LAST</stp>
        <stp>[DataSheet2.2.xlsm]ILS_DATA!R11C51</stp>
        <tr r="AY11" s="17"/>
      </tp>
      <tp>
        <v>-3</v>
        <stp/>
        <stp>##V3_BDPV12</stp>
        <stp>ILS1W ICPL Curncy</stp>
        <stp>PX_LAST</stp>
        <stp>[DataSheet2.2.xlsm]ILS_DATA!R10C51</stp>
        <tr r="AY10" s="17"/>
      </tp>
      <tp>
        <v>0.21099999999999999</v>
        <stp/>
        <stp>##V3_BDPV12</stp>
        <stp>PZFR0AD TPRA Curncy</stp>
        <stp>MID</stp>
        <stp>[DataSheet2.2.xlsm]PLN_DATA!R7C26</stp>
        <tr r="Z7" s="12"/>
      </tp>
      <tp>
        <v>7.7504</v>
        <stp/>
        <stp>##V3_BDPV12</stp>
        <stp>USDHKD Curncy</stp>
        <stp>BID</stp>
        <stp>[DataSheet2.2.xlsm]HKD_DATA!R7C49</stp>
        <tr r="AW7" s="52"/>
      </tp>
      <tp>
        <v>-0.47099999999999997</v>
        <stp/>
        <stp>##V3_BDPV12</stp>
        <stp>EUFR0H1B ICPL Curncy</stp>
        <stp>LAST_PRICE</stp>
        <stp>[DataSheet2.3.xlsm]EUR_DATA!R18C25</stp>
        <tr r="Y18" s="31"/>
      </tp>
      <tp>
        <v>2.65</v>
        <stp/>
        <stp>##V3_BDPV12</stp>
        <stp>CGUSSWF CMPN Curncy</stp>
        <stp>ASK</stp>
        <stp>[DataSheet2.3.xlsm]CNH_DATA!R26C50</stp>
        <tr r="AX26" s="50"/>
      </tp>
      <tp>
        <v>2.6549999999999998</v>
        <stp/>
        <stp>##V3_BDPV12</stp>
        <stp>CGUSSWI CMPN Curncy</stp>
        <stp>ASK</stp>
        <stp>[DataSheet2.3.xlsm]CNH_DATA!R27C50</stp>
        <tr r="AX27" s="50"/>
      </tp>
      <tp>
        <v>2.5550000000000002</v>
        <stp/>
        <stp>##V3_BDPV12</stp>
        <stp>CGUSSWI CMPN Curncy</stp>
        <stp>BID</stp>
        <stp>[DataSheet2.3.xlsm]CNH_DATA!R27C49</stp>
        <tr r="AW27" s="50"/>
      </tp>
      <tp>
        <v>2.5499999999999998</v>
        <stp/>
        <stp>##V3_BDPV12</stp>
        <stp>CGUSSWF CMPN Curncy</stp>
        <stp>BID</stp>
        <stp>[DataSheet2.3.xlsm]CNH_DATA!R26C49</stp>
        <tr r="AW26" s="50"/>
      </tp>
      <tp>
        <v>-12.772</v>
        <stp/>
        <stp>##V3_BDPV12</stp>
        <stp>CDBS7 Curncy</stp>
        <stp>ASK</stp>
        <stp>[DataSheet2.3.xlsm]GBP_DATA!R15C42</stp>
        <tr r="AP15" s="58"/>
      </tp>
      <tp>
        <v>-22.553999999999998</v>
        <stp/>
        <stp>##V3_BDPV12</stp>
        <stp>CDBS3 Curncy</stp>
        <stp>BID</stp>
        <stp>[DataSheet2.3.xlsm]CAD_DATA!R12C41</stp>
        <tr r="AO12" s="48"/>
      </tp>
      <tp>
        <v>-20.446000000000002</v>
        <stp/>
        <stp>##V3_BDPV12</stp>
        <stp>CDBS3 Curncy</stp>
        <stp>ASK</stp>
        <stp>[DataSheet2.3.xlsm]CAD_DATA!R12C42</stp>
        <tr r="AP12" s="48"/>
      </tp>
      <tp>
        <v>-15.228</v>
        <stp/>
        <stp>##V3_BDPV12</stp>
        <stp>CDBS7 Curncy</stp>
        <stp>BID</stp>
        <stp>[DataSheet2.3.xlsm]GBP_DATA!R15C41</stp>
        <tr r="AO15" s="58"/>
      </tp>
      <tp>
        <v>1180</v>
        <stp/>
        <stp>##V3_BDPV12</stp>
        <stp>EURRON9M CCMK Curncy</stp>
        <stp>ASK</stp>
        <stp>[DataSheet2.2.xlsm]RON_DATA!R16C50</stp>
        <tr r="AX16" s="16"/>
      </tp>
      <tp>
        <v>141</v>
        <stp/>
        <stp>##V3_BDPV12</stp>
        <stp>EURRON1M CCMK Curncy</stp>
        <stp>ASK</stp>
        <stp>[DataSheet2.2.xlsm]RON_DATA!R12C50</stp>
        <tr r="AX12" s="16"/>
      </tp>
      <tp>
        <v>29.54</v>
        <stp/>
        <stp>##V3_BDPV12</stp>
        <stp>EURRON1W CCMK Curncy</stp>
        <stp>ASK</stp>
        <stp>[DataSheet2.2.xlsm]RON_DATA!R10C50</stp>
        <tr r="AX10" s="16"/>
      </tp>
      <tp>
        <v>424</v>
        <stp/>
        <stp>##V3_BDPV12</stp>
        <stp>EURRON3M CCMK Curncy</stp>
        <stp>ASK</stp>
        <stp>[DataSheet2.2.xlsm]RON_DATA!R14C50</stp>
        <tr r="AX14" s="16"/>
      </tp>
      <tp>
        <v>4750</v>
        <stp/>
        <stp>##V3_BDPV12</stp>
        <stp>EURRON3Y CCMK Curncy</stp>
        <stp>ASK</stp>
        <stp>[DataSheet2.2.xlsm]RON_DATA!R19C50</stp>
        <tr r="AX19" s="16"/>
      </tp>
      <tp>
        <v>282</v>
        <stp/>
        <stp>##V3_BDPV12</stp>
        <stp>EURRON2M CCMK Curncy</stp>
        <stp>ASK</stp>
        <stp>[DataSheet2.2.xlsm]RON_DATA!R13C50</stp>
        <tr r="AX13" s="16"/>
      </tp>
      <tp>
        <v>59.83</v>
        <stp/>
        <stp>##V3_BDPV12</stp>
        <stp>EURRON2W CCMK Curncy</stp>
        <stp>ASK</stp>
        <stp>[DataSheet2.2.xlsm]RON_DATA!R11C50</stp>
        <tr r="AX11" s="16"/>
      </tp>
      <tp>
        <v>3137</v>
        <stp/>
        <stp>##V3_BDPV12</stp>
        <stp>EURRON2Y CCMK Curncy</stp>
        <stp>ASK</stp>
        <stp>[DataSheet2.2.xlsm]RON_DATA!R18C50</stp>
        <tr r="AX18" s="16"/>
      </tp>
      <tp>
        <v>780</v>
        <stp/>
        <stp>##V3_BDPV12</stp>
        <stp>EURRON6M CCMK Curncy</stp>
        <stp>ASK</stp>
        <stp>[DataSheet2.2.xlsm]RON_DATA!R15C50</stp>
        <tr r="AX15" s="16"/>
      </tp>
      <tp>
        <v>8362</v>
        <stp/>
        <stp>##V3_BDPV12</stp>
        <stp>EURRON5Y CCMK Curncy</stp>
        <stp>ASK</stp>
        <stp>[DataSheet2.2.xlsm]RON_DATA!R20C50</stp>
        <tr r="AX20" s="16"/>
      </tp>
      <tp>
        <v>-3.875E-2</v>
        <stp/>
        <stp>##V3_BDPV12</stp>
        <stp>JYSO9 MTRT Curncy</stp>
        <stp>LAST_PRICE</stp>
        <stp>[DataSheet2.3.xlsm]JPY_DATA!R25C9</stp>
        <tr r="I25" s="46"/>
      </tp>
      <tp>
        <v>5.5</v>
        <stp/>
        <stp>##V3_BDPV12</stp>
        <stp>JYBSL9 MTRT Curncy</stp>
        <stp>LAST_PRICE</stp>
        <stp>[DataSheet2.3.xlsm]JPY_DATA!R43C9</stp>
        <tr r="I43" s="46"/>
      </tp>
      <tp>
        <v>1021</v>
        <stp/>
        <stp>##V3_BDPV12</stp>
        <stp>EURRON9M CCMK Curncy</stp>
        <stp>BID</stp>
        <stp>[DataSheet2.2.xlsm]RON_DATA!R16C49</stp>
        <tr r="AW16" s="16"/>
      </tp>
      <tp>
        <v>213</v>
        <stp/>
        <stp>##V3_BDPV12</stp>
        <stp>EURRON2M CCMK Curncy</stp>
        <stp>BID</stp>
        <stp>[DataSheet2.2.xlsm]RON_DATA!R13C49</stp>
        <tr r="AW13" s="16"/>
      </tp>
      <tp>
        <v>2932</v>
        <stp/>
        <stp>##V3_BDPV12</stp>
        <stp>EURRON2Y CCMK Curncy</stp>
        <stp>BID</stp>
        <stp>[DataSheet2.2.xlsm]RON_DATA!R18C49</stp>
        <tr r="AW18" s="16"/>
      </tp>
      <tp>
        <v>49.43</v>
        <stp/>
        <stp>##V3_BDPV12</stp>
        <stp>EURRON2W CCMK Curncy</stp>
        <stp>BID</stp>
        <stp>[DataSheet2.2.xlsm]RON_DATA!R11C49</stp>
        <tr r="AW11" s="16"/>
      </tp>
      <tp>
        <v>297</v>
        <stp/>
        <stp>##V3_BDPV12</stp>
        <stp>EURRON3M CCMK Curncy</stp>
        <stp>BID</stp>
        <stp>[DataSheet2.2.xlsm]RON_DATA!R14C49</stp>
        <tr r="AW14" s="16"/>
      </tp>
      <tp>
        <v>4435</v>
        <stp/>
        <stp>##V3_BDPV12</stp>
        <stp>EURRON3Y CCMK Curncy</stp>
        <stp>BID</stp>
        <stp>[DataSheet2.2.xlsm]RON_DATA!R19C49</stp>
        <tr r="AW19" s="16"/>
      </tp>
      <tp>
        <v>118</v>
        <stp/>
        <stp>##V3_BDPV12</stp>
        <stp>EURRON1M CCMK Curncy</stp>
        <stp>BID</stp>
        <stp>[DataSheet2.2.xlsm]RON_DATA!R12C49</stp>
        <tr r="AW12" s="16"/>
      </tp>
      <tp>
        <v>23.21</v>
        <stp/>
        <stp>##V3_BDPV12</stp>
        <stp>EURRON1W CCMK Curncy</stp>
        <stp>BID</stp>
        <stp>[DataSheet2.2.xlsm]RON_DATA!R10C49</stp>
        <tr r="AW10" s="16"/>
      </tp>
      <tp>
        <v>682</v>
        <stp/>
        <stp>##V3_BDPV12</stp>
        <stp>EURRON6M CCMK Curncy</stp>
        <stp>BID</stp>
        <stp>[DataSheet2.2.xlsm]RON_DATA!R15C49</stp>
        <tr r="AW15" s="16"/>
      </tp>
      <tp>
        <v>7229</v>
        <stp/>
        <stp>##V3_BDPV12</stp>
        <stp>EURRON5Y CCMK Curncy</stp>
        <stp>BID</stp>
        <stp>[DataSheet2.2.xlsm]RON_DATA!R20C49</stp>
        <tr r="AW20" s="16"/>
      </tp>
      <tp>
        <v>-4.7500000000000001E-2</v>
        <stp/>
        <stp>##V3_BDPV12</stp>
        <stp>JYSOD MTRT Curncy</stp>
        <stp>LAST_PRICE</stp>
        <stp>[DataSheet2.3.xlsm]JPY_DATA!R12C9</stp>
        <tr r="I12" s="46"/>
      </tp>
      <tp>
        <v>0.62</v>
        <stp/>
        <stp>##V3_BDPV12</stp>
        <stp>UDFR0CF GMGM Curncy</stp>
        <stp>LAST_PRICE</stp>
        <stp>[DataSheet2.2.xlsm]AED_DATA!R14C20</stp>
        <tr r="T14" s="18"/>
      </tp>
      <tp>
        <v>3.7858999999999998</v>
        <stp/>
        <stp>##V3_BDPV12</stp>
        <stp>USDPLN Curncy</stp>
        <stp>BID</stp>
        <stp>[DataSheet2.2.xlsm]PLN_DATA!R7C49</stp>
        <tr r="AW7" s="12"/>
      </tp>
      <tp>
        <v>0.1</v>
        <stp/>
        <stp>##V3_BDPV12</stp>
        <stp>USDHUFTN BGN Curncy</stp>
        <stp>BID</stp>
        <stp>[DataSheet2.2.xlsm]HUF_DATA!R9C49</stp>
        <tr r="AW9" s="15"/>
      </tp>
      <tp>
        <v>-0.47699999999999998</v>
        <stp/>
        <stp>##V3_BDPV12</stp>
        <stp>EUFR0K1E ICPL Curncy</stp>
        <stp>LAST_PRICE</stp>
        <stp>[DataSheet2.3.xlsm]EUR_DATA!R21C25</stp>
        <tr r="Y21" s="31"/>
      </tp>
      <tp>
        <v>2.54</v>
        <stp/>
        <stp>##V3_BDPV12</stp>
        <stp>EURHUFSN ICPL Curncy</stp>
        <stp>ASK</stp>
        <stp>[DataSheet2.2.xlsm]HUF_DATA!R26C50</stp>
        <tr r="AX26" s="15"/>
      </tp>
      <tp>
        <v>1.02</v>
        <stp/>
        <stp>##V3_BDPV12</stp>
        <stp>EURHUFTN ICPL Curncy</stp>
        <stp>ASK</stp>
        <stp>[DataSheet2.2.xlsm]HUF_DATA!R25C50</stp>
        <tr r="AX25" s="15"/>
      </tp>
      <tp>
        <v>1.01</v>
        <stp/>
        <stp>##V3_BDPV12</stp>
        <stp>EURHUFON ICPL Curncy</stp>
        <stp>ASK</stp>
        <stp>[DataSheet2.2.xlsm]HUF_DATA!R24C50</stp>
        <tr r="AX24" s="15"/>
      </tp>
      <tp>
        <v>2.2549999999999999</v>
        <stp/>
        <stp>##V3_BDPV12</stp>
        <stp>HFSW20 TPRA Curncy</stp>
        <stp>BID</stp>
        <stp>[DataSheet2.2.xlsm]HUF_DATA!R29C18</stp>
        <tr r="R29" s="15"/>
      </tp>
      <tp>
        <v>1.865</v>
        <stp/>
        <stp>##V3_BDPV12</stp>
        <stp>HFSW12 TPRA Curncy</stp>
        <stp>BID</stp>
        <stp>[DataSheet2.2.xlsm]HUF_DATA!R27C18</stp>
        <tr r="R27" s="15"/>
      </tp>
      <tp>
        <v>1.7350000000000001</v>
        <stp/>
        <stp>##V3_BDPV12</stp>
        <stp>HFSW10 TPRA Curncy</stp>
        <stp>BID</stp>
        <stp>[DataSheet2.2.xlsm]HUF_DATA!R26C18</stp>
        <tr r="R26" s="15"/>
      </tp>
      <tp>
        <v>2.0550000000000002</v>
        <stp/>
        <stp>##V3_BDPV12</stp>
        <stp>HFSW15 TPRA Curncy</stp>
        <stp>BID</stp>
        <stp>[DataSheet2.2.xlsm]HUF_DATA!R28C18</stp>
        <tr r="R28" s="15"/>
      </tp>
      <tp>
        <v>115</v>
        <stp/>
        <stp>##V3_BDPV12</stp>
        <stp>EURHUF3M ICPL Curncy</stp>
        <stp>ASK</stp>
        <stp>[DataSheet2.2.xlsm]HUF_DATA!R31C50</stp>
        <tr r="AX31" s="15"/>
      </tp>
      <tp>
        <v>14.2</v>
        <stp/>
        <stp>##V3_BDPV12</stp>
        <stp>EURHUF2W ICPL Curncy</stp>
        <stp>ASK</stp>
        <stp>[DataSheet2.2.xlsm]HUF_DATA!R28C50</stp>
        <tr r="AX28" s="15"/>
      </tp>
      <tp t="s">
        <v>#N/A N/A</v>
        <stp/>
        <stp>##V3_BDPV12</stp>
        <stp>EURHUF3Y ICPL Curncy</stp>
        <stp>ASK</stp>
        <stp>[DataSheet2.2.xlsm]HUF_DATA!R36C50</stp>
        <tr r="AX36" s="15"/>
      </tp>
      <tp>
        <v>72</v>
        <stp/>
        <stp>##V3_BDPV12</stp>
        <stp>EURHUF2M ICPL Curncy</stp>
        <stp>ASK</stp>
        <stp>[DataSheet2.2.xlsm]HUF_DATA!R30C50</stp>
        <tr r="AX30" s="15"/>
      </tp>
      <tp>
        <v>998</v>
        <stp/>
        <stp>##V3_BDPV12</stp>
        <stp>EURHUF2Y ICPL Curncy</stp>
        <stp>ASK</stp>
        <stp>[DataSheet2.2.xlsm]HUF_DATA!R35C50</stp>
        <tr r="AX35" s="15"/>
      </tp>
      <tp>
        <v>36.5</v>
        <stp/>
        <stp>##V3_BDPV12</stp>
        <stp>EURHUF1M ICPL Curncy</stp>
        <stp>ASK</stp>
        <stp>[DataSheet2.2.xlsm]HUF_DATA!R29C50</stp>
        <tr r="AX29" s="15"/>
      </tp>
      <tp>
        <v>7.03</v>
        <stp/>
        <stp>##V3_BDPV12</stp>
        <stp>EURHUF1W ICPL Curncy</stp>
        <stp>ASK</stp>
        <stp>[DataSheet2.2.xlsm]HUF_DATA!R27C50</stp>
        <tr r="AX27" s="15"/>
      </tp>
      <tp>
        <v>256</v>
        <stp/>
        <stp>##V3_BDPV12</stp>
        <stp>EURHUF6M ICPL Curncy</stp>
        <stp>ASK</stp>
        <stp>[DataSheet2.2.xlsm]HUF_DATA!R32C50</stp>
        <tr r="AX32" s="15"/>
      </tp>
      <tp t="s">
        <v>#N/A N/A</v>
        <stp/>
        <stp>##V3_BDPV12</stp>
        <stp>EURHUF5Y ICPL Curncy</stp>
        <stp>ASK</stp>
        <stp>[DataSheet2.2.xlsm]HUF_DATA!R38C50</stp>
        <tr r="AX38" s="15"/>
      </tp>
      <tp t="s">
        <v>#N/A N/A</v>
        <stp/>
        <stp>##V3_BDPV12</stp>
        <stp>EURHUF4Y ICPL Curncy</stp>
        <stp>ASK</stp>
        <stp>[DataSheet2.2.xlsm]HUF_DATA!R37C50</stp>
        <tr r="AX37" s="15"/>
      </tp>
      <tp>
        <v>372</v>
        <stp/>
        <stp>##V3_BDPV12</stp>
        <stp>EURHUF9M ICPL Curncy</stp>
        <stp>ASK</stp>
        <stp>[DataSheet2.2.xlsm]HUF_DATA!R33C50</stp>
        <tr r="AX33" s="15"/>
      </tp>
      <tp>
        <v>0.82</v>
        <stp/>
        <stp>##V3_BDPV12</stp>
        <stp>EURHUFON ICPL Curncy</stp>
        <stp>BID</stp>
        <stp>[DataSheet2.2.xlsm]HUF_DATA!R24C49</stp>
        <tr r="AW24" s="15"/>
      </tp>
      <tp>
        <v>2.2599999999999998</v>
        <stp/>
        <stp>##V3_BDPV12</stp>
        <stp>EURHUFSN ICPL Curncy</stp>
        <stp>BID</stp>
        <stp>[DataSheet2.2.xlsm]HUF_DATA!R26C49</stp>
        <tr r="AW26" s="15"/>
      </tp>
      <tp>
        <v>0.83</v>
        <stp/>
        <stp>##V3_BDPV12</stp>
        <stp>EURHUFTN ICPL Curncy</stp>
        <stp>BID</stp>
        <stp>[DataSheet2.2.xlsm]HUF_DATA!R25C49</stp>
        <tr r="AW25" s="15"/>
      </tp>
      <tp>
        <v>32.700000000000003</v>
        <stp/>
        <stp>##V3_BDPV12</stp>
        <stp>EURHUF1M ICPL Curncy</stp>
        <stp>BID</stp>
        <stp>[DataSheet2.2.xlsm]HUF_DATA!R29C49</stp>
        <tr r="AW29" s="15"/>
      </tp>
      <tp>
        <v>5.67</v>
        <stp/>
        <stp>##V3_BDPV12</stp>
        <stp>EURHUF1W ICPL Curncy</stp>
        <stp>BID</stp>
        <stp>[DataSheet2.2.xlsm]HUF_DATA!R27C49</stp>
        <tr r="AW27" s="15"/>
      </tp>
      <tp>
        <v>64</v>
        <stp/>
        <stp>##V3_BDPV12</stp>
        <stp>EURHUF2M ICPL Curncy</stp>
        <stp>BID</stp>
        <stp>[DataSheet2.2.xlsm]HUF_DATA!R30C49</stp>
        <tr r="AW30" s="15"/>
      </tp>
      <tp>
        <v>803</v>
        <stp/>
        <stp>##V3_BDPV12</stp>
        <stp>EURHUF2Y ICPL Curncy</stp>
        <stp>BID</stp>
        <stp>[DataSheet2.2.xlsm]HUF_DATA!R35C49</stp>
        <tr r="AW35" s="15"/>
      </tp>
      <tp>
        <v>108</v>
        <stp/>
        <stp>##V3_BDPV12</stp>
        <stp>EURHUF3M ICPL Curncy</stp>
        <stp>BID</stp>
        <stp>[DataSheet2.2.xlsm]HUF_DATA!R31C49</stp>
        <tr r="AW31" s="15"/>
      </tp>
      <tp>
        <v>12.7</v>
        <stp/>
        <stp>##V3_BDPV12</stp>
        <stp>EURHUF2W ICPL Curncy</stp>
        <stp>BID</stp>
        <stp>[DataSheet2.2.xlsm]HUF_DATA!R28C49</stp>
        <tr r="AW28" s="15"/>
      </tp>
      <tp t="s">
        <v>#N/A N/A</v>
        <stp/>
        <stp>##V3_BDPV12</stp>
        <stp>EURHUF3Y ICPL Curncy</stp>
        <stp>BID</stp>
        <stp>[DataSheet2.2.xlsm]HUF_DATA!R36C49</stp>
        <tr r="AW36" s="15"/>
      </tp>
      <tp t="s">
        <v>#N/A N/A</v>
        <stp/>
        <stp>##V3_BDPV12</stp>
        <stp>EURHUF4Y ICPL Curncy</stp>
        <stp>BID</stp>
        <stp>[DataSheet2.2.xlsm]HUF_DATA!R37C49</stp>
        <tr r="AW37" s="15"/>
      </tp>
      <tp t="s">
        <v>#N/A N/A</v>
        <stp/>
        <stp>##V3_BDPV12</stp>
        <stp>EURHUF5Y ICPL Curncy</stp>
        <stp>BID</stp>
        <stp>[DataSheet2.2.xlsm]HUF_DATA!R38C49</stp>
        <tr r="AW38" s="15"/>
      </tp>
      <tp>
        <v>207</v>
        <stp/>
        <stp>##V3_BDPV12</stp>
        <stp>EURHUF6M ICPL Curncy</stp>
        <stp>BID</stp>
        <stp>[DataSheet2.2.xlsm]HUF_DATA!R32C49</stp>
        <tr r="AW32" s="15"/>
      </tp>
      <tp>
        <v>340</v>
        <stp/>
        <stp>##V3_BDPV12</stp>
        <stp>EURHUF9M ICPL Curncy</stp>
        <stp>BID</stp>
        <stp>[DataSheet2.2.xlsm]HUF_DATA!R33C49</stp>
        <tr r="AW33" s="15"/>
      </tp>
      <tp>
        <v>2.0950000000000002</v>
        <stp/>
        <stp>##V3_BDPV12</stp>
        <stp>HFSW15 TPRA Curncy</stp>
        <stp>ASK</stp>
        <stp>[DataSheet2.2.xlsm]HUF_DATA!R28C19</stp>
        <tr r="S28" s="15"/>
      </tp>
      <tp>
        <v>1.7749999999999999</v>
        <stp/>
        <stp>##V3_BDPV12</stp>
        <stp>HFSW10 TPRA Curncy</stp>
        <stp>ASK</stp>
        <stp>[DataSheet2.2.xlsm]HUF_DATA!R26C19</stp>
        <tr r="S26" s="15"/>
      </tp>
      <tp>
        <v>1.905</v>
        <stp/>
        <stp>##V3_BDPV12</stp>
        <stp>HFSW12 TPRA Curncy</stp>
        <stp>ASK</stp>
        <stp>[DataSheet2.2.xlsm]HUF_DATA!R27C19</stp>
        <tr r="S27" s="15"/>
      </tp>
      <tp>
        <v>2.2949999999999999</v>
        <stp/>
        <stp>##V3_BDPV12</stp>
        <stp>HFSW20 TPRA Curncy</stp>
        <stp>ASK</stp>
        <stp>[DataSheet2.2.xlsm]HUF_DATA!R29C19</stp>
        <tr r="S29" s="15"/>
      </tp>
      <tp>
        <v>-20.013999999999999</v>
        <stp/>
        <stp>##V3_BDPV12</stp>
        <stp>CDBS4 Curncy</stp>
        <stp>BID</stp>
        <stp>[DataSheet2.3.xlsm]CAD_DATA!R13C41</stp>
        <tr r="AO13" s="48"/>
      </tp>
      <tp>
        <v>-17.986000000000001</v>
        <stp/>
        <stp>##V3_BDPV12</stp>
        <stp>CDBS4 Curncy</stp>
        <stp>ASK</stp>
        <stp>[DataSheet2.3.xlsm]CAD_DATA!R13C42</stp>
        <tr r="AP13" s="48"/>
      </tp>
      <tp>
        <v>-8.5000000000000006E-2</v>
        <stp/>
        <stp>##V3_BDPV12</stp>
        <stp>JYSO6 MTRT Curncy</stp>
        <stp>LAST_PRICE</stp>
        <stp>[DataSheet2.3.xlsm]JPY_DATA!R22C9</stp>
        <tr r="I22" s="46"/>
      </tp>
      <tp>
        <v>1.75</v>
        <stp/>
        <stp>##V3_BDPV12</stp>
        <stp>JYBSL1 MTRT Curncy</stp>
        <stp>LAST_PRICE</stp>
        <stp>[DataSheet2.3.xlsm]JPY_DATA!R34C9</stp>
        <tr r="I34" s="46"/>
      </tp>
      <tp>
        <v>4.17</v>
        <stp/>
        <stp>##V3_BDPV12</stp>
        <stp>RRSO1Z GFUN Curncy</stp>
        <stp>LAST_PRICE</stp>
        <stp>[DataSheet2.2.xlsm]RUB_DATA!R8C12</stp>
        <tr r="L8" s="4"/>
      </tp>
      <tp>
        <v>88</v>
        <stp/>
        <stp>##V3_BDPV12</stp>
        <stp>TYBS10 ICPL Curncy</stp>
        <stp>ASK</stp>
        <stp>[DataSheet2.2.xlsm]TRY_DATA!R16C42</stp>
        <tr r="AP16" s="10"/>
      </tp>
      <tp>
        <v>38</v>
        <stp/>
        <stp>##V3_BDPV12</stp>
        <stp>TYBS10 ICPL Curncy</stp>
        <stp>BID</stp>
        <stp>[DataSheet2.2.xlsm]TRY_DATA!R16C41</stp>
        <tr r="AO16" s="10"/>
      </tp>
      <tp>
        <v>-4.8750000000000002E-2</v>
        <stp/>
        <stp>##V3_BDPV12</stp>
        <stp>JYSOE MTRT Curncy</stp>
        <stp>LAST_PRICE</stp>
        <stp>[DataSheet2.3.xlsm]JPY_DATA!R13C9</stp>
        <tr r="I13" s="46"/>
      </tp>
      <tp>
        <v>-0.35</v>
        <stp/>
        <stp>##V3_BDPV12</stp>
        <stp>ILSTN ICPL Curncy</stp>
        <stp>PX_LAST</stp>
        <stp>[DataSheet2.2.xlsm]ILS_DATA!R9C51</stp>
        <tr r="AY9" s="17"/>
      </tp>
      <tp>
        <v>-0.3</v>
        <stp/>
        <stp>##V3_BDPV12</stp>
        <stp>ILSON ICPL Curncy</stp>
        <stp>PX_LAST</stp>
        <stp>[DataSheet2.2.xlsm]ILS_DATA!R8C51</stp>
        <tr r="AY8" s="17"/>
      </tp>
      <tp>
        <v>-0.47499999999999998</v>
        <stp/>
        <stp>##V3_BDPV12</stp>
        <stp>EUFR0J1D ICPL Curncy</stp>
        <stp>LAST_PRICE</stp>
        <stp>[DataSheet2.3.xlsm]EUR_DATA!R20C25</stp>
        <tr r="Y20" s="31"/>
      </tp>
      <tp>
        <v>-28.986000000000001</v>
        <stp/>
        <stp>##V3_BDPV12</stp>
        <stp>CDBS1 Curncy</stp>
        <stp>ASK</stp>
        <stp>[DataSheet2.3.xlsm]GBP_DATA!R10C42</stp>
        <tr r="AP10" s="58"/>
      </tp>
      <tp>
        <v>-17.759</v>
        <stp/>
        <stp>##V3_BDPV12</stp>
        <stp>CDBS5 Curncy</stp>
        <stp>BID</stp>
        <stp>[DataSheet2.3.xlsm]CAD_DATA!R14C41</stp>
        <tr r="AO14" s="48"/>
      </tp>
      <tp>
        <v>-15.741</v>
        <stp/>
        <stp>##V3_BDPV12</stp>
        <stp>CDBS5 Curncy</stp>
        <stp>ASK</stp>
        <stp>[DataSheet2.3.xlsm]CAD_DATA!R14C42</stp>
        <tr r="AP14" s="48"/>
      </tp>
      <tp>
        <v>-31.013999999999999</v>
        <stp/>
        <stp>##V3_BDPV12</stp>
        <stp>CDBS1 Curncy</stp>
        <stp>BID</stp>
        <stp>[DataSheet2.3.xlsm]GBP_DATA!R10C41</stp>
        <tr r="AO10" s="58"/>
      </tp>
      <tp>
        <v>-7.3749999999999996E-2</v>
        <stp/>
        <stp>##V3_BDPV12</stp>
        <stp>JYSO7 MTRT Curncy</stp>
        <stp>LAST_PRICE</stp>
        <stp>[DataSheet2.3.xlsm]JPY_DATA!R23C9</stp>
        <tr r="I23" s="46"/>
      </tp>
      <tp>
        <v>-4.3749999999999997E-2</v>
        <stp/>
        <stp>##V3_BDPV12</stp>
        <stp>JYSOB MTRT Curncy</stp>
        <stp>LAST_PRICE</stp>
        <stp>[DataSheet2.3.xlsm]JPY_DATA!R10C9</stp>
        <tr r="I10" s="46"/>
      </tp>
      <tp>
        <v>0.42</v>
        <stp/>
        <stp>##V3_BDPV12</stp>
        <stp>UDFR0AD GMGM Curncy</stp>
        <stp>LAST_PRICE</stp>
        <stp>[DataSheet2.2.xlsm]AED_DATA!R12C20</stp>
        <tr r="T12" s="18"/>
      </tp>
      <tp>
        <v>4.72</v>
        <stp/>
        <stp>##V3_BDPV12</stp>
        <stp>RRFR00C TRSU Curncy</stp>
        <stp>LAST_PRICE</stp>
        <stp>[DataSheet2.2.xlsm]RUB_DATA!R11C20</stp>
        <tr r="T11" s="4"/>
      </tp>
      <tp>
        <v>3.32</v>
        <stp/>
        <stp>##V3_BDPV12</stp>
        <stp>EURRONTN CCMK Curncy</stp>
        <stp>BID</stp>
        <stp>[DataSheet2.2.xlsm]RON_DATA!R9C49</stp>
        <tr r="AW9" s="16"/>
      </tp>
      <tp>
        <v>3.15</v>
        <stp/>
        <stp>##V3_BDPV12</stp>
        <stp>EURRONON CCMK Curncy</stp>
        <stp>BID</stp>
        <stp>[DataSheet2.2.xlsm]RON_DATA!R8C49</stp>
        <tr r="AW8" s="16"/>
      </tp>
      <tp>
        <v>360.5</v>
        <stp/>
        <stp>##V3_BDPV12</stp>
        <stp>EURRON3M CCMK Curncy</stp>
        <stp>LAST_PRICE</stp>
        <stp>[DataSheet2.2.xlsm]RON_DATA!R14C51</stp>
        <tr r="AY14" s="16"/>
      </tp>
      <tp>
        <v>247.5</v>
        <stp/>
        <stp>##V3_BDPV12</stp>
        <stp>EURRON2M CCMK Curncy</stp>
        <stp>LAST_PRICE</stp>
        <stp>[DataSheet2.2.xlsm]RON_DATA!R13C51</stp>
        <tr r="AY13" s="16"/>
      </tp>
      <tp>
        <v>129.5</v>
        <stp/>
        <stp>##V3_BDPV12</stp>
        <stp>EURRON1M CCMK Curncy</stp>
        <stp>LAST_PRICE</stp>
        <stp>[DataSheet2.2.xlsm]RON_DATA!R12C51</stp>
        <tr r="AY12" s="16"/>
      </tp>
      <tp>
        <v>731</v>
        <stp/>
        <stp>##V3_BDPV12</stp>
        <stp>EURRON6M CCMK Curncy</stp>
        <stp>LAST_PRICE</stp>
        <stp>[DataSheet2.2.xlsm]RON_DATA!R15C51</stp>
        <tr r="AY15" s="16"/>
      </tp>
      <tp>
        <v>1100.5</v>
        <stp/>
        <stp>##V3_BDPV12</stp>
        <stp>EURRON9M CCMK Curncy</stp>
        <stp>LAST_PRICE</stp>
        <stp>[DataSheet2.2.xlsm]RON_DATA!R16C51</stp>
        <tr r="AY16" s="16"/>
      </tp>
      <tp>
        <v>6.8479000000000001</v>
        <stp/>
        <stp>##V3_BDPV12</stp>
        <stp>USDCNH Curncy</stp>
        <stp>BID</stp>
        <stp>[DataSheet2.3.xlsm]CNH_DATA!R7C49</stp>
        <tr r="AW7" s="50"/>
      </tp>
      <tp>
        <v>1.3229</v>
        <stp/>
        <stp>##V3_BDPV12</stp>
        <stp>USDCAD Curncy</stp>
        <stp>ASK</stp>
        <stp>[DataSheet2.3.xlsm]CAD_DATA!R7C50</stp>
        <tr r="AX7" s="48"/>
      </tp>
      <tp>
        <v>1.3229</v>
        <stp/>
        <stp>##V3_BDPV12</stp>
        <stp>USDCAD Curncy</stp>
        <stp>ASK</stp>
        <stp>[DataSheet2.3.xlsm]GBP_DATA!R7C50</stp>
        <tr r="AX7" s="58"/>
      </tp>
      <tp>
        <v>-24.49</v>
        <stp/>
        <stp>##V3_BDPV12</stp>
        <stp>CDBS2 Curncy</stp>
        <stp>ASK</stp>
        <stp>[DataSheet2.3.xlsm]GBP_DATA!R11C42</stp>
        <tr r="AP11" s="58"/>
      </tp>
      <tp>
        <v>2.46</v>
        <stp/>
        <stp>##V3_BDPV12</stp>
        <stp>CGUSSW7 ICHK Curncy</stp>
        <stp>BID</stp>
        <stp>[DataSheet2.3.xlsm]CNH_DATA!R32C49</stp>
        <tr r="AW32" s="50"/>
      </tp>
      <tp>
        <v>2.4700000000000002</v>
        <stp/>
        <stp>##V3_BDPV12</stp>
        <stp>CGUSSW5 ICHK Curncy</stp>
        <stp>BID</stp>
        <stp>[DataSheet2.3.xlsm]CNH_DATA!R31C49</stp>
        <tr r="AW31" s="50"/>
      </tp>
      <tp>
        <v>2.5099999999999998</v>
        <stp/>
        <stp>##V3_BDPV12</stp>
        <stp>CGUSSW3 ICHK Curncy</stp>
        <stp>BID</stp>
        <stp>[DataSheet2.3.xlsm]CNH_DATA!R30C49</stp>
        <tr r="AW30" s="50"/>
      </tp>
      <tp>
        <v>2.54</v>
        <stp/>
        <stp>##V3_BDPV12</stp>
        <stp>CGUSSW1 ICHK Curncy</stp>
        <stp>BID</stp>
        <stp>[DataSheet2.3.xlsm]CNH_DATA!R28C49</stp>
        <tr r="AW28" s="50"/>
      </tp>
      <tp>
        <v>2.5299999999999998</v>
        <stp/>
        <stp>##V3_BDPV12</stp>
        <stp>CGUSSW2 ICHK Curncy</stp>
        <stp>BID</stp>
        <stp>[DataSheet2.3.xlsm]CNH_DATA!R29C49</stp>
        <tr r="AW29" s="50"/>
      </tp>
      <tp>
        <v>-26.51</v>
        <stp/>
        <stp>##V3_BDPV12</stp>
        <stp>CDBS2 Curncy</stp>
        <stp>BID</stp>
        <stp>[DataSheet2.3.xlsm]GBP_DATA!R11C41</stp>
        <tr r="AO11" s="58"/>
      </tp>
      <tp>
        <v>2.59</v>
        <stp/>
        <stp>##V3_BDPV12</stp>
        <stp>CGUSSW2 ICHK Curncy</stp>
        <stp>ASK</stp>
        <stp>[DataSheet2.3.xlsm]CNH_DATA!R29C50</stp>
        <tr r="AX29" s="50"/>
      </tp>
      <tp>
        <v>2.6</v>
        <stp/>
        <stp>##V3_BDPV12</stp>
        <stp>CGUSSW1 ICHK Curncy</stp>
        <stp>ASK</stp>
        <stp>[DataSheet2.3.xlsm]CNH_DATA!R28C50</stp>
        <tr r="AX28" s="50"/>
      </tp>
      <tp>
        <v>2.57</v>
        <stp/>
        <stp>##V3_BDPV12</stp>
        <stp>CGUSSW3 ICHK Curncy</stp>
        <stp>ASK</stp>
        <stp>[DataSheet2.3.xlsm]CNH_DATA!R30C50</stp>
        <tr r="AX30" s="50"/>
      </tp>
      <tp>
        <v>2.5299999999999998</v>
        <stp/>
        <stp>##V3_BDPV12</stp>
        <stp>CGUSSW5 ICHK Curncy</stp>
        <stp>ASK</stp>
        <stp>[DataSheet2.3.xlsm]CNH_DATA!R31C50</stp>
        <tr r="AX31" s="50"/>
      </tp>
      <tp>
        <v>2.52</v>
        <stp/>
        <stp>##V3_BDPV12</stp>
        <stp>CGUSSW7 ICHK Curncy</stp>
        <stp>ASK</stp>
        <stp>[DataSheet2.3.xlsm]CNH_DATA!R32C50</stp>
        <tr r="AX32" s="50"/>
      </tp>
      <tp>
        <v>-9.375E-2</v>
        <stp/>
        <stp>##V3_BDPV12</stp>
        <stp>JYSO4 MTRT Curncy</stp>
        <stp>LAST_PRICE</stp>
        <stp>[DataSheet2.3.xlsm]JPY_DATA!R20C9</stp>
        <tr r="I20" s="46"/>
      </tp>
      <tp>
        <v>3.625</v>
        <stp/>
        <stp>##V3_BDPV12</stp>
        <stp>JYBSL2 MTRT Curncy</stp>
        <stp>LAST_PRICE</stp>
        <stp>[DataSheet2.3.xlsm]JPY_DATA!R36C9</stp>
        <tr r="I36" s="46"/>
      </tp>
      <tp>
        <v>-4.4999999999999998E-2</v>
        <stp/>
        <stp>##V3_BDPV12</stp>
        <stp>JYSOC MTRT Curncy</stp>
        <stp>LAST_PRICE</stp>
        <stp>[DataSheet2.3.xlsm]JPY_DATA!R11C9</stp>
        <tr r="I11" s="46"/>
      </tp>
      <tp>
        <v>0.52</v>
        <stp/>
        <stp>##V3_BDPV12</stp>
        <stp>UDFR0BE GMGM Curncy</stp>
        <stp>LAST_PRICE</stp>
        <stp>[DataSheet2.2.xlsm]AED_DATA!R13C20</stp>
        <tr r="T13" s="18"/>
      </tp>
      <tp>
        <v>3.3250000000000002</v>
        <stp/>
        <stp>##V3_BDPV12</stp>
        <stp>SAFR0FI ICPL Curncy</stp>
        <stp>LAST_PRICE</stp>
        <stp>[DataSheet2.2.xlsm]ZAR_DATA!R14C20</stp>
        <tr r="T14" s="8"/>
      </tp>
      <tp>
        <v>0.24129999999999999</v>
        <stp/>
        <stp>##V3_BDPV12</stp>
        <stp>USSWAP1 CMPN Curncy</stp>
        <stp>LAST_PRICE</stp>
        <stp>[DataSheet2.3.xlsm]USD_DATA!R39C9</stp>
        <tr r="I39" s="6"/>
      </tp>
      <tp>
        <v>-34.5</v>
        <stp/>
        <stp>##V3_BDPV12</stp>
        <stp>CKEUBS8 ICPL Curncy</stp>
        <stp>BID</stp>
        <stp>[DataSheet2.2.xlsm]CZK_DATA!R15C41</stp>
        <tr r="AO15" s="14"/>
      </tp>
      <tp>
        <v>-34</v>
        <stp/>
        <stp>##V3_BDPV12</stp>
        <stp>CKEUBS9 ICPL Curncy</stp>
        <stp>BID</stp>
        <stp>[DataSheet2.2.xlsm]CZK_DATA!R16C41</stp>
        <tr r="AO16" s="14"/>
      </tp>
      <tp>
        <v>-40</v>
        <stp/>
        <stp>##V3_BDPV12</stp>
        <stp>CKEUBS4 ICPL Curncy</stp>
        <stp>BID</stp>
        <stp>[DataSheet2.2.xlsm]CZK_DATA!R11C41</stp>
        <tr r="AO11" s="14"/>
      </tp>
      <tp>
        <v>-36.5</v>
        <stp/>
        <stp>##V3_BDPV12</stp>
        <stp>CKEUBS6 ICPL Curncy</stp>
        <stp>BID</stp>
        <stp>[DataSheet2.2.xlsm]CZK_DATA!R13C41</stp>
        <tr r="AO13" s="14"/>
      </tp>
      <tp>
        <v>-38</v>
        <stp/>
        <stp>##V3_BDPV12</stp>
        <stp>CKEUBS5 ICPL Curncy</stp>
        <stp>BID</stp>
        <stp>[DataSheet2.2.xlsm]CZK_DATA!R12C41</stp>
        <tr r="AO12" s="14"/>
      </tp>
      <tp>
        <v>-41</v>
        <stp/>
        <stp>##V3_BDPV12</stp>
        <stp>CKEUBS3 ICPL Curncy</stp>
        <stp>BID</stp>
        <stp>[DataSheet2.2.xlsm]CZK_DATA!R10C41</stp>
        <tr r="AO10" s="14"/>
      </tp>
      <tp>
        <v>-35.5</v>
        <stp/>
        <stp>##V3_BDPV12</stp>
        <stp>CKEUBS7 ICPL Curncy</stp>
        <stp>BID</stp>
        <stp>[DataSheet2.2.xlsm]CZK_DATA!R14C41</stp>
        <tr r="AO14" s="14"/>
      </tp>
      <tp>
        <v>-31</v>
        <stp/>
        <stp>##V3_BDPV12</stp>
        <stp>CKEUBS3 ICPL Curncy</stp>
        <stp>ASK</stp>
        <stp>[DataSheet2.2.xlsm]CZK_DATA!R10C42</stp>
        <tr r="AP10" s="14"/>
      </tp>
      <tp>
        <v>-25.5</v>
        <stp/>
        <stp>##V3_BDPV12</stp>
        <stp>CKEUBS7 ICPL Curncy</stp>
        <stp>ASK</stp>
        <stp>[DataSheet2.2.xlsm]CZK_DATA!R14C42</stp>
        <tr r="AP14" s="14"/>
      </tp>
      <tp>
        <v>-28</v>
        <stp/>
        <stp>##V3_BDPV12</stp>
        <stp>CKEUBS5 ICPL Curncy</stp>
        <stp>ASK</stp>
        <stp>[DataSheet2.2.xlsm]CZK_DATA!R12C42</stp>
        <tr r="AP12" s="14"/>
      </tp>
      <tp>
        <v>-30</v>
        <stp/>
        <stp>##V3_BDPV12</stp>
        <stp>CKEUBS4 ICPL Curncy</stp>
        <stp>ASK</stp>
        <stp>[DataSheet2.2.xlsm]CZK_DATA!R11C42</stp>
        <tr r="AP11" s="14"/>
      </tp>
      <tp>
        <v>-26.5</v>
        <stp/>
        <stp>##V3_BDPV12</stp>
        <stp>CKEUBS6 ICPL Curncy</stp>
        <stp>ASK</stp>
        <stp>[DataSheet2.2.xlsm]CZK_DATA!R13C42</stp>
        <tr r="AP13" s="14"/>
      </tp>
      <tp>
        <v>-24</v>
        <stp/>
        <stp>##V3_BDPV12</stp>
        <stp>CKEUBS9 ICPL Curncy</stp>
        <stp>ASK</stp>
        <stp>[DataSheet2.2.xlsm]CZK_DATA!R16C42</stp>
        <tr r="AP16" s="14"/>
      </tp>
      <tp>
        <v>-24.5</v>
        <stp/>
        <stp>##V3_BDPV12</stp>
        <stp>CKEUBS8 ICPL Curncy</stp>
        <stp>ASK</stp>
        <stp>[DataSheet2.2.xlsm]CZK_DATA!R15C42</stp>
        <tr r="AP15" s="14"/>
      </tp>
      <tp>
        <v>-20.446000000000002</v>
        <stp/>
        <stp>##V3_BDPV12</stp>
        <stp>CDBS3 Curncy</stp>
        <stp>ASK</stp>
        <stp>[DataSheet2.3.xlsm]GBP_DATA!R12C42</stp>
        <tr r="AP12" s="58"/>
      </tp>
      <tp>
        <v>-15.228</v>
        <stp/>
        <stp>##V3_BDPV12</stp>
        <stp>CDBS7 Curncy</stp>
        <stp>BID</stp>
        <stp>[DataSheet2.3.xlsm]CAD_DATA!R15C41</stp>
        <tr r="AO15" s="48"/>
      </tp>
      <tp>
        <v>-12.772</v>
        <stp/>
        <stp>##V3_BDPV12</stp>
        <stp>CDBS7 Curncy</stp>
        <stp>ASK</stp>
        <stp>[DataSheet2.3.xlsm]CAD_DATA!R15C42</stp>
        <tr r="AP15" s="48"/>
      </tp>
      <tp>
        <v>-22.553999999999998</v>
        <stp/>
        <stp>##V3_BDPV12</stp>
        <stp>CDBS3 Curncy</stp>
        <stp>BID</stp>
        <stp>[DataSheet2.3.xlsm]GBP_DATA!R12C41</stp>
        <tr r="AO12" s="58"/>
      </tp>
      <tp>
        <v>-9.2499999999999999E-2</v>
        <stp/>
        <stp>##V3_BDPV12</stp>
        <stp>JYSO5 MTRT Curncy</stp>
        <stp>LAST_PRICE</stp>
        <stp>[DataSheet2.3.xlsm]JPY_DATA!R21C9</stp>
        <tr r="I21" s="46"/>
      </tp>
      <tp>
        <v>4.375</v>
        <stp/>
        <stp>##V3_BDPV12</stp>
        <stp>JYBSL3 MTRT Curncy</stp>
        <stp>LAST_PRICE</stp>
        <stp>[DataSheet2.3.xlsm]JPY_DATA!R37C9</stp>
        <tr r="I37" s="46"/>
      </tp>
      <tp>
        <v>-756.01</v>
        <stp/>
        <stp>##V3_BDPV12</stp>
        <stp>JPY7Y BGN Curncy</stp>
        <stp>LAST_PRICE</stp>
        <stp>[DataSheet2.3.xlsm]JPY_DATA!R29C41</stp>
        <tr r="AO29" s="46"/>
      </tp>
      <tp>
        <v>7.25</v>
        <stp/>
        <stp>##V3_BDPV12</stp>
        <stp>HFEBS8 ICPL Curncy</stp>
        <stp>LAST_PRICE</stp>
        <stp>[DataSheet2.2.xlsm]HUF_DATA!R14C43</stp>
        <tr r="AQ14" s="15"/>
      </tp>
      <tp>
        <v>1</v>
        <stp/>
        <stp>##V3_BDPV12</stp>
        <stp>HFBSV8 ICPL Curncy</stp>
        <stp>LAST_PRICE</stp>
        <stp>[DataSheet2.2.xlsm]HUF_DATA!R22C25</stp>
        <tr r="Y22" s="15"/>
      </tp>
      <tp>
        <v>6.3266999999999998</v>
        <stp/>
        <stp>##V3_BDPV12</stp>
        <stp>USDDKK Curncy</stp>
        <stp>LAST_PRICE</stp>
        <stp>[DataSheet2.3.xlsm]FX!R2C8</stp>
        <tr r="H2" s="20"/>
      </tp>
      <tp>
        <v>11.125</v>
        <stp/>
        <stp>##V3_BDPV12</stp>
        <stp>USBA30 ICPL Curncy</stp>
        <stp>LAST_PRICE</stp>
        <stp>[DataSheet2.3.xlsm]USD_DATA!R21C27</stp>
        <tr r="AA21" s="6"/>
      </tp>
      <tp>
        <v>10.875</v>
        <stp/>
        <stp>##V3_BDPV12</stp>
        <stp>USBA20 ICPL Curncy</stp>
        <stp>LAST_PRICE</stp>
        <stp>[DataSheet2.3.xlsm]USD_DATA!R19C27</stp>
        <tr r="AA19" s="6"/>
      </tp>
      <tp>
        <v>10.25</v>
        <stp/>
        <stp>##V3_BDPV12</stp>
        <stp>USBA10 ICPL Curncy</stp>
        <stp>LAST_PRICE</stp>
        <stp>[DataSheet2.3.xlsm]USD_DATA!R16C27</stp>
        <tr r="AA16" s="6"/>
      </tp>
      <tp>
        <v>13.75</v>
        <stp/>
        <stp>##V3_BDPV12</stp>
        <stp>USBC20 ICPL Curncy</stp>
        <stp>LAST_PRICE</stp>
        <stp>[DataSheet2.3.xlsm]USD_DATA!R19C22</stp>
        <tr r="V19" s="6"/>
      </tp>
      <tp>
        <v>12.5</v>
        <stp/>
        <stp>##V3_BDPV12</stp>
        <stp>USBC10 ICPL Curncy</stp>
        <stp>LAST_PRICE</stp>
        <stp>[DataSheet2.3.xlsm]USD_DATA!R16C22</stp>
        <tr r="V16" s="6"/>
      </tp>
      <tp>
        <v>13.875</v>
        <stp/>
        <stp>##V3_BDPV12</stp>
        <stp>USBC30 ICPL Curncy</stp>
        <stp>LAST_PRICE</stp>
        <stp>[DataSheet2.3.xlsm]USD_DATA!R21C22</stp>
        <tr r="V21" s="6"/>
      </tp>
      <tp>
        <v>5.77</v>
        <stp/>
        <stp>##V3_BDPV12</stp>
        <stp>RRSWM6 TRPU Curncy</stp>
        <stp>LAST_PRICE</stp>
        <stp>[DataSheet2.2.xlsm]RUB_DATA!R23C20</stp>
        <tr r="T23" s="4"/>
      </tp>
      <tp>
        <v>3.2</v>
        <stp/>
        <stp>##V3_BDPV12</stp>
        <stp>CGSWH1 TPRA Curncy</stp>
        <stp>LAST_PRICE</stp>
        <stp>[DataSheet2.3.xlsm]BRL_DATA!R14C20</stp>
        <tr r="T14" s="59"/>
      </tp>
      <tp>
        <v>0.97570000000000001</v>
        <stp/>
        <stp>##V3_BDPV12</stp>
        <stp>USSWAP20 CMPN Curncy</stp>
        <stp>LAST_PRICE</stp>
        <stp>[DataSheet2.3.xlsm]USD_DATA!R48C9</stp>
        <tr r="I48" s="6"/>
      </tp>
      <tp>
        <v>13.7498</v>
        <stp/>
        <stp>##V3_BDPV12</stp>
        <stp>TYSOF BGN Curncy</stp>
        <stp>ASK</stp>
        <stp>[DataSheet2.2.xlsm]TRY_DATA!R13C11</stp>
        <tr r="K13" s="10"/>
      </tp>
      <tp>
        <v>13.450200000000001</v>
        <stp/>
        <stp>##V3_BDPV12</stp>
        <stp>TYSOF BGN Curncy</stp>
        <stp>BID</stp>
        <stp>[DataSheet2.2.xlsm]TRY_DATA!R13C10</stp>
        <tr r="J13" s="10"/>
      </tp>
      <tp>
        <v>1.98</v>
        <stp/>
        <stp>##V3_BDPV12</stp>
        <stp>RNSW9 CCMK Curncy</stp>
        <stp>LAST_PRICE</stp>
        <stp>[DataSheet2.2.xlsm]RON_DATA!R20C20</stp>
        <tr r="T20" s="16"/>
      </tp>
      <tp>
        <v>1.276</v>
        <stp/>
        <stp>##V3_BDPV12</stp>
        <stp>SRSW3 GMGM Curncy</stp>
        <stp>LAST_PRICE</stp>
        <stp>[DataSheet2.2.xlsm]SAR_DATA!R19C20</stp>
        <tr r="T19" s="19"/>
      </tp>
      <tp>
        <v>-56</v>
        <stp/>
        <stp>##V3_BDPV12</stp>
        <stp>ISBS3 ICPL Curncy</stp>
        <stp>ASK</stp>
        <stp>[DataSheet2.2.xlsm]ILS_DATA!R9C42</stp>
        <tr r="AP9" s="17"/>
      </tp>
      <tp>
        <v>-65.2</v>
        <stp/>
        <stp>##V3_BDPV12</stp>
        <stp>JPY12M BGN Curncy</stp>
        <stp>LAST_PRICE</stp>
        <stp>[DataSheet2.3.xlsm]JPY_DATA!R20C41</stp>
        <tr r="AO20" s="46"/>
      </tp>
      <tp>
        <v>13412</v>
        <stp/>
        <stp>##V3_BDPV12</stp>
        <stp>TRY12M BGN Curncy</stp>
        <stp>LAST_PRICE</stp>
        <stp>[DataSheet2.2.xlsm]TRY_DATA!R19C51</stp>
        <tr r="AY19" s="10"/>
      </tp>
      <tp>
        <v>-5.03</v>
        <stp/>
        <stp>##V3_BDPV12</stp>
        <stp>CAD12M BGN Curncy</stp>
        <stp>LAST_PRICE</stp>
        <stp>[DataSheet2.3.xlsm]CAD_DATA!R17C51</stp>
        <tr r="AY17" s="48"/>
      </tp>
      <tp>
        <v>-34.119999999999997</v>
        <stp/>
        <stp>##V3_BDPV12</stp>
        <stp>JPY6M BGN Curncy</stp>
        <stp>LAST_PRICE</stp>
        <stp>[DataSheet2.3.xlsm]JPY_DATA!R18C41</stp>
        <tr r="AO18" s="46"/>
      </tp>
      <tp>
        <v>804.96</v>
        <stp/>
        <stp>##V3_BDPV12</stp>
        <stp>BCN12M BGN Curncy</stp>
        <stp>LAST_PRICE</stp>
        <stp>[DataSheet2.3.xlsm]BRL_DATA!R15C51</stp>
        <tr r="AY15" s="59"/>
      </tp>
      <tp>
        <v>-601.6</v>
        <stp/>
        <stp>##V3_BDPV12</stp>
        <stp>JPY6Y BGN Curncy</stp>
        <stp>LAST_PRICE</stp>
        <stp>[DataSheet2.3.xlsm]JPY_DATA!R28C41</stp>
        <tr r="AO28" s="46"/>
      </tp>
      <tp>
        <v>7</v>
        <stp/>
        <stp>##V3_BDPV12</stp>
        <stp>HFEBS9 ICPL Curncy</stp>
        <stp>LAST_PRICE</stp>
        <stp>[DataSheet2.2.xlsm]HUF_DATA!R15C43</stp>
        <tr r="AQ15" s="15"/>
      </tp>
      <tp>
        <v>1</v>
        <stp/>
        <stp>##V3_BDPV12</stp>
        <stp>HFBSV9 ICPL Curncy</stp>
        <stp>LAST_PRICE</stp>
        <stp>[DataSheet2.2.xlsm]HUF_DATA!R23C25</stp>
        <tr r="Y23" s="15"/>
      </tp>
      <tp>
        <v>3.2</v>
        <stp/>
        <stp>##V3_BDPV12</stp>
        <stp>CGSWH1 TPRA Curncy</stp>
        <stp>LAST_PRICE</stp>
        <stp>[DataSheet2.3.xlsm]CNH_DATA!R14C20</stp>
        <tr r="T14" s="50"/>
      </tp>
      <tp>
        <v>5.93</v>
        <stp/>
        <stp>##V3_BDPV12</stp>
        <stp>RRSWM7 TRPU Curncy</stp>
        <stp>LAST_PRICE</stp>
        <stp>[DataSheet2.2.xlsm]RUB_DATA!R24C20</stp>
        <tr r="T24" s="4"/>
      </tp>
      <tp>
        <v>1.0141</v>
        <stp/>
        <stp>##V3_BDPV12</stp>
        <stp>USSWAP25 CMPN Curncy</stp>
        <stp>LAST_PRICE</stp>
        <stp>[DataSheet2.3.xlsm]USD_DATA!R49C9</stp>
        <tr r="I49" s="6"/>
      </tp>
      <tp>
        <v>0.15</v>
        <stp/>
        <stp>##V3_BDPV12</stp>
        <stp>CKSO1 FMDR Curncy</stp>
        <stp>LAST_PRICE</stp>
        <stp>[DataSheet2.2.xlsm]CZK_DATA!R15C12</stp>
        <tr r="L15" s="14"/>
      </tp>
      <tp>
        <v>1.1850000000000001</v>
        <stp/>
        <stp>##V3_BDPV12</stp>
        <stp>CKSW20 BGN Curncy</stp>
        <stp>LAST_PRICE</stp>
        <stp>[DataSheet2.2.xlsm]CZK_DATA!R29C20</stp>
        <tr r="T29" s="14"/>
      </tp>
      <tp>
        <v>1.95</v>
        <stp/>
        <stp>##V3_BDPV12</stp>
        <stp>RNSW8 CCMK Curncy</stp>
        <stp>LAST_PRICE</stp>
        <stp>[DataSheet2.2.xlsm]RON_DATA!R19C20</stp>
        <tr r="T19" s="16"/>
      </tp>
      <tp>
        <v>0.23699999999999999</v>
        <stp/>
        <stp>##V3_BDPV12</stp>
        <stp>CDSO1 FMDR Curncy</stp>
        <stp>LAST_PRICE</stp>
        <stp>[DataSheet2.3.xlsm]CAD_DATA!R15C12</stp>
        <tr r="L15" s="48"/>
      </tp>
      <tp>
        <v>1.085</v>
        <stp/>
        <stp>##V3_BDPV12</stp>
        <stp>SRSW2 GMGM Curncy</stp>
        <stp>LAST_PRICE</stp>
        <stp>[DataSheet2.2.xlsm]SAR_DATA!R18C20</stp>
        <tr r="T18" s="19"/>
      </tp>
      <tp>
        <v>-55</v>
        <stp/>
        <stp>##V3_BDPV12</stp>
        <stp>ISBS2 ICPL Curncy</stp>
        <stp>ASK</stp>
        <stp>[DataSheet2.2.xlsm]ILS_DATA!R8C42</stp>
        <tr r="AP8" s="17"/>
      </tp>
      <tp>
        <v>1.4105000000000001</v>
        <stp/>
        <stp>##V3_BDPV12</stp>
        <stp>CDSW20 BGN Curncy</stp>
        <stp>LAST_PRICE</stp>
        <stp>[DataSheet2.3.xlsm]CAD_DATA!R26C20</stp>
        <tr r="T26" s="48"/>
      </tp>
      <tp>
        <v>-121.3</v>
        <stp/>
        <stp>##V3_BDPV12</stp>
        <stp>JPY21M BGN Curncy</stp>
        <stp>LAST_PRICE</stp>
        <stp>[DataSheet2.3.xlsm]JPY_DATA!R23C41</stp>
        <tr r="AO23" s="46"/>
      </tp>
      <tp>
        <v>-30.27</v>
        <stp/>
        <stp>##V3_BDPV12</stp>
        <stp>JPY5M BGN Curncy</stp>
        <stp>LAST_PRICE</stp>
        <stp>[DataSheet2.3.xlsm]JPY_DATA!R17C41</stp>
        <tr r="AO17" s="46"/>
      </tp>
      <tp>
        <v>-460.41</v>
        <stp/>
        <stp>##V3_BDPV12</stp>
        <stp>JPY5Y BGN Curncy</stp>
        <stp>LAST_PRICE</stp>
        <stp>[DataSheet2.3.xlsm]JPY_DATA!R27C41</stp>
        <tr r="AO27" s="46"/>
      </tp>
      <tp>
        <v>4.0599999999999996</v>
        <stp/>
        <stp>##V3_BDPV12</stp>
        <stp>RRSO2Z BGN Curncy</stp>
        <stp>BID</stp>
        <stp>[DataSheet2.2.xlsm]RUB_DATA!R9C10</stp>
        <tr r="J9" s="4"/>
      </tp>
      <tp>
        <v>10.375</v>
        <stp/>
        <stp>##V3_BDPV12</stp>
        <stp>USBA12 ICPL Curncy</stp>
        <stp>LAST_PRICE</stp>
        <stp>[DataSheet2.3.xlsm]USD_DATA!R17C27</stp>
        <tr r="AA17" s="6"/>
      </tp>
      <tp>
        <v>13</v>
        <stp/>
        <stp>##V3_BDPV12</stp>
        <stp>USBC12 ICPL Curncy</stp>
        <stp>LAST_PRICE</stp>
        <stp>[DataSheet2.3.xlsm]USD_DATA!R17C22</stp>
        <tr r="V17" s="6"/>
      </tp>
      <tp>
        <v>3.3</v>
        <stp/>
        <stp>##V3_BDPV12</stp>
        <stp>CGSWH2 TPRA Curncy</stp>
        <stp>LAST_PRICE</stp>
        <stp>[DataSheet2.3.xlsm]CNH_DATA!R15C20</stp>
        <tr r="T15" s="50"/>
      </tp>
      <tp>
        <v>5.43</v>
        <stp/>
        <stp>##V3_BDPV12</stp>
        <stp>RRSWM4 TRPU Curncy</stp>
        <stp>LAST_PRICE</stp>
        <stp>[DataSheet2.2.xlsm]RUB_DATA!R21C20</stp>
        <tr r="T21" s="4"/>
      </tp>
      <tp>
        <v>11</v>
        <stp/>
        <stp>##V3_BDPV12</stp>
        <stp>CKBSV8 ICPL Curncy</stp>
        <stp>LAST_PRICE</stp>
        <stp>[DataSheet2.3.xlsm]GBP_DATA!R22C25</stp>
        <tr r="Y22" s="58"/>
      </tp>
      <tp>
        <v>3.6</v>
        <stp/>
        <stp>##V3_BDPV12</stp>
        <stp>CGSWH3 TPRA Curncy</stp>
        <stp>LAST_PRICE</stp>
        <stp>[DataSheet2.3.xlsm]BRL_DATA!R16C20</stp>
        <tr r="T16" s="59"/>
      </tp>
      <tp>
        <v>1.0149999999999999</v>
        <stp/>
        <stp>##V3_BDPV12</stp>
        <stp>CKSW10 BGN Curncy</stp>
        <stp>LAST_PRICE</stp>
        <stp>[DataSheet2.2.xlsm]CZK_DATA!R26C20</stp>
        <tr r="T26" s="14"/>
      </tp>
      <tp>
        <v>1.04</v>
        <stp/>
        <stp>##V3_BDPV12</stp>
        <stp>CKSW12 BGN Curncy</stp>
        <stp>LAST_PRICE</stp>
        <stp>[DataSheet2.2.xlsm]CZK_DATA!R27C20</stp>
        <tr r="T27" s="14"/>
      </tp>
      <tp>
        <v>1.155</v>
        <stp/>
        <stp>##V3_BDPV12</stp>
        <stp>CKSW15 BGN Curncy</stp>
        <stp>LAST_PRICE</stp>
        <stp>[DataSheet2.2.xlsm]CZK_DATA!R28C20</stp>
        <tr r="T28" s="14"/>
      </tp>
      <tp>
        <v>0.85</v>
        <stp/>
        <stp>##V3_BDPV12</stp>
        <stp>UDSW3 TPRA Curncy</stp>
        <stp>LAST_PRICE</stp>
        <stp>[DataSheet2.3.xlsm]BRL_DATA!R19C20</stp>
        <tr r="T19" s="59"/>
      </tp>
      <tp>
        <v>12.32</v>
        <stp/>
        <stp>##V3_BDPV12</stp>
        <stp>TYSO10 BGN Curncy</stp>
        <stp>LAST_PRICE</stp>
        <stp>[DataSheet2.2.xlsm]TRY_DATA!R24C12</stp>
        <tr r="L24" s="10"/>
      </tp>
      <tp>
        <v>0.92900000000000005</v>
        <stp/>
        <stp>##V3_BDPV12</stp>
        <stp>SRSW1 GMGM Curncy</stp>
        <stp>LAST_PRICE</stp>
        <stp>[DataSheet2.2.xlsm]SAR_DATA!R17C20</stp>
        <tr r="T17" s="19"/>
      </tp>
      <tp>
        <v>-53</v>
        <stp/>
        <stp>##V3_BDPV12</stp>
        <stp>ISBS1 ICPL Curncy</stp>
        <stp>ASK</stp>
        <stp>[DataSheet2.2.xlsm]ILS_DATA!R7C42</stp>
        <tr r="AP7" s="17"/>
      </tp>
      <tp>
        <v>1.29</v>
        <stp/>
        <stp>##V3_BDPV12</stp>
        <stp>CDSW15 BGN Curncy</stp>
        <stp>LAST_PRICE</stp>
        <stp>[DataSheet2.3.xlsm]CAD_DATA!R25C20</stp>
        <tr r="T25" s="48"/>
      </tp>
      <tp>
        <v>1.0457000000000001</v>
        <stp/>
        <stp>##V3_BDPV12</stp>
        <stp>CDSW10 BGN Curncy</stp>
        <stp>LAST_PRICE</stp>
        <stp>[DataSheet2.3.xlsm]CAD_DATA!R23C20</stp>
        <tr r="T23" s="48"/>
      </tp>
      <tp>
        <v>1.1536</v>
        <stp/>
        <stp>##V3_BDPV12</stp>
        <stp>CDSW12 BGN Curncy</stp>
        <stp>LAST_PRICE</stp>
        <stp>[DataSheet2.3.xlsm]CAD_DATA!R24C20</stp>
        <tr r="T24" s="48"/>
      </tp>
      <tp>
        <v>42250.21</v>
        <stp/>
        <stp>##V3_BDPV12</stp>
        <stp>BCN10Y BGN Curncy</stp>
        <stp>LAST_PRICE</stp>
        <stp>[DataSheet2.3.xlsm]BRL_DATA!R21C51</stp>
        <tr r="AY21" s="59"/>
      </tp>
      <tp>
        <v>-26.09</v>
        <stp/>
        <stp>##V3_BDPV12</stp>
        <stp>JPY4M BGN Curncy</stp>
        <stp>LAST_PRICE</stp>
        <stp>[DataSheet2.3.xlsm]JPY_DATA!R16C41</stp>
        <tr r="AO16" s="46"/>
      </tp>
      <tp>
        <v>-7.01</v>
        <stp/>
        <stp>##V3_BDPV12</stp>
        <stp>CAD9M BGN Curncy</stp>
        <stp>LAST_PRICE</stp>
        <stp>[DataSheet2.3.xlsm]GBP_DATA!R16C51</stp>
        <tr r="AY16" s="58"/>
      </tp>
      <tp>
        <v>-1232.3699999999999</v>
        <stp/>
        <stp>##V3_BDPV12</stp>
        <stp>JPY10Y BGN Curncy</stp>
        <stp>LAST_PRICE</stp>
        <stp>[DataSheet2.3.xlsm]JPY_DATA!R32C41</stp>
        <tr r="AO32" s="46"/>
      </tp>
      <tp>
        <v>343.96</v>
        <stp/>
        <stp>##V3_BDPV12</stp>
        <stp>CAD10Y BGN Curncy</stp>
        <stp>LAST_PRICE</stp>
        <stp>[DataSheet2.3.xlsm]CAD_DATA!R24C51</stp>
        <tr r="AY24" s="48"/>
      </tp>
      <tp>
        <v>-105.72</v>
        <stp/>
        <stp>##V3_BDPV12</stp>
        <stp>JPY18M BGN Curncy</stp>
        <stp>BID</stp>
        <stp>[DataSheet2.3.xlsm]JPY_DATA!R22C39</stp>
        <tr r="AM22" s="46"/>
      </tp>
      <tp>
        <v>-65.86</v>
        <stp/>
        <stp>##V3_BDPV12</stp>
        <stp>JPY12M BGN Curncy</stp>
        <stp>BID</stp>
        <stp>[DataSheet2.3.xlsm]JPY_DATA!R20C39</stp>
        <tr r="AM20" s="46"/>
      </tp>
      <tp>
        <v>-83.97</v>
        <stp/>
        <stp>##V3_BDPV12</stp>
        <stp>JPY15M BGN Curncy</stp>
        <stp>BID</stp>
        <stp>[DataSheet2.3.xlsm]JPY_DATA!R21C39</stp>
        <tr r="AM21" s="46"/>
      </tp>
      <tp>
        <v>-124.2</v>
        <stp/>
        <stp>##V3_BDPV12</stp>
        <stp>JPY21M BGN Curncy</stp>
        <stp>BID</stp>
        <stp>[DataSheet2.3.xlsm]JPY_DATA!R23C39</stp>
        <tr r="AM23" s="46"/>
      </tp>
      <tp>
        <v>-334.9</v>
        <stp/>
        <stp>##V3_BDPV12</stp>
        <stp>JPY4Y BGN Curncy</stp>
        <stp>LAST_PRICE</stp>
        <stp>[DataSheet2.3.xlsm]JPY_DATA!R26C41</stp>
        <tr r="AO26" s="46"/>
      </tp>
      <tp>
        <v>-118.4</v>
        <stp/>
        <stp>##V3_BDPV12</stp>
        <stp>JPY21M BGN Curncy</stp>
        <stp>ASK</stp>
        <stp>[DataSheet2.3.xlsm]JPY_DATA!R23C40</stp>
        <tr r="AN23" s="46"/>
      </tp>
      <tp>
        <v>-80.25</v>
        <stp/>
        <stp>##V3_BDPV12</stp>
        <stp>JPY15M BGN Curncy</stp>
        <stp>ASK</stp>
        <stp>[DataSheet2.3.xlsm]JPY_DATA!R21C40</stp>
        <tr r="AN21" s="46"/>
      </tp>
      <tp>
        <v>-64.540000000000006</v>
        <stp/>
        <stp>##V3_BDPV12</stp>
        <stp>JPY12M BGN Curncy</stp>
        <stp>ASK</stp>
        <stp>[DataSheet2.3.xlsm]JPY_DATA!R20C40</stp>
        <tr r="AN20" s="46"/>
      </tp>
      <tp>
        <v>-100.88</v>
        <stp/>
        <stp>##V3_BDPV12</stp>
        <stp>JPY18M BGN Curncy</stp>
        <stp>ASK</stp>
        <stp>[DataSheet2.3.xlsm]JPY_DATA!R22C40</stp>
        <tr r="AN22" s="46"/>
      </tp>
      <tp>
        <v>3.6</v>
        <stp/>
        <stp>##V3_BDPV12</stp>
        <stp>CGSWH3 TPRA Curncy</stp>
        <stp>LAST_PRICE</stp>
        <stp>[DataSheet2.3.xlsm]CNH_DATA!R16C20</stp>
        <tr r="T16" s="50"/>
      </tp>
      <tp>
        <v>0.91849999999999998</v>
        <stp/>
        <stp>##V3_BDPV12</stp>
        <stp>USDCHF Curncy</stp>
        <stp>LAST_PRICE</stp>
        <stp>[DataSheet2.3.xlsm]FX!R2C5</stp>
        <tr r="E2" s="20"/>
      </tp>
      <tp>
        <v>5.6</v>
        <stp/>
        <stp>##V3_BDPV12</stp>
        <stp>RRSWM5 TRPU Curncy</stp>
        <stp>LAST_PRICE</stp>
        <stp>[DataSheet2.2.xlsm]RUB_DATA!R22C20</stp>
        <tr r="T22" s="4"/>
      </tp>
      <tp>
        <v>12.75</v>
        <stp/>
        <stp>##V3_BDPV12</stp>
        <stp>CKBSV9 ICPL Curncy</stp>
        <stp>LAST_PRICE</stp>
        <stp>[DataSheet2.3.xlsm]GBP_DATA!R23C25</stp>
        <tr r="Y23" s="58"/>
      </tp>
      <tp>
        <v>3.3</v>
        <stp/>
        <stp>##V3_BDPV12</stp>
        <stp>CGSWH2 TPRA Curncy</stp>
        <stp>LAST_PRICE</stp>
        <stp>[DataSheet2.3.xlsm]BRL_DATA!R15C20</stp>
        <tr r="T15" s="59"/>
      </tp>
      <tp>
        <v>-200</v>
        <stp/>
        <stp>##V3_BDPV12</stp>
        <stp>RRBS15 TRPU Curncy</stp>
        <stp>LAST_PRICE</stp>
        <stp>[DataSheet2.2.xlsm]RUB_DATA!R16C43</stp>
        <tr r="AQ16" s="4"/>
      </tp>
      <tp>
        <v>0.02</v>
        <stp/>
        <stp>##V3_BDPV12</stp>
        <stp>PZSO1 BLC3 Curncy</stp>
        <stp>BID</stp>
        <stp>[DataSheet2.2.xlsm]PLN_DATA!R15C10</stp>
        <tr r="J15" s="12"/>
      </tp>
      <tp>
        <v>0.02</v>
        <stp/>
        <stp>##V3_BDPV12</stp>
        <stp>PZSOF BLC3 Curncy</stp>
        <stp>BID</stp>
        <stp>[DataSheet2.2.xlsm]PLN_DATA!R13C10</stp>
        <tr r="J13" s="12"/>
      </tp>
      <tp>
        <v>0.02</v>
        <stp/>
        <stp>##V3_BDPV12</stp>
        <stp>PZSOA BLC3 Curncy</stp>
        <stp>BID</stp>
        <stp>[DataSheet2.2.xlsm]PLN_DATA!R10C10</stp>
        <tr r="J10" s="12"/>
      </tp>
      <tp>
        <v>0.02</v>
        <stp/>
        <stp>##V3_BDPV12</stp>
        <stp>PZSOC BLC3 Curncy</stp>
        <stp>BID</stp>
        <stp>[DataSheet2.2.xlsm]PLN_DATA!R12C10</stp>
        <tr r="J12" s="12"/>
      </tp>
      <tp>
        <v>0.02</v>
        <stp/>
        <stp>##V3_BDPV12</stp>
        <stp>PZSOB BLC3 Curncy</stp>
        <stp>BID</stp>
        <stp>[DataSheet2.2.xlsm]PLN_DATA!R11C10</stp>
        <tr r="J11" s="12"/>
      </tp>
      <tp>
        <v>0.02</v>
        <stp/>
        <stp>##V3_BDPV12</stp>
        <stp>PZSOI BLC3 Curncy</stp>
        <stp>BID</stp>
        <stp>[DataSheet2.2.xlsm]PLN_DATA!R14C10</stp>
        <tr r="J14" s="12"/>
      </tp>
      <tp>
        <v>0.02</v>
        <stp/>
        <stp>##V3_BDPV12</stp>
        <stp>PZSO1 BLC3 Curncy</stp>
        <stp>ASK</stp>
        <stp>[DataSheet2.2.xlsm]PLN_DATA!R15C11</stp>
        <tr r="K15" s="12"/>
      </tp>
      <tp>
        <v>0.02</v>
        <stp/>
        <stp>##V3_BDPV12</stp>
        <stp>PZSOI BLC3 Curncy</stp>
        <stp>ASK</stp>
        <stp>[DataSheet2.2.xlsm]PLN_DATA!R14C11</stp>
        <tr r="K14" s="12"/>
      </tp>
      <tp>
        <v>0.02</v>
        <stp/>
        <stp>##V3_BDPV12</stp>
        <stp>PZSOB BLC3 Curncy</stp>
        <stp>ASK</stp>
        <stp>[DataSheet2.2.xlsm]PLN_DATA!R11C11</stp>
        <tr r="K11" s="12"/>
      </tp>
      <tp>
        <v>0.02</v>
        <stp/>
        <stp>##V3_BDPV12</stp>
        <stp>PZSOA BLC3 Curncy</stp>
        <stp>ASK</stp>
        <stp>[DataSheet2.2.xlsm]PLN_DATA!R10C11</stp>
        <tr r="K10" s="12"/>
      </tp>
      <tp>
        <v>0.02</v>
        <stp/>
        <stp>##V3_BDPV12</stp>
        <stp>PZSOC BLC3 Curncy</stp>
        <stp>ASK</stp>
        <stp>[DataSheet2.2.xlsm]PLN_DATA!R12C11</stp>
        <tr r="K12" s="12"/>
      </tp>
      <tp>
        <v>0.02</v>
        <stp/>
        <stp>##V3_BDPV12</stp>
        <stp>PZSOF BLC3 Curncy</stp>
        <stp>ASK</stp>
        <stp>[DataSheet2.2.xlsm]PLN_DATA!R13C11</stp>
        <tr r="K13" s="12"/>
      </tp>
      <tp>
        <v>-12.9</v>
        <stp/>
        <stp>##V3_BDPV12</stp>
        <stp>JPY3M BGN Curncy</stp>
        <stp>LAST_PRICE</stp>
        <stp>[DataSheet2.3.xlsm]JPY_DATA!R15C41</stp>
        <tr r="AO15" s="46"/>
      </tp>
      <tp>
        <v>-3.72</v>
        <stp/>
        <stp>##V3_BDPV12</stp>
        <stp>JPY3W BGN Curncy</stp>
        <stp>LAST_PRICE</stp>
        <stp>[DataSheet2.3.xlsm]JPY_DATA!R12C41</stp>
        <tr r="AO12" s="46"/>
      </tp>
      <tp>
        <v>9.75</v>
        <stp/>
        <stp>##V3_BDPV12</stp>
        <stp>TYSO2Z BGN Curncy</stp>
        <stp>BID</stp>
        <stp>[DataSheet2.2.xlsm]TRY_DATA!R9C10</stp>
        <tr r="J9" s="10"/>
      </tp>
      <tp>
        <v>-228.8</v>
        <stp/>
        <stp>##V3_BDPV12</stp>
        <stp>JPY3Y BGN Curncy</stp>
        <stp>LAST_PRICE</stp>
        <stp>[DataSheet2.3.xlsm]JPY_DATA!R25C41</stp>
        <tr r="AO25" s="46"/>
      </tp>
      <tp>
        <v>9.1206999999999994</v>
        <stp/>
        <stp>##V3_BDPV12</stp>
        <stp>USDNOK Curncy</stp>
        <stp>LAST_PRICE</stp>
        <stp>[DataSheet2.3.xlsm]FX!R2C9</stp>
        <tr r="I2" s="20"/>
      </tp>
      <tp>
        <v>3.6</v>
        <stp/>
        <stp>##V3_BDPV12</stp>
        <stp>CGSWH4 TPRA Curncy</stp>
        <stp>LAST_PRICE</stp>
        <stp>[DataSheet2.3.xlsm]CNH_DATA!R17C20</stp>
        <tr r="T17" s="50"/>
      </tp>
      <tp>
        <v>5.03</v>
        <stp/>
        <stp>##V3_BDPV12</stp>
        <stp>RRSWM2 TRPU Curncy</stp>
        <stp>LAST_PRICE</stp>
        <stp>[DataSheet2.2.xlsm]RUB_DATA!R19C20</stp>
        <tr r="T19" s="4"/>
      </tp>
      <tp>
        <v>17</v>
        <stp/>
        <stp>##V3_BDPV12</stp>
        <stp>SRBS10 GFID Curncy</stp>
        <stp>LAST_PRICE</stp>
        <stp>[DataSheet2.2.xlsm]INR_DATA!R17C25</stp>
        <tr r="Y17" s="54"/>
      </tp>
      <tp>
        <v>9</v>
        <stp/>
        <stp>##V3_BDPV12</stp>
        <stp>PZBSV8 ICPL Curncy</stp>
        <stp>LAST_PRICE</stp>
        <stp>[DataSheet2.2.xlsm]PLN_DATA!R21C25</stp>
        <tr r="Y21" s="12"/>
      </tp>
      <tp>
        <v>3.6</v>
        <stp/>
        <stp>##V3_BDPV12</stp>
        <stp>CGSWH5 TPRA Curncy</stp>
        <stp>LAST_PRICE</stp>
        <stp>[DataSheet2.3.xlsm]BRL_DATA!R18C20</stp>
        <tr r="T18" s="59"/>
      </tp>
      <tp>
        <v>-197</v>
        <stp/>
        <stp>##V3_BDPV12</stp>
        <stp>RRBS12 TRPU Curncy</stp>
        <stp>LAST_PRICE</stp>
        <stp>[DataSheet2.2.xlsm]RUB_DATA!R15C43</stp>
        <tr r="AQ15" s="4"/>
      </tp>
      <tp>
        <v>11.5</v>
        <stp/>
        <stp>##V3_BDPV12</stp>
        <stp>TYSOB BGN Curncy</stp>
        <stp>ASK</stp>
        <stp>[DataSheet2.2.xlsm]TRY_DATA!R11C11</stp>
        <tr r="K11" s="10"/>
      </tp>
      <tp>
        <v>11.2</v>
        <stp/>
        <stp>##V3_BDPV12</stp>
        <stp>TYSOB BGN Curncy</stp>
        <stp>BID</stp>
        <stp>[DataSheet2.2.xlsm]TRY_DATA!R11C10</stp>
        <tr r="J11" s="10"/>
      </tp>
      <tp>
        <v>4</v>
        <stp/>
        <stp>##V3_BDPV12</stp>
        <stp>RUONIA Index</stp>
        <stp>BID</stp>
        <stp>[DataSheet2.2.xlsm]RUB_DATA!R7C10</stp>
        <tr r="J7" s="4"/>
      </tp>
      <tp>
        <v>30.125</v>
        <stp/>
        <stp>##V3_BDPV12</stp>
        <stp>USBL5 PREB Curncy</stp>
        <stp>LAST_PRICE</stp>
        <stp>[DataSheet2.3.xlsm]USD_DATA!R11C32</stp>
        <tr r="AF11" s="6"/>
      </tp>
      <tp>
        <v>-57.5</v>
        <stp/>
        <stp>##V3_BDPV12</stp>
        <stp>SRUSSW2 GMGM Curncy</stp>
        <stp>PX_LAST</stp>
        <stp>[DataSheet2.2.xlsm]INR_DATA!R8C43</stp>
        <tr r="AQ8" s="54"/>
      </tp>
      <tp>
        <v>-0.09</v>
        <stp/>
        <stp>##V3_BDPV12</stp>
        <stp>JYFR1/4 MTRT Curncy</stp>
        <stp>PX_LAST</stp>
        <stp>[DataSheet2.3.xlsm]JPY_DATA!R7C17</stp>
        <tr r="Q7" s="46"/>
      </tp>
      <tp>
        <v>-57.5</v>
        <stp/>
        <stp>##V3_BDPV12</stp>
        <stp>SRUSSW2 GMGM Curncy</stp>
        <stp>PX_LAST</stp>
        <stp>[DataSheet2.2.xlsm]SAR_DATA!R8C43</stp>
        <tr r="AQ8" s="19"/>
      </tp>
      <tp>
        <v>10.75</v>
        <stp/>
        <stp>##V3_BDPV12</stp>
        <stp>PZBSEC2 ICPL Curncy</stp>
        <stp>PX_LAST</stp>
        <stp>[DataSheet2.2.xlsm]PLN_DATA!R8C43</stp>
        <tr r="AQ8" s="12"/>
      </tp>
      <tp>
        <v>2.0089999999999999</v>
        <stp/>
        <stp>##V3_BDPV12</stp>
        <stp>SRSW7 GMGM Curncy</stp>
        <stp>LAST_PRICE</stp>
        <stp>[DataSheet2.2.xlsm]SAR_DATA!R23C20</stp>
        <tr r="T23" s="19"/>
      </tp>
      <tp>
        <v>-5.03</v>
        <stp/>
        <stp>##V3_BDPV12</stp>
        <stp>CAD12M BGN Curncy</stp>
        <stp>LAST_PRICE</stp>
        <stp>[DataSheet2.3.xlsm]GBP_DATA!R17C51</stp>
        <tr r="AY17" s="58"/>
      </tp>
      <tp>
        <v>-9.09</v>
        <stp/>
        <stp>##V3_BDPV12</stp>
        <stp>JPY2M BGN Curncy</stp>
        <stp>LAST_PRICE</stp>
        <stp>[DataSheet2.3.xlsm]JPY_DATA!R14C41</stp>
        <tr r="AO14" s="46"/>
      </tp>
      <tp>
        <v>-140</v>
        <stp/>
        <stp>##V3_BDPV12</stp>
        <stp>JPY2Y BGN Curncy</stp>
        <stp>LAST_PRICE</stp>
        <stp>[DataSheet2.3.xlsm]JPY_DATA!R24C41</stp>
        <tr r="AO24" s="46"/>
      </tp>
      <tp>
        <v>11.125</v>
        <stp/>
        <stp>##V3_BDPV12</stp>
        <stp>USBA25 ICPL Curncy</stp>
        <stp>LAST_PRICE</stp>
        <stp>[DataSheet2.3.xlsm]USD_DATA!R20C27</stp>
        <tr r="AA20" s="6"/>
      </tp>
      <tp>
        <v>10.5</v>
        <stp/>
        <stp>##V3_BDPV12</stp>
        <stp>USBA15 ICPL Curncy</stp>
        <stp>LAST_PRICE</stp>
        <stp>[DataSheet2.3.xlsm]USD_DATA!R18C27</stp>
        <tr r="AA18" s="6"/>
      </tp>
      <tp>
        <v>13.375</v>
        <stp/>
        <stp>##V3_BDPV12</stp>
        <stp>USBC15 ICPL Curncy</stp>
        <stp>LAST_PRICE</stp>
        <stp>[DataSheet2.3.xlsm]USD_DATA!R18C22</stp>
        <tr r="V18" s="6"/>
      </tp>
      <tp>
        <v>13.75</v>
        <stp/>
        <stp>##V3_BDPV12</stp>
        <stp>USBC25 ICPL Curncy</stp>
        <stp>LAST_PRICE</stp>
        <stp>[DataSheet2.3.xlsm]USD_DATA!R20C22</stp>
        <tr r="V20" s="6"/>
      </tp>
      <tp>
        <v>3.6</v>
        <stp/>
        <stp>##V3_BDPV12</stp>
        <stp>CGSWH5 TPRA Curncy</stp>
        <stp>LAST_PRICE</stp>
        <stp>[DataSheet2.3.xlsm]CNH_DATA!R18C20</stp>
        <tr r="T18" s="50"/>
      </tp>
      <tp>
        <v>5.23</v>
        <stp/>
        <stp>##V3_BDPV12</stp>
        <stp>RRSWM3 TRPU Curncy</stp>
        <stp>LAST_PRICE</stp>
        <stp>[DataSheet2.2.xlsm]RUB_DATA!R20C20</stp>
        <tr r="T20" s="4"/>
      </tp>
      <tp>
        <v>9.25</v>
        <stp/>
        <stp>##V3_BDPV12</stp>
        <stp>PZBSV9 ICPL Curncy</stp>
        <stp>LAST_PRICE</stp>
        <stp>[DataSheet2.2.xlsm]PLN_DATA!R22C25</stp>
        <tr r="Y22" s="12"/>
      </tp>
      <tp>
        <v>3.6</v>
        <stp/>
        <stp>##V3_BDPV12</stp>
        <stp>CGSWH4 TPRA Curncy</stp>
        <stp>LAST_PRICE</stp>
        <stp>[DataSheet2.3.xlsm]BRL_DATA!R17C20</stp>
        <tr r="T17" s="59"/>
      </tp>
      <tp>
        <v>12.4499</v>
        <stp/>
        <stp>##V3_BDPV12</stp>
        <stp>TYSOC BGN Curncy</stp>
        <stp>ASK</stp>
        <stp>[DataSheet2.2.xlsm]TRY_DATA!R12C11</stp>
        <tr r="K12" s="10"/>
      </tp>
      <tp>
        <v>12.1501</v>
        <stp/>
        <stp>##V3_BDPV12</stp>
        <stp>TYSOC BGN Curncy</stp>
        <stp>BID</stp>
        <stp>[DataSheet2.2.xlsm]TRY_DATA!R12C10</stp>
        <tr r="J12" s="10"/>
      </tp>
      <tp>
        <v>28.875</v>
        <stp/>
        <stp>##V3_BDPV12</stp>
        <stp>USBL4 PREB Curncy</stp>
        <stp>LAST_PRICE</stp>
        <stp>[DataSheet2.3.xlsm]USD_DATA!R10C32</stp>
        <tr r="AF10" s="6"/>
      </tp>
      <tp t="s">
        <v>16/03/2022</v>
        <stp/>
        <stp>##V3_BDPV12</stp>
        <stp>ERH2 Comdty</stp>
        <stp>INT_RATE_FUT_START_DT</stp>
        <stp>[DataSheet2.3.xlsm]EUR_DATA!R18C18</stp>
        <tr r="R18" s="31"/>
      </tp>
      <tp t="s">
        <v>17/03/2021</v>
        <stp/>
        <stp>##V3_BDPV12</stp>
        <stp>ERH1 Comdty</stp>
        <stp>INT_RATE_FUT_START_DT</stp>
        <stp>[DataSheet2.3.xlsm]EUR_DATA!R14C18</stp>
        <tr r="R14" s="31"/>
      </tp>
      <tp t="s">
        <v>16/06/2021</v>
        <stp/>
        <stp>##V3_BDPV12</stp>
        <stp>ERM1 Comdty</stp>
        <stp>INT_RATE_FUT_START_DT</stp>
        <stp>[DataSheet2.3.xlsm]EUR_DATA!R15C18</stp>
        <tr r="R15" s="31"/>
      </tp>
      <tp t="s">
        <v>17/06/2020</v>
        <stp/>
        <stp>##V3_BDPV12</stp>
        <stp>ERM0 Comdty</stp>
        <stp>INT_RATE_FUT_START_DT</stp>
        <stp>[DataSheet2.3.xlsm]EUR_DATA!R11C18</stp>
        <tr r="R11" s="31"/>
      </tp>
      <tp>
        <v>-65.5</v>
        <stp/>
        <stp>##V3_BDPV12</stp>
        <stp>SRUSSW3 GMGM Curncy</stp>
        <stp>PX_LAST</stp>
        <stp>[DataSheet2.2.xlsm]INR_DATA!R9C43</stp>
        <tr r="AQ9" s="54"/>
      </tp>
      <tp>
        <v>0.23699999999999999</v>
        <stp/>
        <stp>##V3_BDPV12</stp>
        <stp>CDSO1 FMDR Curncy</stp>
        <stp>LAST_PRICE</stp>
        <stp>[DataSheet2.3.xlsm]GBP_DATA!R15C12</stp>
        <tr r="L15" s="58"/>
      </tp>
      <tp>
        <v>-0.09</v>
        <stp/>
        <stp>##V3_BDPV12</stp>
        <stp>JYFR2/5 MTRT Curncy</stp>
        <stp>PX_LAST</stp>
        <stp>[DataSheet2.3.xlsm]JPY_DATA!R8C17</stp>
        <tr r="Q8" s="46"/>
      </tp>
      <tp>
        <v>-65.5</v>
        <stp/>
        <stp>##V3_BDPV12</stp>
        <stp>SRUSSW3 GMGM Curncy</stp>
        <stp>PX_LAST</stp>
        <stp>[DataSheet2.2.xlsm]SAR_DATA!R9C43</stp>
        <tr r="AQ9" s="19"/>
      </tp>
      <tp t="s">
        <v>15/09/2021</v>
        <stp/>
        <stp>##V3_BDPV12</stp>
        <stp>ERU1 Comdty</stp>
        <stp>INT_RATE_FUT_START_DT</stp>
        <stp>[DataSheet2.3.xlsm]EUR_DATA!R16C18</stp>
        <tr r="R16" s="31"/>
      </tp>
      <tp t="s">
        <v>16/09/2020</v>
        <stp/>
        <stp>##V3_BDPV12</stp>
        <stp>ERU0 Comdty</stp>
        <stp>INT_RATE_FUT_START_DT</stp>
        <stp>[DataSheet2.3.xlsm]EUR_DATA!R12C18</stp>
        <tr r="R12" s="31"/>
      </tp>
      <tp>
        <v>13.75</v>
        <stp/>
        <stp>##V3_BDPV12</stp>
        <stp>PZBSEC3 ICPL Curncy</stp>
        <stp>PX_LAST</stp>
        <stp>[DataSheet2.2.xlsm]PLN_DATA!R9C43</stp>
        <tr r="AQ9" s="12"/>
      </tp>
      <tp>
        <v>6.8000000000000005E-2</v>
        <stp/>
        <stp>##V3_BDPV12</stp>
        <stp>TELBOR09 Index</stp>
        <stp>LAST_PRICE</stp>
        <stp>[DataSheet2.2.xlsm]ILS_DATA!R11C20</stp>
        <tr r="T11" s="17"/>
      </tp>
      <tp>
        <v>6.7000000000000004E-2</v>
        <stp/>
        <stp>##V3_BDPV12</stp>
        <stp>TELBOR12 Index</stp>
        <stp>LAST_PRICE</stp>
        <stp>[DataSheet2.2.xlsm]ILS_DATA!R12C20</stp>
        <tr r="T12" s="17"/>
      </tp>
      <tp>
        <v>1.845</v>
        <stp/>
        <stp>##V3_BDPV12</stp>
        <stp>SRSW6 GMGM Curncy</stp>
        <stp>LAST_PRICE</stp>
        <stp>[DataSheet2.2.xlsm]SAR_DATA!R22C20</stp>
        <tr r="T22" s="19"/>
      </tp>
      <tp t="s">
        <v>15/12/2021</v>
        <stp/>
        <stp>##V3_BDPV12</stp>
        <stp>ERZ1 Comdty</stp>
        <stp>INT_RATE_FUT_START_DT</stp>
        <stp>[DataSheet2.3.xlsm]EUR_DATA!R17C18</stp>
        <tr r="R17" s="31"/>
      </tp>
      <tp t="s">
        <v>16/12/2020</v>
        <stp/>
        <stp>##V3_BDPV12</stp>
        <stp>ERZ0 Comdty</stp>
        <stp>INT_RATE_FUT_START_DT</stp>
        <stp>[DataSheet2.3.xlsm]EUR_DATA!R13C18</stp>
        <tr r="R13" s="31"/>
      </tp>
      <tp>
        <v>1.4105000000000001</v>
        <stp/>
        <stp>##V3_BDPV12</stp>
        <stp>CDSW20 BGN Curncy</stp>
        <stp>LAST_PRICE</stp>
        <stp>[DataSheet2.3.xlsm]GBP_DATA!R26C20</stp>
        <tr r="T26" s="58"/>
      </tp>
      <tp>
        <v>0.02</v>
        <stp/>
        <stp>##V3_BDPV12</stp>
        <stp>PZSO1 BLC3 Curncy</stp>
        <stp>LAST_PRICE</stp>
        <stp>[DataSheet2.2.xlsm]PLN_DATA!R15C12</stp>
        <tr r="L15" s="12"/>
      </tp>
      <tp>
        <v>549.26</v>
        <stp/>
        <stp>##V3_BDPV12</stp>
        <stp>BCN9M BGN Curncy</stp>
        <stp>LAST_PRICE</stp>
        <stp>[DataSheet2.3.xlsm]BRL_DATA!R14C51</stp>
        <tr r="AY14" s="59"/>
      </tp>
      <tp>
        <v>-82.11</v>
        <stp/>
        <stp>##V3_BDPV12</stp>
        <stp>JPY15M BGN Curncy</stp>
        <stp>LAST_PRICE</stp>
        <stp>[DataSheet2.3.xlsm]JPY_DATA!R21C41</stp>
        <tr r="AO21" s="46"/>
      </tp>
      <tp>
        <v>-5.21</v>
        <stp/>
        <stp>##V3_BDPV12</stp>
        <stp>JPY1M BGN Curncy</stp>
        <stp>LAST_PRICE</stp>
        <stp>[DataSheet2.3.xlsm]JPY_DATA!R13C41</stp>
        <tr r="AO13" s="46"/>
      </tp>
      <tp>
        <v>11</v>
        <stp/>
        <stp>##V3_BDPV12</stp>
        <stp>CKBSV8 ICPL Curncy</stp>
        <stp>LAST_PRICE</stp>
        <stp>[DataSheet2.2.xlsm]CZK_DATA!R22C25</stp>
        <tr r="Y22" s="14"/>
      </tp>
      <tp>
        <v>11</v>
        <stp/>
        <stp>##V3_BDPV12</stp>
        <stp>CKBSV8 ICPL Curncy</stp>
        <stp>LAST_PRICE</stp>
        <stp>[DataSheet2.3.xlsm]CAD_DATA!R22C25</stp>
        <tr r="Y22" s="48"/>
      </tp>
      <tp>
        <v>-187</v>
        <stp/>
        <stp>##V3_BDPV12</stp>
        <stp>RRBS10 TRPU Curncy</stp>
        <stp>LAST_PRICE</stp>
        <stp>[DataSheet2.2.xlsm]RUB_DATA!R14C43</stp>
        <tr r="AQ14" s="4"/>
      </tp>
      <tp>
        <v>-200</v>
        <stp/>
        <stp>##V3_BDPV12</stp>
        <stp>RRBS20 TRPU Curncy</stp>
        <stp>LAST_PRICE</stp>
        <stp>[DataSheet2.2.xlsm]RUB_DATA!R17C43</stp>
        <tr r="AQ17" s="4"/>
      </tp>
      <tp>
        <v>31.625</v>
        <stp/>
        <stp>##V3_BDPV12</stp>
        <stp>USBL7 PREB Curncy</stp>
        <stp>LAST_PRICE</stp>
        <stp>[DataSheet2.3.xlsm]USD_DATA!R12C32</stp>
        <tr r="AF12" s="6"/>
      </tp>
      <tp>
        <v>-0.09</v>
        <stp/>
        <stp>##V3_BDPV12</stp>
        <stp>JYFR3/6 MTRT Curncy</stp>
        <stp>PX_LAST</stp>
        <stp>[DataSheet2.3.xlsm]JPY_DATA!R9C17</stp>
        <tr r="Q9" s="46"/>
      </tp>
      <tp>
        <v>1.655</v>
        <stp/>
        <stp>##V3_BDPV12</stp>
        <stp>SRSW5 GMGM Curncy</stp>
        <stp>LAST_PRICE</stp>
        <stp>[DataSheet2.2.xlsm]SAR_DATA!R21C20</stp>
        <tr r="T21" s="19"/>
      </tp>
      <tp>
        <v>1.29</v>
        <stp/>
        <stp>##V3_BDPV12</stp>
        <stp>CDSW15 BGN Curncy</stp>
        <stp>LAST_PRICE</stp>
        <stp>[DataSheet2.3.xlsm]GBP_DATA!R25C20</stp>
        <tr r="T25" s="58"/>
      </tp>
      <tp>
        <v>1.1536</v>
        <stp/>
        <stp>##V3_BDPV12</stp>
        <stp>CDSW12 BGN Curncy</stp>
        <stp>LAST_PRICE</stp>
        <stp>[DataSheet2.3.xlsm]GBP_DATA!R24C20</stp>
        <tr r="T24" s="58"/>
      </tp>
      <tp>
        <v>1.0457000000000001</v>
        <stp/>
        <stp>##V3_BDPV12</stp>
        <stp>CDSW10 BGN Curncy</stp>
        <stp>LAST_PRICE</stp>
        <stp>[DataSheet2.3.xlsm]GBP_DATA!R23C20</stp>
        <tr r="T23" s="58"/>
      </tp>
      <tp>
        <v>9.75</v>
        <stp/>
        <stp>##V3_BDPV12</stp>
        <stp>TYSO1Z BGN Curncy</stp>
        <stp>BID</stp>
        <stp>[DataSheet2.2.xlsm]TRY_DATA!R8C10</stp>
        <tr r="J8" s="10"/>
      </tp>
      <tp>
        <v>0.02</v>
        <stp/>
        <stp>##V3_BDPV12</stp>
        <stp>PZSO1 BLC3 Curncy</stp>
        <stp>BID</stp>
        <stp>[DataSheet2.2.xlsm]PLN_DATA!R9C10</stp>
        <tr r="J9" s="12"/>
      </tp>
      <tp>
        <v>-7.01</v>
        <stp/>
        <stp>##V3_BDPV12</stp>
        <stp>CAD9M BGN Curncy</stp>
        <stp>LAST_PRICE</stp>
        <stp>[DataSheet2.3.xlsm]CAD_DATA!R16C51</stp>
        <tr r="AY16" s="48"/>
      </tp>
      <tp>
        <v>343.96</v>
        <stp/>
        <stp>##V3_BDPV12</stp>
        <stp>CAD10Y BGN Curncy</stp>
        <stp>LAST_PRICE</stp>
        <stp>[DataSheet2.3.xlsm]GBP_DATA!R24C51</stp>
        <tr r="AY24" s="58"/>
      </tp>
      <tp>
        <v>4.5</v>
        <stp/>
        <stp>##V3_BDPV12</stp>
        <stp>CGSWH7 TPRA Curncy</stp>
        <stp>LAST_PRICE</stp>
        <stp>[DataSheet2.3.xlsm]CNH_DATA!R19C20</stp>
        <tr r="T19" s="50"/>
      </tp>
      <tp>
        <v>4.84</v>
        <stp/>
        <stp>##V3_BDPV12</stp>
        <stp>RRSWM1 TRPU Curncy</stp>
        <stp>LAST_PRICE</stp>
        <stp>[DataSheet2.2.xlsm]RUB_DATA!R18C20</stp>
        <tr r="T18" s="4"/>
      </tp>
      <tp>
        <v>2.02</v>
        <stp/>
        <stp>##V3_BDPV12</stp>
        <stp>RNSW10 CCMK Curncy</stp>
        <stp>LAST_PRICE</stp>
        <stp>[DataSheet2.2.xlsm]RON_DATA!R21C20</stp>
        <tr r="T21" s="16"/>
      </tp>
      <tp>
        <v>12.75</v>
        <stp/>
        <stp>##V3_BDPV12</stp>
        <stp>CKBSV9 ICPL Curncy</stp>
        <stp>LAST_PRICE</stp>
        <stp>[DataSheet2.2.xlsm]CZK_DATA!R23C25</stp>
        <tr r="Y23" s="14"/>
      </tp>
      <tp>
        <v>12.75</v>
        <stp/>
        <stp>##V3_BDPV12</stp>
        <stp>CKBSV9 ICPL Curncy</stp>
        <stp>LAST_PRICE</stp>
        <stp>[DataSheet2.3.xlsm]CAD_DATA!R23C25</stp>
        <tr r="Y23" s="48"/>
      </tp>
      <tp>
        <v>10.8</v>
        <stp/>
        <stp>##V3_BDPV12</stp>
        <stp>TYSOA BGN Curncy</stp>
        <stp>ASK</stp>
        <stp>[DataSheet2.2.xlsm]TRY_DATA!R10C11</stp>
        <tr r="K10" s="10"/>
      </tp>
      <tp>
        <v>10.5</v>
        <stp/>
        <stp>##V3_BDPV12</stp>
        <stp>TYSOA BGN Curncy</stp>
        <stp>BID</stp>
        <stp>[DataSheet2.2.xlsm]TRY_DATA!R10C10</stp>
        <tr r="J10" s="10"/>
      </tp>
      <tp>
        <v>-49</v>
        <stp/>
        <stp>##V3_BDPV12</stp>
        <stp>SRUSSW1 GMGM Curncy</stp>
        <stp>PX_LAST</stp>
        <stp>[DataSheet2.2.xlsm]INR_DATA!R7C43</stp>
        <tr r="AQ7" s="54"/>
      </tp>
      <tp>
        <v>-49</v>
        <stp/>
        <stp>##V3_BDPV12</stp>
        <stp>SRUSSW1 GMGM Curncy</stp>
        <stp>PX_LAST</stp>
        <stp>[DataSheet2.2.xlsm]SAR_DATA!R7C43</stp>
        <tr r="AQ7" s="19"/>
      </tp>
      <tp>
        <v>7.25</v>
        <stp/>
        <stp>##V3_BDPV12</stp>
        <stp>PZBSEC1 ICPL Curncy</stp>
        <stp>PX_LAST</stp>
        <stp>[DataSheet2.2.xlsm]PLN_DATA!R7C43</stp>
        <tr r="AQ7" s="12"/>
      </tp>
      <tp>
        <v>1.46</v>
        <stp/>
        <stp>##V3_BDPV12</stp>
        <stp>SRSW4 GMGM Curncy</stp>
        <stp>LAST_PRICE</stp>
        <stp>[DataSheet2.2.xlsm]SAR_DATA!R20C20</stp>
        <tr r="T20" s="19"/>
      </tp>
      <tp>
        <v>14.56</v>
        <stp/>
        <stp>##V3_BDPV12</stp>
        <stp>CAD2Y BGN Curncy</stp>
        <stp>LAST_PRICE</stp>
        <stp>[DataSheet2.3.xlsm]GBP_DATA!R19C51</stp>
        <tr r="AY19" s="58"/>
      </tp>
      <tp>
        <v>-2.1</v>
        <stp/>
        <stp>##V3_BDPV12</stp>
        <stp>CAD2M BGN Curncy</stp>
        <stp>LAST_PRICE</stp>
        <stp>[DataSheet2.3.xlsm]GBP_DATA!R13C51</stp>
        <tr r="AY13" s="58"/>
      </tp>
      <tp>
        <v>10.75</v>
        <stp/>
        <stp>##V3_BDPV12</stp>
        <stp>TYSO1Z BGN Curncy</stp>
        <stp>ASK</stp>
        <stp>[DataSheet2.2.xlsm]TRY_DATA!R8C11</stp>
        <tr r="K8" s="10"/>
      </tp>
      <tp>
        <v>0.02</v>
        <stp/>
        <stp>##V3_BDPV12</stp>
        <stp>PZSO1 BLC3 Curncy</stp>
        <stp>ASK</stp>
        <stp>[DataSheet2.2.xlsm]PLN_DATA!R9C11</stp>
        <tr r="K9" s="12"/>
      </tp>
      <tp>
        <v>-7.89</v>
        <stp/>
        <stp>##V3_BDPV12</stp>
        <stp>CAD6M BGN Curncy</stp>
        <stp>LAST_PRICE</stp>
        <stp>[DataSheet2.3.xlsm]CAD_DATA!R15C51</stp>
        <tr r="AY15" s="48"/>
      </tp>
      <tp>
        <v>24725.99</v>
        <stp/>
        <stp>##V3_BDPV12</stp>
        <stp>BCN7Y BGN Curncy</stp>
        <stp>LAST_PRICE</stp>
        <stp>[DataSheet2.3.xlsm]BRL_DATA!R20C51</stp>
        <tr r="AY20" s="59"/>
      </tp>
      <tp>
        <v>0.995</v>
        <stp/>
        <stp>##V3_BDPV12</stp>
        <stp>HDSW12 CMPN Curncy</stp>
        <stp>LAST_PRICE</stp>
        <stp>[DataSheet2.2.xlsm]HKD_DATA!R24C20</stp>
        <tr r="T24" s="52"/>
      </tp>
      <tp>
        <v>7.75</v>
        <stp/>
        <stp>##V3_BDPV12</stp>
        <stp>CKBSV6 ICPL Curncy</stp>
        <stp>LAST_PRICE</stp>
        <stp>[DataSheet2.2.xlsm]CZK_DATA!R20C25</stp>
        <tr r="Y20" s="14"/>
      </tp>
      <tp>
        <v>-20</v>
        <stp/>
        <stp>##V3_BDPV12</stp>
        <stp>HDBB10 TPRA Curncy</stp>
        <stp>LAST_PRICE</stp>
        <stp>[DataSheet2.2.xlsm]HKD_DATA!R19C25</stp>
        <tr r="Y19" s="52"/>
      </tp>
      <tp>
        <v>7.75</v>
        <stp/>
        <stp>##V3_BDPV12</stp>
        <stp>CKBSV6 ICPL Curncy</stp>
        <stp>LAST_PRICE</stp>
        <stp>[DataSheet2.3.xlsm]CAD_DATA!R20C25</stp>
        <tr r="Y20" s="48"/>
      </tp>
      <tp>
        <v>3.9769999999999999</v>
        <stp/>
        <stp>##V3_BDPV12</stp>
        <stp>IRSWO1 FMDR Curncy</stp>
        <stp>LAST_PRICE</stp>
        <stp>[DataSheet2.2.xlsm]INR_DATA!R13C12</stp>
        <tr r="L13" s="54"/>
      </tp>
      <tp>
        <v>4</v>
        <stp/>
        <stp>##V3_BDPV12</stp>
        <stp>CKBSV2 ICPL Curncy</stp>
        <stp>LAST_PRICE</stp>
        <stp>[DataSheet2.3.xlsm]GBP_DATA!R16C25</stp>
        <tr r="Y16" s="58"/>
      </tp>
      <tp>
        <v>7.85</v>
        <stp/>
        <stp>##V3_BDPV12</stp>
        <stp>PZBSV4 ICPL Curncy</stp>
        <stp>LAST_PRICE</stp>
        <stp>[DataSheet2.2.xlsm]PLN_DATA!R17C25</stp>
        <tr r="Y17" s="12"/>
      </tp>
      <tp>
        <v>1.885</v>
        <stp/>
        <stp>##V3_BDPV12</stp>
        <stp>HFSW12 TPRA Curncy</stp>
        <stp>LAST_PRICE</stp>
        <stp>[DataSheet2.2.xlsm]HUF_DATA!R27C20</stp>
        <tr r="T27" s="15"/>
      </tp>
      <tp>
        <v>-13</v>
        <stp/>
        <stp>##V3_BDPV12</stp>
        <stp>HDBS4 ICHK Curncy</stp>
        <stp>LAST_PRICE</stp>
        <stp>[DataSheet2.2.xlsm]HKD_DATA!R13C43</stp>
        <tr r="AQ13" s="52"/>
      </tp>
      <tp>
        <v>1.85</v>
        <stp/>
        <stp>##V3_BDPV12</stp>
        <stp>RNSW1 CCMK Curncy</stp>
        <stp>LAST_PRICE</stp>
        <stp>[DataSheet2.2.xlsm]RON_DATA!R12C20</stp>
        <tr r="T12" s="16"/>
      </tp>
      <tp>
        <v>15</v>
        <stp/>
        <stp>##V3_BDPV12</stp>
        <stp>SRBS5 GFID Curncy</stp>
        <stp>LAST_PRICE</stp>
        <stp>[DataSheet2.2.xlsm]SAR_DATA!R15C25</stp>
        <tr r="Y15" s="19"/>
      </tp>
      <tp t="s">
        <v>#N/A N/A</v>
        <stp/>
        <stp>##V3_BDPV12</stp>
        <stp>EUBSAT50 Curncy</stp>
        <stp>LAST_PRICE</stp>
        <stp>[DataSheet2.3.xlsm]EUR_DATA!R27C30</stp>
        <tr r="AD27" s="31"/>
      </tp>
      <tp>
        <v>298.07</v>
        <stp/>
        <stp>##V3_BDPV12</stp>
        <stp>BCN6M BGN Curncy</stp>
        <stp>LAST_PRICE</stp>
        <stp>[DataSheet2.3.xlsm]BRL_DATA!R13C51</stp>
        <tr r="AY13" s="59"/>
      </tp>
      <tp>
        <v>57.4</v>
        <stp/>
        <stp>##V3_BDPV12</stp>
        <stp>CAD3Y BGN Curncy</stp>
        <stp>LAST_PRICE</stp>
        <stp>[DataSheet2.3.xlsm]GBP_DATA!R20C51</stp>
        <tr r="AY20" s="58"/>
      </tp>
      <tp>
        <v>244.9</v>
        <stp/>
        <stp>##V3_BDPV12</stp>
        <stp>CAD7Y BGN Curncy</stp>
        <stp>LAST_PRICE</stp>
        <stp>[DataSheet2.3.xlsm]CAD_DATA!R23C51</stp>
        <tr r="AY23" s="48"/>
      </tp>
      <tp>
        <v>-2.95</v>
        <stp/>
        <stp>##V3_BDPV12</stp>
        <stp>CAD3M BGN Curncy</stp>
        <stp>LAST_PRICE</stp>
        <stp>[DataSheet2.3.xlsm]GBP_DATA!R14C51</stp>
        <tr r="AY14" s="58"/>
      </tp>
      <tp>
        <v>0</v>
        <stp/>
        <stp>##V3_BDPV12</stp>
        <stp>HFBSV1 ICPL Curncy</stp>
        <stp>LAST_PRICE</stp>
        <stp>[DataSheet2.2.xlsm]HUF_DATA!R15C25</stp>
        <tr r="Y15" s="15"/>
      </tp>
      <tp>
        <v>1.34</v>
        <stp/>
        <stp>##V3_BDPV12</stp>
        <stp>PZSW15 ICPL Curncy</stp>
        <stp>LAST_PRICE</stp>
        <stp>[DataSheet2.2.xlsm]PLN_DATA!R28C20</stp>
        <tr r="T28" s="12"/>
      </tp>
      <tp>
        <v>1.1760999999999999</v>
        <stp/>
        <stp>##V3_BDPV12</stp>
        <stp>EURUSD Curncy</stp>
        <stp>LAST_PRICE</stp>
        <stp>[DataSheet2.3.xlsm]FX!R3C2</stp>
        <tr r="B3" s="20"/>
      </tp>
      <tp>
        <v>9.5</v>
        <stp/>
        <stp>##V3_BDPV12</stp>
        <stp>CKBSV7 ICPL Curncy</stp>
        <stp>LAST_PRICE</stp>
        <stp>[DataSheet2.2.xlsm]CZK_DATA!R21C25</stp>
        <tr r="Y21" s="14"/>
      </tp>
      <tp>
        <v>9.5</v>
        <stp/>
        <stp>##V3_BDPV12</stp>
        <stp>CKBSV7 ICPL Curncy</stp>
        <stp>LAST_PRICE</stp>
        <stp>[DataSheet2.3.xlsm]CAD_DATA!R21C25</stp>
        <tr r="Y21" s="48"/>
      </tp>
      <tp>
        <v>4.75</v>
        <stp/>
        <stp>##V3_BDPV12</stp>
        <stp>CKBSV3 ICPL Curncy</stp>
        <stp>LAST_PRICE</stp>
        <stp>[DataSheet2.3.xlsm]GBP_DATA!R17C25</stp>
        <tr r="Y17" s="58"/>
      </tp>
      <tp>
        <v>8.25</v>
        <stp/>
        <stp>##V3_BDPV12</stp>
        <stp>PZBSV5 ICPL Curncy</stp>
        <stp>LAST_PRICE</stp>
        <stp>[DataSheet2.2.xlsm]PLN_DATA!R18C25</stp>
        <tr r="Y18" s="12"/>
      </tp>
      <tp>
        <v>0.77339999999999998</v>
        <stp/>
        <stp>##V3_BDPV12</stp>
        <stp>USDGBP Curncy</stp>
        <stp>LAST_PRICE</stp>
        <stp>[DataSheet2.3.xlsm]FX!R2C6</stp>
        <tr r="F2" s="20"/>
      </tp>
      <tp>
        <v>1.0302</v>
        <stp/>
        <stp>##V3_BDPV12</stp>
        <stp>USSWAP30 CMPN Curncy</stp>
        <stp>LAST_PRICE</stp>
        <stp>[DataSheet2.3.xlsm]USD_DATA!R50C9</stp>
        <tr r="I50" s="6"/>
      </tp>
      <tp>
        <v>-15</v>
        <stp/>
        <stp>##V3_BDPV12</stp>
        <stp>HDBS5 ICHK Curncy</stp>
        <stp>LAST_PRICE</stp>
        <stp>[DataSheet2.2.xlsm]HKD_DATA!R14C43</stp>
        <tr r="AQ14" s="52"/>
      </tp>
      <tp>
        <v>-28.491</v>
        <stp/>
        <stp>##V3_BDPV12</stp>
        <stp>UDUSSW1 GFID Curncy</stp>
        <stp>PX_LAST</stp>
        <stp>[DataSheet2.2.xlsm]AED_DATA!R7C43</stp>
        <tr r="AQ7" s="18"/>
      </tp>
      <tp>
        <v>14</v>
        <stp/>
        <stp>##V3_BDPV12</stp>
        <stp>SRBS4 GFID Curncy</stp>
        <stp>LAST_PRICE</stp>
        <stp>[DataSheet2.2.xlsm]SAR_DATA!R14C25</stp>
        <tr r="Y14" s="19"/>
      </tp>
      <tp t="s">
        <v>#N/A N/A</v>
        <stp/>
        <stp>##V3_BDPV12</stp>
        <stp>EUBSAT40 Curncy</stp>
        <stp>LAST_PRICE</stp>
        <stp>[DataSheet2.3.xlsm]EUR_DATA!R26C30</stp>
        <tr r="AD26" s="31"/>
      </tp>
      <tp>
        <v>113.56</v>
        <stp/>
        <stp>##V3_BDPV12</stp>
        <stp>CAD4Y BGN Curncy</stp>
        <stp>LAST_PRICE</stp>
        <stp>[DataSheet2.3.xlsm]CAD_DATA!R21C51</stp>
        <tr r="AY21" s="48"/>
      </tp>
      <tp>
        <v>14576.33</v>
        <stp/>
        <stp>##V3_BDPV12</stp>
        <stp>BCN5Y BGN Curncy</stp>
        <stp>LAST_PRICE</stp>
        <stp>[DataSheet2.3.xlsm]BRL_DATA!R19C51</stp>
        <tr r="AY19" s="59"/>
      </tp>
      <tp>
        <v>0.46</v>
        <stp/>
        <stp>##V3_BDPV12</stp>
        <stp>HUFO02WK BLC3 Curncy</stp>
        <stp>LAST_PRICE</stp>
        <stp>[DataSheet2.2.xlsm]HUF_DATA!R9C12</stp>
        <tr r="L9" s="15"/>
      </tp>
      <tp>
        <v>0.46</v>
        <stp/>
        <stp>##V3_BDPV12</stp>
        <stp>HUFO01WK BLC3 Curncy</stp>
        <stp>LAST_PRICE</stp>
        <stp>[DataSheet2.2.xlsm]HUF_DATA!R8C12</stp>
        <tr r="L8" s="15"/>
      </tp>
      <tp>
        <v>1.5</v>
        <stp/>
        <stp>##V3_BDPV12</stp>
        <stp>HFBSV2 ICPL Curncy</stp>
        <stp>LAST_PRICE</stp>
        <stp>[DataSheet2.2.xlsm]HUF_DATA!R16C25</stp>
        <tr r="Y16" s="15"/>
      </tp>
      <tp>
        <v>2.4660000000000002</v>
        <stp/>
        <stp>##V3_BDPV12</stp>
        <stp>SRSW10 GMGM Curncy</stp>
        <stp>LAST_PRICE</stp>
        <stp>[DataSheet2.2.xlsm]INR_DATA!R24C20</stp>
        <tr r="T24" s="54"/>
      </tp>
      <tp>
        <v>1.3229</v>
        <stp/>
        <stp>##V3_BDPV12</stp>
        <stp>USDCAD Curncy</stp>
        <stp>LAST_PRICE</stp>
        <stp>[DataSheet2.3.xlsm]FX!R2C4</stp>
        <tr r="D2" s="20"/>
      </tp>
      <tp>
        <v>1.165</v>
        <stp/>
        <stp>##V3_BDPV12</stp>
        <stp>HDSW20 CMPN Curncy</stp>
        <stp>LAST_PRICE</stp>
        <stp>[DataSheet2.2.xlsm]HKD_DATA!R26C20</stp>
        <tr r="T26" s="52"/>
      </tp>
      <tp>
        <v>0.91</v>
        <stp/>
        <stp>##V3_BDPV12</stp>
        <stp>HDSW10 CMPN Curncy</stp>
        <stp>LAST_PRICE</stp>
        <stp>[DataSheet2.2.xlsm]HKD_DATA!R23C20</stp>
        <tr r="T23" s="52"/>
      </tp>
      <tp>
        <v>0.94</v>
        <stp/>
        <stp>##V3_BDPV12</stp>
        <stp>SAIB6M Index</stp>
        <stp>LAST_PRICE</stp>
        <stp>[DataSheet2.2.xlsm]SAR_DATA!R10C20</stp>
        <tr r="T10" s="19"/>
      </tp>
      <tp>
        <v>5.75</v>
        <stp/>
        <stp>##V3_BDPV12</stp>
        <stp>CKBSV4 ICPL Curncy</stp>
        <stp>LAST_PRICE</stp>
        <stp>[DataSheet2.2.xlsm]CZK_DATA!R18C25</stp>
        <tr r="Y18" s="14"/>
      </tp>
      <tp>
        <v>-20</v>
        <stp/>
        <stp>##V3_BDPV12</stp>
        <stp>HDBB12 TPRA Curncy</stp>
        <stp>LAST_PRICE</stp>
        <stp>[DataSheet2.2.xlsm]HKD_DATA!R20C25</stp>
        <tr r="Y20" s="52"/>
      </tp>
      <tp>
        <v>5.75</v>
        <stp/>
        <stp>##V3_BDPV12</stp>
        <stp>CKBSV4 ICPL Curncy</stp>
        <stp>LAST_PRICE</stp>
        <stp>[DataSheet2.3.xlsm]CAD_DATA!R18C25</stp>
        <tr r="Y18" s="48"/>
      </tp>
      <tp>
        <v>4.3</v>
        <stp/>
        <stp>##V3_BDPV12</stp>
        <stp>IRSWO3 FMDR Curncy</stp>
        <stp>LAST_PRICE</stp>
        <stp>[DataSheet2.2.xlsm]INR_DATA!R15C12</stp>
        <tr r="L15" s="54"/>
      </tp>
      <tp>
        <v>8.5</v>
        <stp/>
        <stp>##V3_BDPV12</stp>
        <stp>PZBSV6 ICPL Curncy</stp>
        <stp>LAST_PRICE</stp>
        <stp>[DataSheet2.2.xlsm]PLN_DATA!R19C25</stp>
        <tr r="Y19" s="12"/>
      </tp>
      <tp>
        <v>1.7549999999999999</v>
        <stp/>
        <stp>##V3_BDPV12</stp>
        <stp>HFSW10 TPRA Curncy</stp>
        <stp>LAST_PRICE</stp>
        <stp>[DataSheet2.2.xlsm]HUF_DATA!R26C20</stp>
        <tr r="T26" s="15"/>
      </tp>
      <tp>
        <v>2.2749999999999999</v>
        <stp/>
        <stp>##V3_BDPV12</stp>
        <stp>HFSW20 TPRA Curncy</stp>
        <stp>LAST_PRICE</stp>
        <stp>[DataSheet2.2.xlsm]HUF_DATA!R29C20</stp>
        <tr r="T29" s="15"/>
      </tp>
      <tp>
        <v>1.88</v>
        <stp/>
        <stp>##V3_BDPV12</stp>
        <stp>RNSW3 CCMK Curncy</stp>
        <stp>LAST_PRICE</stp>
        <stp>[DataSheet2.2.xlsm]RON_DATA!R14C20</stp>
        <tr r="T14" s="16"/>
      </tp>
      <tp>
        <v>-29.463999999999999</v>
        <stp/>
        <stp>##V3_BDPV12</stp>
        <stp>UDUSSW2 GFID Curncy</stp>
        <stp>PX_LAST</stp>
        <stp>[DataSheet2.2.xlsm]AED_DATA!R8C43</stp>
        <tr r="AQ8" s="18"/>
      </tp>
      <tp>
        <v>15</v>
        <stp/>
        <stp>##V3_BDPV12</stp>
        <stp>SRBS7 GFID Curncy</stp>
        <stp>LAST_PRICE</stp>
        <stp>[DataSheet2.2.xlsm]SAR_DATA!R16C25</stp>
        <tr r="Y16" s="19"/>
      </tp>
      <tp t="s">
        <v>#N/A Invalid Security</v>
        <stp/>
        <stp>##V3_BDPV12</stp>
        <stp>EUBSATVC Curncy</stp>
        <stp>LAST_PRICE</stp>
        <stp>[DataSheet2.3.xlsm]EUR_DATA!R8C30</stp>
        <tr r="AD8" s="31"/>
      </tp>
      <tp>
        <v>-103.3</v>
        <stp/>
        <stp>##V3_BDPV12</stp>
        <stp>JPY18M BGN Curncy</stp>
        <stp>LAST_PRICE</stp>
        <stp>[DataSheet2.3.xlsm]JPY_DATA!R22C41</stp>
        <tr r="AO22" s="46"/>
      </tp>
      <tp>
        <v>20149.91</v>
        <stp/>
        <stp>##V3_BDPV12</stp>
        <stp>TRY18M BGN Curncy</stp>
        <stp>LAST_PRICE</stp>
        <stp>[DataSheet2.2.xlsm]TRY_DATA!R20C51</stp>
        <tr r="AY20" s="10"/>
      </tp>
      <tp>
        <v>0.87</v>
        <stp/>
        <stp>##V3_BDPV12</stp>
        <stp>CAD18M BGN Curncy</stp>
        <stp>LAST_PRICE</stp>
        <stp>[DataSheet2.3.xlsm]CAD_DATA!R18C51</stp>
        <tr r="AY18" s="48"/>
      </tp>
      <tp>
        <v>164.66</v>
        <stp/>
        <stp>##V3_BDPV12</stp>
        <stp>CAD5Y BGN Curncy</stp>
        <stp>LAST_PRICE</stp>
        <stp>[DataSheet2.3.xlsm]CAD_DATA!R22C51</stp>
        <tr r="AY22" s="48"/>
      </tp>
      <tp>
        <v>-1.39</v>
        <stp/>
        <stp>##V3_BDPV12</stp>
        <stp>CAD1M BGN Curncy</stp>
        <stp>LAST_PRICE</stp>
        <stp>[DataSheet2.3.xlsm]GBP_DATA!R12C51</stp>
        <tr r="AY12" s="58"/>
      </tp>
      <tp>
        <v>354.46</v>
        <stp/>
        <stp>##V3_BDPV12</stp>
        <stp>CAD10Y BGN Curncy</stp>
        <stp>ASK</stp>
        <stp>[DataSheet2.3.xlsm]GBP_DATA!R24C50</stp>
        <tr r="AX24" s="58"/>
      </tp>
      <tp>
        <v>10.75</v>
        <stp/>
        <stp>##V3_BDPV12</stp>
        <stp>TYSO2Z BGN Curncy</stp>
        <stp>ASK</stp>
        <stp>[DataSheet2.2.xlsm]TRY_DATA!R9C11</stp>
        <tr r="K9" s="10"/>
      </tp>
      <tp>
        <v>333.45</v>
        <stp/>
        <stp>##V3_BDPV12</stp>
        <stp>CAD10Y BGN Curncy</stp>
        <stp>BID</stp>
        <stp>[DataSheet2.3.xlsm]GBP_DATA!R24C49</stp>
        <tr r="AW24" s="58"/>
      </tp>
      <tp>
        <v>10175.74</v>
        <stp/>
        <stp>##V3_BDPV12</stp>
        <stp>BCN4Y BGN Curncy</stp>
        <stp>LAST_PRICE</stp>
        <stp>[DataSheet2.3.xlsm]BRL_DATA!R18C51</stp>
        <tr r="AY18" s="59"/>
      </tp>
      <tp>
        <v>63</v>
        <stp/>
        <stp>##V3_BDPV12</stp>
        <stp>TYBS10 ICPL Curncy</stp>
        <stp>LAST_PRICE</stp>
        <stp>[DataSheet2.2.xlsm]TRY_DATA!R16C43</stp>
        <tr r="AQ16" s="10"/>
      </tp>
      <tp>
        <v>1</v>
        <stp/>
        <stp>##V3_BDPV12</stp>
        <stp>HFBSV3 ICPL Curncy</stp>
        <stp>LAST_PRICE</stp>
        <stp>[DataSheet2.2.xlsm]HUF_DATA!R17C25</stp>
        <tr r="Y17" s="15"/>
      </tp>
      <tp>
        <v>6.5</v>
        <stp/>
        <stp>##V3_BDPV12</stp>
        <stp>CKBSV5 ICPL Curncy</stp>
        <stp>LAST_PRICE</stp>
        <stp>[DataSheet2.2.xlsm]CZK_DATA!R19C25</stp>
        <tr r="Y19" s="14"/>
      </tp>
      <tp>
        <v>6.5</v>
        <stp/>
        <stp>##V3_BDPV12</stp>
        <stp>CKBSV5 ICPL Curncy</stp>
        <stp>LAST_PRICE</stp>
        <stp>[DataSheet2.3.xlsm]CAD_DATA!R19C25</stp>
        <tr r="Y19" s="48"/>
      </tp>
      <tp>
        <v>4.117</v>
        <stp/>
        <stp>##V3_BDPV12</stp>
        <stp>IRSWO2 FMDR Curncy</stp>
        <stp>LAST_PRICE</stp>
        <stp>[DataSheet2.2.xlsm]INR_DATA!R14C12</stp>
        <tr r="L14" s="54"/>
      </tp>
      <tp>
        <v>2.5</v>
        <stp/>
        <stp>##V3_BDPV12</stp>
        <stp>CKBSV1 ICPL Curncy</stp>
        <stp>LAST_PRICE</stp>
        <stp>[DataSheet2.3.xlsm]GBP_DATA!R15C25</stp>
        <tr r="Y15" s="58"/>
      </tp>
      <tp>
        <v>8.75</v>
        <stp/>
        <stp>##V3_BDPV12</stp>
        <stp>PZBSV7 ICPL Curncy</stp>
        <stp>LAST_PRICE</stp>
        <stp>[DataSheet2.2.xlsm]PLN_DATA!R20C25</stp>
        <tr r="Y20" s="12"/>
      </tp>
      <tp>
        <v>-7.86</v>
        <stp/>
        <stp>##V3_BDPV12</stp>
        <stp>CAD9M BGN Curncy</stp>
        <stp>BID</stp>
        <stp>[DataSheet2.3.xlsm]CAD_DATA!R16C49</stp>
        <tr r="AW16" s="48"/>
      </tp>
      <tp>
        <v>-3.27</v>
        <stp/>
        <stp>##V3_BDPV12</stp>
        <stp>CAD3M BGN Curncy</stp>
        <stp>BID</stp>
        <stp>[DataSheet2.3.xlsm]CAD_DATA!R14C49</stp>
        <tr r="AW14" s="48"/>
      </tp>
      <tp>
        <v>-1.51</v>
        <stp/>
        <stp>##V3_BDPV12</stp>
        <stp>CAD1M BGN Curncy</stp>
        <stp>BID</stp>
        <stp>[DataSheet2.3.xlsm]CAD_DATA!R12C49</stp>
        <tr r="AW12" s="48"/>
      </tp>
      <tp>
        <v>-8.3800000000000008</v>
        <stp/>
        <stp>##V3_BDPV12</stp>
        <stp>CAD6M BGN Curncy</stp>
        <stp>BID</stp>
        <stp>[DataSheet2.3.xlsm]CAD_DATA!R15C49</stp>
        <tr r="AW15" s="48"/>
      </tp>
      <tp>
        <v>-2.3199999999999998</v>
        <stp/>
        <stp>##V3_BDPV12</stp>
        <stp>CAD2M BGN Curncy</stp>
        <stp>BID</stp>
        <stp>[DataSheet2.3.xlsm]CAD_DATA!R13C49</stp>
        <tr r="AW13" s="48"/>
      </tp>
      <tp>
        <v>2765.91</v>
        <stp/>
        <stp>##V3_BDPV12</stp>
        <stp>TRY3M BGN Curncy</stp>
        <stp>BID</stp>
        <stp>[DataSheet2.2.xlsm]TRY_DATA!R14C49</stp>
        <tr r="AW14" s="10"/>
      </tp>
      <tp>
        <v>960.96</v>
        <stp/>
        <stp>##V3_BDPV12</stp>
        <stp>TRY1M BGN Curncy</stp>
        <stp>BID</stp>
        <stp>[DataSheet2.2.xlsm]TRY_DATA!R12C49</stp>
        <tr r="AW12" s="10"/>
      </tp>
      <tp>
        <v>5019.41</v>
        <stp/>
        <stp>##V3_BDPV12</stp>
        <stp>TRY5M BGN Curncy</stp>
        <stp>BID</stp>
        <stp>[DataSheet2.2.xlsm]TRY_DATA!R16C49</stp>
        <tr r="AW16" s="10"/>
      </tp>
      <tp>
        <v>1831.01</v>
        <stp/>
        <stp>##V3_BDPV12</stp>
        <stp>TRY2M BGN Curncy</stp>
        <stp>BID</stp>
        <stp>[DataSheet2.2.xlsm]TRY_DATA!R13C49</stp>
        <tr r="AW13" s="10"/>
      </tp>
      <tp>
        <v>3928.35</v>
        <stp/>
        <stp>##V3_BDPV12</stp>
        <stp>TRY4M BGN Curncy</stp>
        <stp>BID</stp>
        <stp>[DataSheet2.2.xlsm]TRY_DATA!R15C49</stp>
        <tr r="AW15" s="10"/>
      </tp>
      <tp>
        <v>6112.54</v>
        <stp/>
        <stp>##V3_BDPV12</stp>
        <stp>TRY6M BGN Curncy</stp>
        <stp>BID</stp>
        <stp>[DataSheet2.2.xlsm]TRY_DATA!R17C49</stp>
        <tr r="AW17" s="10"/>
      </tp>
      <tp>
        <v>9616.43</v>
        <stp/>
        <stp>##V3_BDPV12</stp>
        <stp>TRY9M BGN Curncy</stp>
        <stp>BID</stp>
        <stp>[DataSheet2.2.xlsm]TRY_DATA!R18C49</stp>
        <tr r="AW18" s="10"/>
      </tp>
      <tp>
        <v>-1.88</v>
        <stp/>
        <stp>##V3_BDPV12</stp>
        <stp>CAD2M BGN Curncy</stp>
        <stp>ASK</stp>
        <stp>[DataSheet2.3.xlsm]CAD_DATA!R13C50</stp>
        <tr r="AX13" s="48"/>
      </tp>
      <tp>
        <v>-1.26</v>
        <stp/>
        <stp>##V3_BDPV12</stp>
        <stp>CAD1M BGN Curncy</stp>
        <stp>ASK</stp>
        <stp>[DataSheet2.3.xlsm]CAD_DATA!R12C50</stp>
        <tr r="AX12" s="48"/>
      </tp>
      <tp>
        <v>-7.4</v>
        <stp/>
        <stp>##V3_BDPV12</stp>
        <stp>CAD6M BGN Curncy</stp>
        <stp>ASK</stp>
        <stp>[DataSheet2.3.xlsm]CAD_DATA!R15C50</stp>
        <tr r="AX15" s="48"/>
      </tp>
      <tp>
        <v>-2.63</v>
        <stp/>
        <stp>##V3_BDPV12</stp>
        <stp>CAD3M BGN Curncy</stp>
        <stp>ASK</stp>
        <stp>[DataSheet2.3.xlsm]CAD_DATA!R14C50</stp>
        <tr r="AX14" s="48"/>
      </tp>
      <tp>
        <v>-6.17</v>
        <stp/>
        <stp>##V3_BDPV12</stp>
        <stp>CAD9M BGN Curncy</stp>
        <stp>ASK</stp>
        <stp>[DataSheet2.3.xlsm]CAD_DATA!R16C50</stp>
        <tr r="AX16" s="48"/>
      </tp>
      <tp>
        <v>-48.75</v>
        <stp/>
        <stp>##V3_BDPV12</stp>
        <stp>JPY9M BGN Curncy</stp>
        <stp>ASK</stp>
        <stp>[DataSheet2.3.xlsm]JPY_DATA!R19C40</stp>
        <tr r="AN19" s="46"/>
      </tp>
      <tp>
        <v>2083.2800000000002</v>
        <stp/>
        <stp>##V3_BDPV12</stp>
        <stp>TRY2M BGN Curncy</stp>
        <stp>ASK</stp>
        <stp>[DataSheet2.2.xlsm]TRY_DATA!R13C50</stp>
        <tr r="AX13" s="10"/>
      </tp>
      <tp>
        <v>4298.96</v>
        <stp/>
        <stp>##V3_BDPV12</stp>
        <stp>TRY4M BGN Curncy</stp>
        <stp>ASK</stp>
        <stp>[DataSheet2.2.xlsm]TRY_DATA!R15C50</stp>
        <tr r="AX15" s="10"/>
      </tp>
      <tp>
        <v>6488.64</v>
        <stp/>
        <stp>##V3_BDPV12</stp>
        <stp>TRY6M BGN Curncy</stp>
        <stp>ASK</stp>
        <stp>[DataSheet2.2.xlsm]TRY_DATA!R17C50</stp>
        <tr r="AX17" s="10"/>
      </tp>
      <tp>
        <v>10183.299999999999</v>
        <stp/>
        <stp>##V3_BDPV12</stp>
        <stp>TRY9M BGN Curncy</stp>
        <stp>ASK</stp>
        <stp>[DataSheet2.2.xlsm]TRY_DATA!R18C50</stp>
        <tr r="AX18" s="10"/>
      </tp>
      <tp>
        <v>-5.07</v>
        <stp/>
        <stp>##V3_BDPV12</stp>
        <stp>JPY1M BGN Curncy</stp>
        <stp>ASK</stp>
        <stp>[DataSheet2.3.xlsm]JPY_DATA!R13C40</stp>
        <tr r="AN13" s="46"/>
      </tp>
      <tp>
        <v>-25.89</v>
        <stp/>
        <stp>##V3_BDPV12</stp>
        <stp>JPY4M BGN Curncy</stp>
        <stp>ASK</stp>
        <stp>[DataSheet2.3.xlsm]JPY_DATA!R16C40</stp>
        <tr r="AN16" s="46"/>
      </tp>
      <tp>
        <v>-29.99</v>
        <stp/>
        <stp>##V3_BDPV12</stp>
        <stp>JPY5M BGN Curncy</stp>
        <stp>ASK</stp>
        <stp>[DataSheet2.3.xlsm]JPY_DATA!R17C40</stp>
        <tr r="AN17" s="46"/>
      </tp>
      <tp>
        <v>1145.1400000000001</v>
        <stp/>
        <stp>##V3_BDPV12</stp>
        <stp>TRY1M BGN Curncy</stp>
        <stp>ASK</stp>
        <stp>[DataSheet2.2.xlsm]TRY_DATA!R12C50</stp>
        <tr r="AX12" s="10"/>
      </tp>
      <tp>
        <v>5451.55</v>
        <stp/>
        <stp>##V3_BDPV12</stp>
        <stp>TRY5M BGN Curncy</stp>
        <stp>ASK</stp>
        <stp>[DataSheet2.2.xlsm]TRY_DATA!R16C50</stp>
        <tr r="AX16" s="10"/>
      </tp>
      <tp>
        <v>-8.94</v>
        <stp/>
        <stp>##V3_BDPV12</stp>
        <stp>JPY2M BGN Curncy</stp>
        <stp>ASK</stp>
        <stp>[DataSheet2.3.xlsm]JPY_DATA!R14C40</stp>
        <tr r="AN14" s="46"/>
      </tp>
      <tp>
        <v>-12.71</v>
        <stp/>
        <stp>##V3_BDPV12</stp>
        <stp>JPY3M BGN Curncy</stp>
        <stp>ASK</stp>
        <stp>[DataSheet2.3.xlsm]JPY_DATA!R15C40</stp>
        <tr r="AN15" s="46"/>
      </tp>
      <tp>
        <v>3139.85</v>
        <stp/>
        <stp>##V3_BDPV12</stp>
        <stp>TRY3M BGN Curncy</stp>
        <stp>ASK</stp>
        <stp>[DataSheet2.2.xlsm]TRY_DATA!R14C50</stp>
        <tr r="AX14" s="10"/>
      </tp>
      <tp>
        <v>-33.72</v>
        <stp/>
        <stp>##V3_BDPV12</stp>
        <stp>JPY6M BGN Curncy</stp>
        <stp>ASK</stp>
        <stp>[DataSheet2.3.xlsm]JPY_DATA!R18C40</stp>
        <tr r="AN18" s="46"/>
      </tp>
      <tp>
        <v>4</v>
        <stp/>
        <stp>##V3_BDPV12</stp>
        <stp>RUONIA Index</stp>
        <stp>ASK</stp>
        <stp>[DataSheet2.2.xlsm]RUB_DATA!R7C11</stp>
        <tr r="K7" s="4"/>
      </tp>
      <tp>
        <v>-34.520000000000003</v>
        <stp/>
        <stp>##V3_BDPV12</stp>
        <stp>JPY6M BGN Curncy</stp>
        <stp>BID</stp>
        <stp>[DataSheet2.3.xlsm]JPY_DATA!R18C39</stp>
        <tr r="AM18" s="46"/>
      </tp>
      <tp>
        <v>-9.24</v>
        <stp/>
        <stp>##V3_BDPV12</stp>
        <stp>JPY2M BGN Curncy</stp>
        <stp>BID</stp>
        <stp>[DataSheet2.3.xlsm]JPY_DATA!R14C39</stp>
        <tr r="AM14" s="46"/>
      </tp>
      <tp>
        <v>-13.08</v>
        <stp/>
        <stp>##V3_BDPV12</stp>
        <stp>JPY3M BGN Curncy</stp>
        <stp>BID</stp>
        <stp>[DataSheet2.3.xlsm]JPY_DATA!R15C39</stp>
        <tr r="AM15" s="46"/>
      </tp>
      <tp>
        <v>-5.35</v>
        <stp/>
        <stp>##V3_BDPV12</stp>
        <stp>JPY1M BGN Curncy</stp>
        <stp>BID</stp>
        <stp>[DataSheet2.3.xlsm]JPY_DATA!R13C39</stp>
        <tr r="AM13" s="46"/>
      </tp>
      <tp>
        <v>-26.3</v>
        <stp/>
        <stp>##V3_BDPV12</stp>
        <stp>JPY4M BGN Curncy</stp>
        <stp>BID</stp>
        <stp>[DataSheet2.3.xlsm]JPY_DATA!R16C39</stp>
        <tr r="AM16" s="46"/>
      </tp>
      <tp>
        <v>-30.55</v>
        <stp/>
        <stp>##V3_BDPV12</stp>
        <stp>JPY5M BGN Curncy</stp>
        <stp>BID</stp>
        <stp>[DataSheet2.3.xlsm]JPY_DATA!R17C39</stp>
        <tr r="AM17" s="46"/>
      </tp>
      <tp>
        <v>-49.76</v>
        <stp/>
        <stp>##V3_BDPV12</stp>
        <stp>JPY9M BGN Curncy</stp>
        <stp>BID</stp>
        <stp>[DataSheet2.3.xlsm]JPY_DATA!R19C39</stp>
        <tr r="AM19" s="46"/>
      </tp>
      <tp>
        <v>531.44000000000005</v>
        <stp/>
        <stp>##V3_BDPV12</stp>
        <stp>BCN9M BGN Curncy</stp>
        <stp>BID</stp>
        <stp>[DataSheet2.3.xlsm]BRL_DATA!R14C49</stp>
        <tr r="AW14" s="59"/>
      </tp>
      <tp>
        <v>271.07</v>
        <stp/>
        <stp>##V3_BDPV12</stp>
        <stp>BCN6M BGN Curncy</stp>
        <stp>BID</stp>
        <stp>[DataSheet2.3.xlsm]BRL_DATA!R13C49</stp>
        <tr r="AW13" s="59"/>
      </tp>
      <tp>
        <v>98.33</v>
        <stp/>
        <stp>##V3_BDPV12</stp>
        <stp>BCN2M BGN Curncy</stp>
        <stp>BID</stp>
        <stp>[DataSheet2.3.xlsm]BRL_DATA!R11C49</stp>
        <tr r="AW11" s="59"/>
      </tp>
      <tp>
        <v>45.96</v>
        <stp/>
        <stp>##V3_BDPV12</stp>
        <stp>BCN1M BGN Curncy</stp>
        <stp>BID</stp>
        <stp>[DataSheet2.3.xlsm]BRL_DATA!R10C49</stp>
        <tr r="AW10" s="59"/>
      </tp>
      <tp>
        <v>140.4</v>
        <stp/>
        <stp>##V3_BDPV12</stp>
        <stp>BCN3M BGN Curncy</stp>
        <stp>BID</stp>
        <stp>[DataSheet2.3.xlsm]BRL_DATA!R12C49</stp>
        <tr r="AW12" s="59"/>
      </tp>
      <tp>
        <v>49.64</v>
        <stp/>
        <stp>##V3_BDPV12</stp>
        <stp>BCN1M BGN Curncy</stp>
        <stp>ASK</stp>
        <stp>[DataSheet2.3.xlsm]BRL_DATA!R10C50</stp>
        <tr r="AX10" s="59"/>
      </tp>
      <tp>
        <v>164.4</v>
        <stp/>
        <stp>##V3_BDPV12</stp>
        <stp>BCN3M BGN Curncy</stp>
        <stp>ASK</stp>
        <stp>[DataSheet2.3.xlsm]BRL_DATA!R12C50</stp>
        <tr r="AX12" s="59"/>
      </tp>
      <tp>
        <v>99.67</v>
        <stp/>
        <stp>##V3_BDPV12</stp>
        <stp>BCN2M BGN Curncy</stp>
        <stp>ASK</stp>
        <stp>[DataSheet2.3.xlsm]BRL_DATA!R11C50</stp>
        <tr r="AX11" s="59"/>
      </tp>
      <tp>
        <v>325.07</v>
        <stp/>
        <stp>##V3_BDPV12</stp>
        <stp>BCN6M BGN Curncy</stp>
        <stp>ASK</stp>
        <stp>[DataSheet2.3.xlsm]BRL_DATA!R13C50</stp>
        <tr r="AX13" s="59"/>
      </tp>
      <tp>
        <v>567.08000000000004</v>
        <stp/>
        <stp>##V3_BDPV12</stp>
        <stp>BCN9M BGN Curncy</stp>
        <stp>ASK</stp>
        <stp>[DataSheet2.3.xlsm]BRL_DATA!R14C50</stp>
        <tr r="AX14" s="59"/>
      </tp>
      <tp>
        <v>-14</v>
        <stp/>
        <stp>##V3_BDPV12</stp>
        <stp>HDBS7 ICHK Curncy</stp>
        <stp>LAST_PRICE</stp>
        <stp>[DataSheet2.2.xlsm]HKD_DATA!R15C43</stp>
        <tr r="AQ15" s="52"/>
      </tp>
      <tp>
        <v>1.89</v>
        <stp/>
        <stp>##V3_BDPV12</stp>
        <stp>RNSW2 CCMK Curncy</stp>
        <stp>LAST_PRICE</stp>
        <stp>[DataSheet2.2.xlsm]RON_DATA!R13C20</stp>
        <tr r="T13" s="16"/>
      </tp>
      <tp>
        <v>-38.383000000000003</v>
        <stp/>
        <stp>##V3_BDPV12</stp>
        <stp>UDUSSW3 GFID Curncy</stp>
        <stp>PX_LAST</stp>
        <stp>[DataSheet2.2.xlsm]AED_DATA!R9C43</stp>
        <tr r="AQ9" s="18"/>
      </tp>
      <tp>
        <v>152.4</v>
        <stp/>
        <stp>##V3_BDPV12</stp>
        <stp>BCN3M BGN Curncy</stp>
        <stp>LAST_PRICE</stp>
        <stp>[DataSheet2.3.xlsm]BRL_DATA!R12C51</stp>
        <tr r="AY12" s="59"/>
      </tp>
      <tp>
        <v>14.56</v>
        <stp/>
        <stp>##V3_BDPV12</stp>
        <stp>CAD2Y BGN Curncy</stp>
        <stp>LAST_PRICE</stp>
        <stp>[DataSheet2.3.xlsm]CAD_DATA!R19C51</stp>
        <tr r="AY19" s="48"/>
      </tp>
      <tp>
        <v>41651.61</v>
        <stp/>
        <stp>##V3_BDPV12</stp>
        <stp>BCN10Y BGN Curncy</stp>
        <stp>BID</stp>
        <stp>[DataSheet2.3.xlsm]BRL_DATA!R21C49</stp>
        <tr r="AW21" s="59"/>
      </tp>
      <tp>
        <v>42848.82</v>
        <stp/>
        <stp>##V3_BDPV12</stp>
        <stp>BCN10Y BGN Curncy</stp>
        <stp>ASK</stp>
        <stp>[DataSheet2.3.xlsm]BRL_DATA!R21C50</stp>
        <tr r="AX21" s="59"/>
      </tp>
      <tp>
        <v>-7.89</v>
        <stp/>
        <stp>##V3_BDPV12</stp>
        <stp>CAD6M BGN Curncy</stp>
        <stp>LAST_PRICE</stp>
        <stp>[DataSheet2.3.xlsm]GBP_DATA!R15C51</stp>
        <tr r="AY15" s="58"/>
      </tp>
      <tp>
        <v>-2.1</v>
        <stp/>
        <stp>##V3_BDPV12</stp>
        <stp>CAD2M BGN Curncy</stp>
        <stp>LAST_PRICE</stp>
        <stp>[DataSheet2.3.xlsm]CAD_DATA!R13C51</stp>
        <tr r="AY13" s="48"/>
      </tp>
      <tp>
        <v>6167.26</v>
        <stp/>
        <stp>##V3_BDPV12</stp>
        <stp>BCN3Y BGN Curncy</stp>
        <stp>LAST_PRICE</stp>
        <stp>[DataSheet2.3.xlsm]BRL_DATA!R17C51</stp>
        <tr r="AY17" s="59"/>
      </tp>
      <tp>
        <v>1</v>
        <stp/>
        <stp>##V3_BDPV12</stp>
        <stp>HFBSV4 ICPL Curncy</stp>
        <stp>LAST_PRICE</stp>
        <stp>[DataSheet2.2.xlsm]HUF_DATA!R18C25</stp>
        <tr r="Y18" s="15"/>
      </tp>
      <tp>
        <v>1.405</v>
        <stp/>
        <stp>##V3_BDPV12</stp>
        <stp>PZSW20 ICPL Curncy</stp>
        <stp>LAST_PRICE</stp>
        <stp>[DataSheet2.2.xlsm]PLN_DATA!R29C20</stp>
        <tr r="T29" s="12"/>
      </tp>
      <tp>
        <v>1.0549999999999999</v>
        <stp/>
        <stp>##V3_BDPV12</stp>
        <stp>PZSW10 ICPL Curncy</stp>
        <stp>LAST_PRICE</stp>
        <stp>[DataSheet2.2.xlsm]PLN_DATA!R26C20</stp>
        <tr r="T26" s="12"/>
      </tp>
      <tp>
        <v>4</v>
        <stp/>
        <stp>##V3_BDPV12</stp>
        <stp>CKBSV2 ICPL Curncy</stp>
        <stp>LAST_PRICE</stp>
        <stp>[DataSheet2.2.xlsm]CZK_DATA!R16C25</stp>
        <tr r="Y16" s="14"/>
      </tp>
      <tp>
        <v>4</v>
        <stp/>
        <stp>##V3_BDPV12</stp>
        <stp>CKBSV2 ICPL Curncy</stp>
        <stp>LAST_PRICE</stp>
        <stp>[DataSheet2.3.xlsm]CAD_DATA!R16C25</stp>
        <tr r="Y16" s="48"/>
      </tp>
      <tp>
        <v>4.6070000000000002</v>
        <stp/>
        <stp>##V3_BDPV12</stp>
        <stp>IRSWO5 FMDR Curncy</stp>
        <stp>LAST_PRICE</stp>
        <stp>[DataSheet2.2.xlsm]INR_DATA!R17C12</stp>
        <tr r="L17" s="54"/>
      </tp>
      <tp>
        <v>7.75</v>
        <stp/>
        <stp>##V3_BDPV12</stp>
        <stp>CKBSV6 ICPL Curncy</stp>
        <stp>LAST_PRICE</stp>
        <stp>[DataSheet2.3.xlsm]GBP_DATA!R20C25</stp>
        <tr r="Y20" s="58"/>
      </tp>
      <tp>
        <v>0.87529999999999997</v>
        <stp/>
        <stp>##V3_BDPV12</stp>
        <stp>USSWAP15 CMPN Curncy</stp>
        <stp>LAST_PRICE</stp>
        <stp>[DataSheet2.3.xlsm]USD_DATA!R47C9</stp>
        <tr r="I47" s="6"/>
      </tp>
      <tp>
        <v>1.89</v>
        <stp/>
        <stp>##V3_BDPV12</stp>
        <stp>RNSW5 CCMK Curncy</stp>
        <stp>LAST_PRICE</stp>
        <stp>[DataSheet2.2.xlsm]RON_DATA!R16C20</stp>
        <tr r="T16" s="16"/>
      </tp>
      <tp>
        <v>11</v>
        <stp/>
        <stp>##V3_BDPV12</stp>
        <stp>SRBS1 GFID Curncy</stp>
        <stp>LAST_PRICE</stp>
        <stp>[DataSheet2.2.xlsm]SAR_DATA!R11C25</stp>
        <tr r="Y11" s="19"/>
      </tp>
      <tp>
        <v>4.5</v>
        <stp/>
        <stp>##V3_BDPV12</stp>
        <stp>EUBSAT12 Curncy</stp>
        <stp>LAST_PRICE</stp>
        <stp>[DataSheet2.3.xlsm]EUR_DATA!R21C30</stp>
        <tr r="AD21" s="31"/>
      </tp>
      <tp>
        <v>4.55</v>
        <stp/>
        <stp>##V3_BDPV12</stp>
        <stp>EUBSAT10 Curncy</stp>
        <stp>LAST_PRICE</stp>
        <stp>[DataSheet2.3.xlsm]EUR_DATA!R20C30</stp>
        <tr r="AD20" s="31"/>
      </tp>
      <tp>
        <v>4.3</v>
        <stp/>
        <stp>##V3_BDPV12</stp>
        <stp>EUBSAT15 Curncy</stp>
        <stp>LAST_PRICE</stp>
        <stp>[DataSheet2.3.xlsm]EUR_DATA!R22C30</stp>
        <tr r="AD22" s="31"/>
      </tp>
      <tp>
        <v>99</v>
        <stp/>
        <stp>##V3_BDPV12</stp>
        <stp>BCN2M BGN Curncy</stp>
        <stp>LAST_PRICE</stp>
        <stp>[DataSheet2.3.xlsm]BRL_DATA!R11C51</stp>
        <tr r="AY11" s="59"/>
      </tp>
      <tp>
        <v>244.9</v>
        <stp/>
        <stp>##V3_BDPV12</stp>
        <stp>CAD7Y BGN Curncy</stp>
        <stp>LAST_PRICE</stp>
        <stp>[DataSheet2.3.xlsm]GBP_DATA!R23C51</stp>
        <tr r="AY23" s="58"/>
      </tp>
      <tp>
        <v>57.4</v>
        <stp/>
        <stp>##V3_BDPV12</stp>
        <stp>CAD3Y BGN Curncy</stp>
        <stp>LAST_PRICE</stp>
        <stp>[DataSheet2.3.xlsm]CAD_DATA!R20C51</stp>
        <tr r="AY20" s="48"/>
      </tp>
      <tp>
        <v>-2.95</v>
        <stp/>
        <stp>##V3_BDPV12</stp>
        <stp>CAD3M BGN Curncy</stp>
        <stp>LAST_PRICE</stp>
        <stp>[DataSheet2.3.xlsm]CAD_DATA!R14C51</stp>
        <tr r="AY14" s="48"/>
      </tp>
      <tp>
        <v>2845.71</v>
        <stp/>
        <stp>##V3_BDPV12</stp>
        <stp>BCN2Y BGN Curncy</stp>
        <stp>LAST_PRICE</stp>
        <stp>[DataSheet2.3.xlsm]BRL_DATA!R16C51</stp>
        <tr r="AY16" s="59"/>
      </tp>
      <tp>
        <v>4.16</v>
        <stp/>
        <stp>##V3_BDPV12</stp>
        <stp>RRSO2Z BGN Curncy</stp>
        <stp>ASK</stp>
        <stp>[DataSheet2.2.xlsm]RUB_DATA!R9C11</stp>
        <tr r="K9" s="4"/>
      </tp>
      <tp>
        <v>8</v>
        <stp/>
        <stp>##V3_BDPV12</stp>
        <stp>HFEBS5 ICPL Curncy</stp>
        <stp>LAST_PRICE</stp>
        <stp>[DataSheet2.2.xlsm]HUF_DATA!R11C43</stp>
        <tr r="AQ11" s="15"/>
      </tp>
      <tp>
        <v>1</v>
        <stp/>
        <stp>##V3_BDPV12</stp>
        <stp>HFBSV5 ICPL Curncy</stp>
        <stp>LAST_PRICE</stp>
        <stp>[DataSheet2.2.xlsm]HUF_DATA!R19C25</stp>
        <tr r="Y19" s="15"/>
      </tp>
      <tp>
        <v>4.75</v>
        <stp/>
        <stp>##V3_BDPV12</stp>
        <stp>CKBSV3 ICPL Curncy</stp>
        <stp>LAST_PRICE</stp>
        <stp>[DataSheet2.2.xlsm]CZK_DATA!R17C25</stp>
        <tr r="Y17" s="14"/>
      </tp>
      <tp>
        <v>-20</v>
        <stp/>
        <stp>##V3_BDPV12</stp>
        <stp>HDBB15 TPRA Curncy</stp>
        <stp>LAST_PRICE</stp>
        <stp>[DataSheet2.2.xlsm]HKD_DATA!R21C25</stp>
        <tr r="Y21" s="52"/>
      </tp>
      <tp>
        <v>4.75</v>
        <stp/>
        <stp>##V3_BDPV12</stp>
        <stp>CKBSV3 ICPL Curncy</stp>
        <stp>LAST_PRICE</stp>
        <stp>[DataSheet2.3.xlsm]CAD_DATA!R17C25</stp>
        <tr r="Y17" s="48"/>
      </tp>
      <tp>
        <v>4.4790000000000001</v>
        <stp/>
        <stp>##V3_BDPV12</stp>
        <stp>IRSWO4 FMDR Curncy</stp>
        <stp>LAST_PRICE</stp>
        <stp>[DataSheet2.2.xlsm]INR_DATA!R16C12</stp>
        <tr r="L16" s="54"/>
      </tp>
      <tp>
        <v>9.5</v>
        <stp/>
        <stp>##V3_BDPV12</stp>
        <stp>CKBSV7 ICPL Curncy</stp>
        <stp>LAST_PRICE</stp>
        <stp>[DataSheet2.3.xlsm]GBP_DATA!R21C25</stp>
        <tr r="Y21" s="58"/>
      </tp>
      <tp>
        <v>5</v>
        <stp/>
        <stp>##V3_BDPV12</stp>
        <stp>PZBSV1 ICPL Curncy</stp>
        <stp>LAST_PRICE</stp>
        <stp>[DataSheet2.2.xlsm]PLN_DATA!R14C25</stp>
        <tr r="Y14" s="12"/>
      </tp>
      <tp>
        <v>0.77400000000000002</v>
        <stp/>
        <stp>##V3_BDPV12</stp>
        <stp>USSWAP12 CMPN Curncy</stp>
        <stp>LAST_PRICE</stp>
        <stp>[DataSheet2.3.xlsm]USD_DATA!R46C9</stp>
        <tr r="I46" s="6"/>
      </tp>
      <tp>
        <v>-0.06</v>
        <stp/>
        <stp>##V3_BDPV12</stp>
        <stp>JYFR9/12 MTRT Curncy</stp>
        <stp>PX_LAST</stp>
        <stp>[DataSheet2.3.xlsm]JPY_DATA!R11C17</stp>
        <tr r="Q11" s="46"/>
      </tp>
      <tp>
        <v>0.24</v>
        <stp/>
        <stp>##V3_BDPV12</stp>
        <stp>HDSO1 TRHK Curncy</stp>
        <stp>LAST_PRICE</stp>
        <stp>[DataSheet2.2.xlsm]HKD_DATA!R13C12</stp>
        <tr r="L13" s="52"/>
      </tp>
      <tp>
        <v>1.88</v>
        <stp/>
        <stp>##V3_BDPV12</stp>
        <stp>RNSW4 CCMK Curncy</stp>
        <stp>LAST_PRICE</stp>
        <stp>[DataSheet2.2.xlsm]RON_DATA!R15C20</stp>
        <tr r="T15" s="16"/>
      </tp>
      <tp>
        <v>-63</v>
        <stp/>
        <stp>##V3_BDPV12</stp>
        <stp>ISBS1 ICPL Curncy</stp>
        <stp>BID</stp>
        <stp>[DataSheet2.2.xlsm]ILS_DATA!R7C41</stp>
        <tr r="AO7" s="17"/>
      </tp>
      <tp>
        <v>47.8</v>
        <stp/>
        <stp>##V3_BDPV12</stp>
        <stp>BCN1M BGN Curncy</stp>
        <stp>LAST_PRICE</stp>
        <stp>[DataSheet2.3.xlsm]BRL_DATA!R10C51</stp>
        <tr r="AY10" s="59"/>
      </tp>
      <tp>
        <v>113.56</v>
        <stp/>
        <stp>##V3_BDPV12</stp>
        <stp>CAD4Y BGN Curncy</stp>
        <stp>LAST_PRICE</stp>
        <stp>[DataSheet2.3.xlsm]GBP_DATA!R21C51</stp>
        <tr r="AY21" s="58"/>
      </tp>
      <tp>
        <v>-49.26</v>
        <stp/>
        <stp>##V3_BDPV12</stp>
        <stp>JPY9M BGN Curncy</stp>
        <stp>LAST_PRICE</stp>
        <stp>[DataSheet2.3.xlsm]JPY_DATA!R19C41</stp>
        <tr r="AO19" s="46"/>
      </tp>
      <tp>
        <v>-1076.04</v>
        <stp/>
        <stp>##V3_BDPV12</stp>
        <stp>JPY9Y BGN Curncy</stp>
        <stp>LAST_PRICE</stp>
        <stp>[DataSheet2.3.xlsm]JPY_DATA!R31C41</stp>
        <tr r="AO31" s="46"/>
      </tp>
      <tp>
        <v>7.75</v>
        <stp/>
        <stp>##V3_BDPV12</stp>
        <stp>HFEBS6 ICPL Curncy</stp>
        <stp>LAST_PRICE</stp>
        <stp>[DataSheet2.2.xlsm]HUF_DATA!R12C43</stp>
        <tr r="AQ12" s="15"/>
      </tp>
      <tp>
        <v>1</v>
        <stp/>
        <stp>##V3_BDPV12</stp>
        <stp>HFBSV6 ICPL Curncy</stp>
        <stp>LAST_PRICE</stp>
        <stp>[DataSheet2.2.xlsm]HUF_DATA!R20C25</stp>
        <tr r="Y20" s="15"/>
      </tp>
      <tp>
        <v>6.07</v>
        <stp/>
        <stp>##V3_BDPV12</stp>
        <stp>RRSWM8 TRPU Curncy</stp>
        <stp>LAST_PRICE</stp>
        <stp>[DataSheet2.2.xlsm]RUB_DATA!R25C20</stp>
        <tr r="T25" s="4"/>
      </tp>
      <tp>
        <v>1.1850000000000001</v>
        <stp/>
        <stp>##V3_BDPV12</stp>
        <stp>PZSW12 ICPL Curncy</stp>
        <stp>LAST_PRICE</stp>
        <stp>[DataSheet2.2.xlsm]PLN_DATA!R27C20</stp>
        <tr r="T27" s="12"/>
      </tp>
      <tp>
        <v>4.8680000000000003</v>
        <stp/>
        <stp>##V3_BDPV12</stp>
        <stp>IRSWO7 FMDR Curncy</stp>
        <stp>LAST_PRICE</stp>
        <stp>[DataSheet2.2.xlsm]INR_DATA!R18C12</stp>
        <tr r="L18" s="54"/>
      </tp>
      <tp>
        <v>5.75</v>
        <stp/>
        <stp>##V3_BDPV12</stp>
        <stp>CKBSV4 ICPL Curncy</stp>
        <stp>LAST_PRICE</stp>
        <stp>[DataSheet2.3.xlsm]GBP_DATA!R18C25</stp>
        <tr r="Y18" s="58"/>
      </tp>
      <tp>
        <v>6.3</v>
        <stp/>
        <stp>##V3_BDPV12</stp>
        <stp>PZBSV2 ICPL Curncy</stp>
        <stp>LAST_PRICE</stp>
        <stp>[DataSheet2.2.xlsm]PLN_DATA!R15C25</stp>
        <tr r="Y15" s="12"/>
      </tp>
      <tp>
        <v>0.71199999999999997</v>
        <stp/>
        <stp>##V3_BDPV12</stp>
        <stp>EURSN Curncy</stp>
        <stp>PX_LAST</stp>
        <stp>[DataSheet2.3.xlsm]EUR_DATA!R38C54</stp>
        <tr r="BB38" s="31"/>
      </tp>
      <tp>
        <v>0.67520000000000002</v>
        <stp/>
        <stp>##V3_BDPV12</stp>
        <stp>USSWAP10 CMPN Curncy</stp>
        <stp>LAST_PRICE</stp>
        <stp>[DataSheet2.3.xlsm]USD_DATA!R45C9</stp>
        <tr r="I45" s="6"/>
      </tp>
      <tp>
        <v>-12</v>
        <stp/>
        <stp>##V3_BDPV12</stp>
        <stp>HDBS2 ICHK Curncy</stp>
        <stp>LAST_PRICE</stp>
        <stp>[DataSheet2.2.xlsm]HKD_DATA!R11C43</stp>
        <tr r="AQ11" s="52"/>
      </tp>
      <tp>
        <v>1.93</v>
        <stp/>
        <stp>##V3_BDPV12</stp>
        <stp>RNSW7 CCMK Curncy</stp>
        <stp>LAST_PRICE</stp>
        <stp>[DataSheet2.2.xlsm]RON_DATA!R18C20</stp>
        <tr r="T18" s="16"/>
      </tp>
      <tp>
        <v>13</v>
        <stp/>
        <stp>##V3_BDPV12</stp>
        <stp>SRBS3 GFID Curncy</stp>
        <stp>LAST_PRICE</stp>
        <stp>[DataSheet2.2.xlsm]SAR_DATA!R13C25</stp>
        <tr r="Y13" s="19"/>
      </tp>
      <tp>
        <v>3.4</v>
        <stp/>
        <stp>##V3_BDPV12</stp>
        <stp>EUBSAT30 Curncy</stp>
        <stp>LAST_PRICE</stp>
        <stp>[DataSheet2.3.xlsm]EUR_DATA!R25C30</stp>
        <tr r="AD25" s="31"/>
      </tp>
      <tp>
        <v>-65</v>
        <stp/>
        <stp>##V3_BDPV12</stp>
        <stp>ISBS2 ICPL Curncy</stp>
        <stp>BID</stp>
        <stp>[DataSheet2.2.xlsm]ILS_DATA!R8C41</stp>
        <tr r="AO8" s="17"/>
      </tp>
      <tp>
        <v>0.87</v>
        <stp/>
        <stp>##V3_BDPV12</stp>
        <stp>CAD18M BGN Curncy</stp>
        <stp>LAST_PRICE</stp>
        <stp>[DataSheet2.3.xlsm]GBP_DATA!R18C51</stp>
        <tr r="AY18" s="58"/>
      </tp>
      <tp>
        <v>164.66</v>
        <stp/>
        <stp>##V3_BDPV12</stp>
        <stp>CAD5Y BGN Curncy</stp>
        <stp>LAST_PRICE</stp>
        <stp>[DataSheet2.3.xlsm]GBP_DATA!R22C51</stp>
        <tr r="AY22" s="58"/>
      </tp>
      <tp>
        <v>333.45</v>
        <stp/>
        <stp>##V3_BDPV12</stp>
        <stp>CAD10Y BGN Curncy</stp>
        <stp>BID</stp>
        <stp>[DataSheet2.3.xlsm]CAD_DATA!R24C49</stp>
        <tr r="AW24" s="48"/>
      </tp>
      <tp>
        <v>-1.39</v>
        <stp/>
        <stp>##V3_BDPV12</stp>
        <stp>CAD1M BGN Curncy</stp>
        <stp>LAST_PRICE</stp>
        <stp>[DataSheet2.3.xlsm]CAD_DATA!R12C51</stp>
        <tr r="AY12" s="48"/>
      </tp>
      <tp>
        <v>354.46</v>
        <stp/>
        <stp>##V3_BDPV12</stp>
        <stp>CAD10Y BGN Curncy</stp>
        <stp>ASK</stp>
        <stp>[DataSheet2.3.xlsm]CAD_DATA!R24C50</stp>
        <tr r="AX24" s="48"/>
      </tp>
      <tp>
        <v>-915.69</v>
        <stp/>
        <stp>##V3_BDPV12</stp>
        <stp>JPY8Y BGN Curncy</stp>
        <stp>LAST_PRICE</stp>
        <stp>[DataSheet2.3.xlsm]JPY_DATA!R30C41</stp>
        <tr r="AO30" s="46"/>
      </tp>
      <tp>
        <v>7.5</v>
        <stp/>
        <stp>##V3_BDPV12</stp>
        <stp>HFEBS7 ICPL Curncy</stp>
        <stp>LAST_PRICE</stp>
        <stp>[DataSheet2.2.xlsm]HUF_DATA!R13C43</stp>
        <tr r="AQ13" s="15"/>
      </tp>
      <tp>
        <v>1</v>
        <stp/>
        <stp>##V3_BDPV12</stp>
        <stp>HFBSV7 ICPL Curncy</stp>
        <stp>LAST_PRICE</stp>
        <stp>[DataSheet2.2.xlsm]HUF_DATA!R21C25</stp>
        <tr r="Y21" s="15"/>
      </tp>
      <tp>
        <v>6.19</v>
        <stp/>
        <stp>##V3_BDPV12</stp>
        <stp>RRSWM9 TRPU Curncy</stp>
        <stp>LAST_PRICE</stp>
        <stp>[DataSheet2.2.xlsm]RUB_DATA!R26C20</stp>
        <tr r="T26" s="4"/>
      </tp>
      <tp>
        <v>1.0900000000000001</v>
        <stp/>
        <stp>##V3_BDPV12</stp>
        <stp>HDSW15 CMPN Curncy</stp>
        <stp>LAST_PRICE</stp>
        <stp>[DataSheet2.2.xlsm]HKD_DATA!R28C20</stp>
        <tr r="T28" s="52"/>
      </tp>
      <tp>
        <v>1.0900000000000001</v>
        <stp/>
        <stp>##V3_BDPV12</stp>
        <stp>HDSW15 CMPN Curncy</stp>
        <stp>LAST_PRICE</stp>
        <stp>[DataSheet2.2.xlsm]HKD_DATA!R27C20</stp>
        <tr r="T27" s="52"/>
      </tp>
      <tp>
        <v>1.0900000000000001</v>
        <stp/>
        <stp>##V3_BDPV12</stp>
        <stp>HDSW15 CMPN Curncy</stp>
        <stp>LAST_PRICE</stp>
        <stp>[DataSheet2.2.xlsm]HKD_DATA!R25C20</stp>
        <tr r="T25" s="52"/>
      </tp>
      <tp>
        <v>2.5</v>
        <stp/>
        <stp>##V3_BDPV12</stp>
        <stp>CKBSV1 ICPL Curncy</stp>
        <stp>LAST_PRICE</stp>
        <stp>[DataSheet2.2.xlsm]CZK_DATA!R15C25</stp>
        <tr r="Y15" s="14"/>
      </tp>
      <tp>
        <v>2.5</v>
        <stp/>
        <stp>##V3_BDPV12</stp>
        <stp>CKBSV1 ICPL Curncy</stp>
        <stp>LAST_PRICE</stp>
        <stp>[DataSheet2.3.xlsm]CAD_DATA!R15C25</stp>
        <tr r="Y15" s="48"/>
      </tp>
      <tp>
        <v>6.5</v>
        <stp/>
        <stp>##V3_BDPV12</stp>
        <stp>CKBSV5 ICPL Curncy</stp>
        <stp>LAST_PRICE</stp>
        <stp>[DataSheet2.3.xlsm]GBP_DATA!R19C25</stp>
        <tr r="Y19" s="58"/>
      </tp>
      <tp>
        <v>7.25</v>
        <stp/>
        <stp>##V3_BDPV12</stp>
        <stp>PZBSV3 ICPL Curncy</stp>
        <stp>LAST_PRICE</stp>
        <stp>[DataSheet2.2.xlsm]PLN_DATA!R16C25</stp>
        <tr r="Y16" s="12"/>
      </tp>
      <tp>
        <v>2.0750000000000002</v>
        <stp/>
        <stp>##V3_BDPV12</stp>
        <stp>HFSW15 TPRA Curncy</stp>
        <stp>LAST_PRICE</stp>
        <stp>[DataSheet2.2.xlsm]HUF_DATA!R28C20</stp>
        <tr r="T28" s="15"/>
      </tp>
      <tp>
        <v>14.200200000000001</v>
        <stp/>
        <stp>##V3_BDPV12</stp>
        <stp>TYSOI BGN Curncy</stp>
        <stp>ASK</stp>
        <stp>[DataSheet2.2.xlsm]TRY_DATA!R14C11</stp>
        <tr r="K14" s="10"/>
      </tp>
      <tp>
        <v>13.899800000000001</v>
        <stp/>
        <stp>##V3_BDPV12</stp>
        <stp>TYSOI BGN Curncy</stp>
        <stp>BID</stp>
        <stp>[DataSheet2.2.xlsm]TRY_DATA!R14C10</stp>
        <tr r="J14" s="10"/>
      </tp>
      <tp>
        <v>-1.88</v>
        <stp/>
        <stp>##V3_BDPV12</stp>
        <stp>CAD2M BGN Curncy</stp>
        <stp>ASK</stp>
        <stp>[DataSheet2.3.xlsm]GBP_DATA!R13C50</stp>
        <tr r="AX13" s="58"/>
      </tp>
      <tp>
        <v>-1.26</v>
        <stp/>
        <stp>##V3_BDPV12</stp>
        <stp>CAD1M BGN Curncy</stp>
        <stp>ASK</stp>
        <stp>[DataSheet2.3.xlsm]GBP_DATA!R12C50</stp>
        <tr r="AX12" s="58"/>
      </tp>
      <tp>
        <v>-7.4</v>
        <stp/>
        <stp>##V3_BDPV12</stp>
        <stp>CAD6M BGN Curncy</stp>
        <stp>ASK</stp>
        <stp>[DataSheet2.3.xlsm]GBP_DATA!R15C50</stp>
        <tr r="AX15" s="58"/>
      </tp>
      <tp>
        <v>-2.63</v>
        <stp/>
        <stp>##V3_BDPV12</stp>
        <stp>CAD3M BGN Curncy</stp>
        <stp>ASK</stp>
        <stp>[DataSheet2.3.xlsm]GBP_DATA!R14C50</stp>
        <tr r="AX14" s="58"/>
      </tp>
      <tp>
        <v>-6.17</v>
        <stp/>
        <stp>##V3_BDPV12</stp>
        <stp>CAD9M BGN Curncy</stp>
        <stp>ASK</stp>
        <stp>[DataSheet2.3.xlsm]GBP_DATA!R16C50</stp>
        <tr r="AX16" s="58"/>
      </tp>
      <tp>
        <v>-7.86</v>
        <stp/>
        <stp>##V3_BDPV12</stp>
        <stp>CAD9M BGN Curncy</stp>
        <stp>BID</stp>
        <stp>[DataSheet2.3.xlsm]GBP_DATA!R16C49</stp>
        <tr r="AW16" s="58"/>
      </tp>
      <tp>
        <v>-3.27</v>
        <stp/>
        <stp>##V3_BDPV12</stp>
        <stp>CAD3M BGN Curncy</stp>
        <stp>BID</stp>
        <stp>[DataSheet2.3.xlsm]GBP_DATA!R14C49</stp>
        <tr r="AW14" s="58"/>
      </tp>
      <tp>
        <v>-1.51</v>
        <stp/>
        <stp>##V3_BDPV12</stp>
        <stp>CAD1M BGN Curncy</stp>
        <stp>BID</stp>
        <stp>[DataSheet2.3.xlsm]GBP_DATA!R12C49</stp>
        <tr r="AW12" s="58"/>
      </tp>
      <tp>
        <v>-8.3800000000000008</v>
        <stp/>
        <stp>##V3_BDPV12</stp>
        <stp>CAD6M BGN Curncy</stp>
        <stp>BID</stp>
        <stp>[DataSheet2.3.xlsm]GBP_DATA!R15C49</stp>
        <tr r="AW15" s="58"/>
      </tp>
      <tp>
        <v>-2.3199999999999998</v>
        <stp/>
        <stp>##V3_BDPV12</stp>
        <stp>CAD2M BGN Curncy</stp>
        <stp>BID</stp>
        <stp>[DataSheet2.3.xlsm]GBP_DATA!R13C49</stp>
        <tr r="AW13" s="58"/>
      </tp>
      <tp>
        <v>-13</v>
        <stp/>
        <stp>##V3_BDPV12</stp>
        <stp>HDBS3 ICHK Curncy</stp>
        <stp>LAST_PRICE</stp>
        <stp>[DataSheet2.2.xlsm]HKD_DATA!R12C43</stp>
        <tr r="AQ12" s="52"/>
      </tp>
      <tp>
        <v>1.91</v>
        <stp/>
        <stp>##V3_BDPV12</stp>
        <stp>RNSW6 CCMK Curncy</stp>
        <stp>LAST_PRICE</stp>
        <stp>[DataSheet2.2.xlsm]RON_DATA!R17C20</stp>
        <tr r="T17" s="16"/>
      </tp>
      <tp>
        <v>12</v>
        <stp/>
        <stp>##V3_BDPV12</stp>
        <stp>SRBS2 GFID Curncy</stp>
        <stp>LAST_PRICE</stp>
        <stp>[DataSheet2.2.xlsm]SAR_DATA!R12C25</stp>
        <tr r="Y12" s="19"/>
      </tp>
      <tp>
        <v>4.05</v>
        <stp/>
        <stp>##V3_BDPV12</stp>
        <stp>EUBSAT20 Curncy</stp>
        <stp>LAST_PRICE</stp>
        <stp>[DataSheet2.3.xlsm]EUR_DATA!R23C30</stp>
        <tr r="AD23" s="31"/>
      </tp>
      <tp>
        <v>3.7</v>
        <stp/>
        <stp>##V3_BDPV12</stp>
        <stp>EUBSAT25 Curncy</stp>
        <stp>LAST_PRICE</stp>
        <stp>[DataSheet2.3.xlsm]EUR_DATA!R24C30</stp>
        <tr r="AD24" s="31"/>
      </tp>
      <tp>
        <v>-66</v>
        <stp/>
        <stp>##V3_BDPV12</stp>
        <stp>ISBS3 ICPL Curncy</stp>
        <stp>BID</stp>
        <stp>[DataSheet2.2.xlsm]ILS_DATA!R9C41</stp>
        <tr r="AO9" s="17"/>
      </tp>
      <tp>
        <v>9899.8700000000008</v>
        <stp/>
        <stp>##V3_BDPV12</stp>
        <stp>TRY9M BGN Curncy</stp>
        <stp>LAST_PRICE</stp>
        <stp>[DataSheet2.2.xlsm]TRY_DATA!R18C51</stp>
        <tr r="AY18" s="10"/>
      </tp>
      <tp>
        <v>0.94</v>
        <stp/>
        <stp>##V3_BDPV12</stp>
        <stp>SAIB6M Index</stp>
        <stp>LAST_PRICE</stp>
        <stp>[DataSheet2.2.xlsm]INR_DATA!R10C20</stp>
        <tr r="T10" s="54"/>
      </tp>
      <tp>
        <v>2.4660000000000002</v>
        <stp/>
        <stp>##V3_BDPV12</stp>
        <stp>SRSW10 GMGM Curncy</stp>
        <stp>LAST_PRICE</stp>
        <stp>[DataSheet2.2.xlsm]SAR_DATA!R24C20</stp>
        <tr r="T24" s="19"/>
      </tp>
      <tp>
        <v>33.75</v>
        <stp/>
        <stp>##V3_BDPV12</stp>
        <stp>USBL25 PREB Curncy</stp>
        <stp>LAST_PRICE</stp>
        <stp>[DataSheet2.3.xlsm]USD_DATA!R17C32</stp>
        <tr r="AF17" s="6"/>
      </tp>
      <tp>
        <v>33.375</v>
        <stp/>
        <stp>##V3_BDPV12</stp>
        <stp>USBL15 PREB Curncy</stp>
        <stp>LAST_PRICE</stp>
        <stp>[DataSheet2.3.xlsm]USD_DATA!R15C32</stp>
        <tr r="AF15" s="6"/>
      </tp>
      <tp>
        <v>0.26</v>
        <stp/>
        <stp>##V3_BDPV12</stp>
        <stp>HDSQO2 TRHK Curncy</stp>
        <stp>LAST_PRICE</stp>
        <stp>[DataSheet2.2.xlsm]HKD_DATA!R15C12</stp>
        <tr r="L15" s="52"/>
      </tp>
      <tp>
        <v>18</v>
        <stp/>
        <stp>##V3_BDPV12</stp>
        <stp>UDBSV4 GMGM Curncy</stp>
        <stp>LAST_PRICE</stp>
        <stp>[DataSheet2.2.xlsm]AED_DATA!R12C30</stp>
        <tr r="AD12" s="18"/>
      </tp>
      <tp>
        <v>-0.48899999999999999</v>
        <stp/>
        <stp>##V3_BDPV12</stp>
        <stp>EUSWE6 ICPL Curncy</stp>
        <stp>LAST_PRICE</stp>
        <stp>[DataSheet2.3.xlsm]EUR_DATA!R21C12</stp>
        <tr r="L21" s="31"/>
      </tp>
      <tp>
        <v>4</v>
        <stp/>
        <stp>##V3_BDPV12</stp>
        <stp>HFEBS1 ICPL Curncy</stp>
        <stp>BID</stp>
        <stp>[DataSheet2.2.xlsm]HUF_DATA!R7C41</stp>
        <tr r="AO7" s="15"/>
      </tp>
      <tp t="s">
        <v>16/03/2022</v>
        <stp/>
        <stp>##V3_BDPV12</stp>
        <stp>ED7 Comdty</stp>
        <stp>INT_RATE_FUT_START_DT</stp>
        <stp>[DataSheet2.3.xlsm]USD_DATA!R17C15</stp>
        <tr r="O17" s="6"/>
      </tp>
      <tp t="s">
        <v>15/12/2021</v>
        <stp/>
        <stp>##V3_BDPV12</stp>
        <stp>ED6 Comdty</stp>
        <stp>INT_RATE_FUT_START_DT</stp>
        <stp>[DataSheet2.3.xlsm]USD_DATA!R16C15</stp>
        <tr r="O16" s="6"/>
      </tp>
      <tp t="s">
        <v>15/09/2021</v>
        <stp/>
        <stp>##V3_BDPV12</stp>
        <stp>ED5 Comdty</stp>
        <stp>INT_RATE_FUT_START_DT</stp>
        <stp>[DataSheet2.3.xlsm]USD_DATA!R15C15</stp>
        <tr r="O15" s="6"/>
      </tp>
      <tp t="s">
        <v>16/06/2021</v>
        <stp/>
        <stp>##V3_BDPV12</stp>
        <stp>ED4 Comdty</stp>
        <stp>INT_RATE_FUT_START_DT</stp>
        <stp>[DataSheet2.3.xlsm]USD_DATA!R14C15</stp>
        <tr r="O14" s="6"/>
      </tp>
      <tp>
        <v>-12</v>
        <stp/>
        <stp>##V3_BDPV12</stp>
        <stp>HDBS12 ICHK Curncy</stp>
        <stp>LAST_PRICE</stp>
        <stp>[DataSheet2.2.xlsm]HKD_DATA!R17C43</stp>
        <tr r="AQ17" s="52"/>
      </tp>
      <tp t="s">
        <v>17/03/2021</v>
        <stp/>
        <stp>##V3_BDPV12</stp>
        <stp>ED3 Comdty</stp>
        <stp>INT_RATE_FUT_START_DT</stp>
        <stp>[DataSheet2.3.xlsm]USD_DATA!R13C15</stp>
        <tr r="O13" s="6"/>
      </tp>
      <tp t="s">
        <v>16/12/2020</v>
        <stp/>
        <stp>##V3_BDPV12</stp>
        <stp>ED2 Comdty</stp>
        <stp>INT_RATE_FUT_START_DT</stp>
        <stp>[DataSheet2.3.xlsm]USD_DATA!R12C15</stp>
        <tr r="O12" s="6"/>
      </tp>
      <tp t="s">
        <v>16/09/2020</v>
        <stp/>
        <stp>##V3_BDPV12</stp>
        <stp>ED1 Comdty</stp>
        <stp>INT_RATE_FUT_START_DT</stp>
        <stp>[DataSheet2.3.xlsm]USD_DATA!R11C15</stp>
        <tr r="O11" s="6"/>
      </tp>
      <tp t="s">
        <v>15/06/2022</v>
        <stp/>
        <stp>##V3_BDPV12</stp>
        <stp>ED8 Comdty</stp>
        <stp>INT_RATE_FUT_START_DT</stp>
        <stp>[DataSheet2.3.xlsm]USD_DATA!R18C15</stp>
        <tr r="O18" s="6"/>
      </tp>
      <tp>
        <v>0.625</v>
        <stp/>
        <stp>##V3_BDPV12</stp>
        <stp>HDSW4 CMPN Curncy</stp>
        <stp>LAST_PRICE</stp>
        <stp>[DataSheet2.2.xlsm]HKD_DATA!R20C20</stp>
        <tr r="T20" s="52"/>
      </tp>
      <tp>
        <v>16</v>
        <stp/>
        <stp>##V3_BDPV12</stp>
        <stp>UDBS7 GMGM Curncy</stp>
        <stp>LAST_PRICE</stp>
        <stp>[DataSheet2.2.xlsm]AED_DATA!R12C25</stp>
        <tr r="Y12" s="18"/>
      </tp>
      <tp>
        <v>1.4490000000000001</v>
        <stp/>
        <stp>##V3_BDPV12</stp>
        <stp>UDSW7 GMGM Curncy</stp>
        <stp>LAST_PRICE</stp>
        <stp>[DataSheet2.2.xlsm]AED_DATA!R23C20</stp>
        <tr r="T23" s="18"/>
      </tp>
      <tp>
        <v>9.625</v>
        <stp/>
        <stp>##V3_BDPV12</stp>
        <stp>USBA4 ICPL Curncy</stp>
        <stp>LAST_PRICE</stp>
        <stp>[DataSheet2.3.xlsm]USD_DATA!R10C27</stp>
        <tr r="AA10" s="6"/>
      </tp>
      <tp>
        <v>-0.45100000000000001</v>
        <stp/>
        <stp>##V3_BDPV12</stp>
        <stp>EUSA4 ICPL Curncy</stp>
        <stp>LAST_PRICE</stp>
        <stp>[DataSheet2.3.xlsm]EUR_DATA!R24C25</stp>
        <tr r="Y24" s="31"/>
      </tp>
      <tp>
        <v>9.75</v>
        <stp/>
        <stp>##V3_BDPV12</stp>
        <stp>USBC4 ICPL Curncy</stp>
        <stp>LAST_PRICE</stp>
        <stp>[DataSheet2.3.xlsm]USD_DATA!R10C22</stp>
        <tr r="V10" s="6"/>
      </tp>
      <tp>
        <v>4.37</v>
        <stp/>
        <stp>##V3_BDPV12</stp>
        <stp>RRSO1 GFUN Curncy</stp>
        <stp>LAST_PRICE</stp>
        <stp>[DataSheet2.2.xlsm]RUB_DATA!R15C12</stp>
        <tr r="L15" s="4"/>
      </tp>
      <tp>
        <v>-13.875</v>
        <stp/>
        <stp>##V3_BDPV12</stp>
        <stp>EUBS4 ICPL Curncy</stp>
        <stp>LAST_PRICE</stp>
        <stp>[DataSheet2.3.xlsm]EUR_DATA!R14C46</stp>
        <tr r="AT14" s="31"/>
      </tp>
      <tp>
        <v>444</v>
        <stp/>
        <stp>##V3_BDPV12</stp>
        <stp>TYBS1 ICPL Curncy</stp>
        <stp>BID</stp>
        <stp>[DataSheet2.2.xlsm]TRY_DATA!R7C41</stp>
        <tr r="AO7" s="10"/>
      </tp>
      <tp>
        <v>1.415</v>
        <stp/>
        <stp>##V3_BDPV12</stp>
        <stp>HFSW6 TPRA Curncy</stp>
        <stp>LAST_PRICE</stp>
        <stp>[DataSheet2.2.xlsm]HUF_DATA!R22C20</stp>
        <tr r="T22" s="15"/>
      </tp>
      <tp>
        <v>0.20499999999999999</v>
        <stp/>
        <stp>##V3_BDPV12</stp>
        <stp>ISSW4 ICPL Curncy</stp>
        <stp>LAST_PRICE</stp>
        <stp>[DataSheet2.2.xlsm]ILS_DATA!R21C20</stp>
        <tr r="T21" s="17"/>
      </tp>
      <tp>
        <v>4.625</v>
        <stp/>
        <stp>##V3_BDPV12</stp>
        <stp>JYBC6 MTRT Curncy</stp>
        <stp>LAST_PRICE</stp>
        <stp>[DataSheet2.3.xlsm]JPY_DATA!R18C17</stp>
        <tr r="Q18" s="46"/>
      </tp>
      <tp>
        <v>7.25</v>
        <stp/>
        <stp>##V3_BDPV12</stp>
        <stp>JYBB6 MTRT Curncy</stp>
        <stp>LAST_PRICE</stp>
        <stp>[DataSheet2.3.xlsm]JPY_DATA!R13C27</stp>
        <tr r="AA13" s="46"/>
      </tp>
      <tp>
        <v>-3.2500000000000001E-2</v>
        <stp/>
        <stp>##V3_BDPV12</stp>
        <stp>JYSW6 MTRT Curncy</stp>
        <stp>LAST_PRICE</stp>
        <stp>[DataSheet2.3.xlsm]JPY_DATA!R21C32</stp>
        <tr r="AF21" s="46"/>
      </tp>
      <tp>
        <v>-48.625</v>
        <stp/>
        <stp>##V3_BDPV12</stp>
        <stp>JYBS6 MTRT Curncy</stp>
        <stp>LAST_PRICE</stp>
        <stp>[DataSheet2.3.xlsm]JPY_DATA!R31C49</stp>
        <tr r="AW31" s="46"/>
      </tp>
      <tp>
        <v>0.47749999999999998</v>
        <stp/>
        <stp>##V3_BDPV12</stp>
        <stp>PZSW4 ICPL Curncy</stp>
        <stp>LAST_PRICE</stp>
        <stp>[DataSheet2.2.xlsm]PLN_DATA!R20C20</stp>
        <tr r="T20" s="12"/>
      </tp>
      <tp>
        <v>15</v>
        <stp/>
        <stp>##V3_BDPV12</stp>
        <stp>SRBS7 GFID Curncy</stp>
        <stp>LAST_PRICE</stp>
        <stp>[DataSheet2.2.xlsm]INR_DATA!R16C25</stp>
        <tr r="Y16" s="54"/>
      </tp>
      <tp t="s">
        <v>#N/A N/A</v>
        <stp/>
        <stp>##V3_BDPV12</stp>
        <stp>BISTTREF Index</stp>
        <stp>BID</stp>
        <stp>[DataSheet2.2.xlsm]TRY_DATA!R7C10</stp>
        <tr r="J7" s="10"/>
      </tp>
      <tp>
        <v>0.28000000000000003</v>
        <stp/>
        <stp>##V3_BDPV12</stp>
        <stp>HDSQO3 TRHK Curncy</stp>
        <stp>LAST_PRICE</stp>
        <stp>[DataSheet2.2.xlsm]HKD_DATA!R16C12</stp>
        <tr r="L16" s="52"/>
      </tp>
      <tp>
        <v>19</v>
        <stp/>
        <stp>##V3_BDPV12</stp>
        <stp>UDBSV5 GMGM Curncy</stp>
        <stp>LAST_PRICE</stp>
        <stp>[DataSheet2.2.xlsm]AED_DATA!R13C30</stp>
        <tr r="AD13" s="18"/>
      </tp>
      <tp>
        <v>-0.45100000000000001</v>
        <stp/>
        <stp>##V3_BDPV12</stp>
        <stp>EUSWE7 ICPL Curncy</stp>
        <stp>LAST_PRICE</stp>
        <stp>[DataSheet2.3.xlsm]EUR_DATA!R22C12</stp>
        <tr r="L22" s="31"/>
      </tp>
      <tp>
        <v>-0.52</v>
        <stp/>
        <stp>##V3_BDPV12</stp>
        <stp>CAD2W BGN Curncy</stp>
        <stp>BID</stp>
        <stp>[DataSheet2.3.xlsm]CAD_DATA!R11C49</stp>
        <tr r="AW11" s="48"/>
      </tp>
      <tp>
        <v>-0.28000000000000003</v>
        <stp/>
        <stp>##V3_BDPV12</stp>
        <stp>CAD1W BGN Curncy</stp>
        <stp>BID</stp>
        <stp>[DataSheet2.3.xlsm]CAD_DATA!R10C49</stp>
        <tr r="AW10" s="48"/>
      </tp>
      <tp>
        <v>331.81</v>
        <stp/>
        <stp>##V3_BDPV12</stp>
        <stp>TRY2W BGN Curncy</stp>
        <stp>BID</stp>
        <stp>[DataSheet2.2.xlsm]TRY_DATA!R11C49</stp>
        <tr r="AW11" s="10"/>
      </tp>
      <tp>
        <v>156.16</v>
        <stp/>
        <stp>##V3_BDPV12</stp>
        <stp>TRY1W BGN Curncy</stp>
        <stp>BID</stp>
        <stp>[DataSheet2.2.xlsm]TRY_DATA!R10C49</stp>
        <tr r="AW10" s="10"/>
      </tp>
      <tp>
        <v>-0.08</v>
        <stp/>
        <stp>##V3_BDPV12</stp>
        <stp>CAD1W BGN Curncy</stp>
        <stp>ASK</stp>
        <stp>[DataSheet2.3.xlsm]CAD_DATA!R10C50</stp>
        <tr r="AX10" s="48"/>
      </tp>
      <tp>
        <v>-0.28999999999999998</v>
        <stp/>
        <stp>##V3_BDPV12</stp>
        <stp>CAD2W BGN Curncy</stp>
        <stp>ASK</stp>
        <stp>[DataSheet2.3.xlsm]CAD_DATA!R11C50</stp>
        <tr r="AX11" s="48"/>
      </tp>
      <tp>
        <v>-0.71</v>
        <stp/>
        <stp>##V3_BDPV12</stp>
        <stp>JPY1W BGN Curncy</stp>
        <stp>ASK</stp>
        <stp>[DataSheet2.3.xlsm]JPY_DATA!R10C40</stp>
        <tr r="AN10" s="46"/>
      </tp>
      <tp>
        <v>-3.6</v>
        <stp/>
        <stp>##V3_BDPV12</stp>
        <stp>JPY3W BGN Curncy</stp>
        <stp>ASK</stp>
        <stp>[DataSheet2.3.xlsm]JPY_DATA!R12C40</stp>
        <tr r="AN12" s="46"/>
      </tp>
      <tp>
        <v>202.67</v>
        <stp/>
        <stp>##V3_BDPV12</stp>
        <stp>TRY1W BGN Curncy</stp>
        <stp>ASK</stp>
        <stp>[DataSheet2.2.xlsm]TRY_DATA!R10C50</stp>
        <tr r="AX10" s="10"/>
      </tp>
      <tp>
        <v>-1.49</v>
        <stp/>
        <stp>##V3_BDPV12</stp>
        <stp>JPY2W BGN Curncy</stp>
        <stp>ASK</stp>
        <stp>[DataSheet2.3.xlsm]JPY_DATA!R11C40</stp>
        <tr r="AN11" s="46"/>
      </tp>
      <tp>
        <v>448</v>
        <stp/>
        <stp>##V3_BDPV12</stp>
        <stp>TRY2W BGN Curncy</stp>
        <stp>ASK</stp>
        <stp>[DataSheet2.2.xlsm]TRY_DATA!R11C50</stp>
        <tr r="AX11" s="10"/>
      </tp>
      <tp>
        <v>-1.62</v>
        <stp/>
        <stp>##V3_BDPV12</stp>
        <stp>JPY2W BGN Curncy</stp>
        <stp>BID</stp>
        <stp>[DataSheet2.3.xlsm]JPY_DATA!R11C39</stp>
        <tr r="AM11" s="46"/>
      </tp>
      <tp>
        <v>-0.83</v>
        <stp/>
        <stp>##V3_BDPV12</stp>
        <stp>JPY1W BGN Curncy</stp>
        <stp>BID</stp>
        <stp>[DataSheet2.3.xlsm]JPY_DATA!R10C39</stp>
        <tr r="AM10" s="46"/>
      </tp>
      <tp>
        <v>-3.83</v>
        <stp/>
        <stp>##V3_BDPV12</stp>
        <stp>JPY3W BGN Curncy</stp>
        <stp>BID</stp>
        <stp>[DataSheet2.3.xlsm]JPY_DATA!R12C39</stp>
        <tr r="AM12" s="46"/>
      </tp>
      <tp>
        <v>150</v>
        <stp/>
        <stp>##V3_BDPV12</stp>
        <stp>TYBS5 ICPL Curncy</stp>
        <stp>LAST_PRICE</stp>
        <stp>[DataSheet2.2.xlsm]TRY_DATA!R11C43</stp>
        <tr r="AQ11" s="10"/>
      </tp>
      <tp>
        <v>0.66500000000000004</v>
        <stp/>
        <stp>##V3_BDPV12</stp>
        <stp>HDSW5 CMPN Curncy</stp>
        <stp>LAST_PRICE</stp>
        <stp>[DataSheet2.2.xlsm]HKD_DATA!R21C20</stp>
        <tr r="T21" s="52"/>
      </tp>
      <tp>
        <v>-20</v>
        <stp/>
        <stp>##V3_BDPV12</stp>
        <stp>HDBB7 TPRA Curncy</stp>
        <stp>LAST_PRICE</stp>
        <stp>[DataSheet2.2.xlsm]HKD_DATA!R18C25</stp>
        <tr r="Y18" s="52"/>
      </tp>
      <tp>
        <v>1.3149999999999999</v>
        <stp/>
        <stp>##V3_BDPV12</stp>
        <stp>UDSW6 GMGM Curncy</stp>
        <stp>LAST_PRICE</stp>
        <stp>[DataSheet2.2.xlsm]AED_DATA!R22C20</stp>
        <tr r="T22" s="18"/>
      </tp>
      <tp>
        <v>9.75</v>
        <stp/>
        <stp>##V3_BDPV12</stp>
        <stp>USBA5 ICPL Curncy</stp>
        <stp>LAST_PRICE</stp>
        <stp>[DataSheet2.3.xlsm]USD_DATA!R11C27</stp>
        <tr r="AA11" s="6"/>
      </tp>
      <tp>
        <v>-0.42399999999999999</v>
        <stp/>
        <stp>##V3_BDPV12</stp>
        <stp>EUSA5 ICPL Curncy</stp>
        <stp>LAST_PRICE</stp>
        <stp>[DataSheet2.3.xlsm]EUR_DATA!R25C25</stp>
        <tr r="Y25" s="31"/>
      </tp>
      <tp>
        <v>10.625</v>
        <stp/>
        <stp>##V3_BDPV12</stp>
        <stp>USBC5 ICPL Curncy</stp>
        <stp>LAST_PRICE</stp>
        <stp>[DataSheet2.3.xlsm]USD_DATA!R11C22</stp>
        <tr r="V11" s="6"/>
      </tp>
      <tp>
        <v>-15.125</v>
        <stp/>
        <stp>##V3_BDPV12</stp>
        <stp>EUBS5 ICPL Curncy</stp>
        <stp>LAST_PRICE</stp>
        <stp>[DataSheet2.3.xlsm]EUR_DATA!R15C46</stp>
        <tr r="AT15" s="31"/>
      </tp>
      <tp>
        <v>-122</v>
        <stp/>
        <stp>##V3_BDPV12</stp>
        <stp>RRBS5 TRPU Curncy</stp>
        <stp>LAST_PRICE</stp>
        <stp>[DataSheet2.2.xlsm]RUB_DATA!R11C43</stp>
        <tr r="AQ11" s="4"/>
      </tp>
      <tp>
        <v>-62</v>
        <stp/>
        <stp>##V3_BDPV12</stp>
        <stp>ISBS5 ICPL Curncy</stp>
        <stp>LAST_PRICE</stp>
        <stp>[DataSheet2.2.xlsm]ILS_DATA!R11C43</stp>
        <tr r="AQ11" s="17"/>
      </tp>
      <tp>
        <v>1.51</v>
        <stp/>
        <stp>##V3_BDPV12</stp>
        <stp>HFSW7 TPRA Curncy</stp>
        <stp>LAST_PRICE</stp>
        <stp>[DataSheet2.2.xlsm]HUF_DATA!R23C20</stp>
        <tr r="T23" s="15"/>
      </tp>
      <tp>
        <v>0.27</v>
        <stp/>
        <stp>##V3_BDPV12</stp>
        <stp>ISSW5 ICPL Curncy</stp>
        <stp>LAST_PRICE</stp>
        <stp>[DataSheet2.2.xlsm]ILS_DATA!R22C20</stp>
        <tr r="T22" s="17"/>
      </tp>
      <tp>
        <v>4.625</v>
        <stp/>
        <stp>##V3_BDPV12</stp>
        <stp>JYBC7 MTRT Curncy</stp>
        <stp>LAST_PRICE</stp>
        <stp>[DataSheet2.3.xlsm]JPY_DATA!R19C17</stp>
        <tr r="Q19" s="46"/>
      </tp>
      <tp>
        <v>7.25</v>
        <stp/>
        <stp>##V3_BDPV12</stp>
        <stp>JYBB7 MTRT Curncy</stp>
        <stp>LAST_PRICE</stp>
        <stp>[DataSheet2.3.xlsm]JPY_DATA!R14C27</stp>
        <tr r="AA14" s="46"/>
      </tp>
      <tp>
        <v>-0.02</v>
        <stp/>
        <stp>##V3_BDPV12</stp>
        <stp>JYSW7 MTRT Curncy</stp>
        <stp>LAST_PRICE</stp>
        <stp>[DataSheet2.3.xlsm]JPY_DATA!R22C32</stp>
        <tr r="AF22" s="46"/>
      </tp>
      <tp>
        <v>-50.5</v>
        <stp/>
        <stp>##V3_BDPV12</stp>
        <stp>JYBS7 MTRT Curncy</stp>
        <stp>LAST_PRICE</stp>
        <stp>[DataSheet2.3.xlsm]JPY_DATA!R32C49</stp>
        <tr r="AW32" s="46"/>
      </tp>
      <tp>
        <v>0.61750000000000005</v>
        <stp/>
        <stp>##V3_BDPV12</stp>
        <stp>PZSW5 ICPL Curncy</stp>
        <stp>LAST_PRICE</stp>
        <stp>[DataSheet2.2.xlsm]PLN_DATA!R21C20</stp>
        <tr r="T21" s="12"/>
      </tp>
      <tp>
        <v>18.2</v>
        <stp/>
        <stp>##V3_BDPV12</stp>
        <stp>BCN1W BGN Curncy</stp>
        <stp>ASK</stp>
        <stp>[DataSheet2.3.xlsm]BRL_DATA!R9C50</stp>
        <tr r="AX9" s="59"/>
      </tp>
      <tp>
        <v>0.35875000000000001</v>
        <stp/>
        <stp>##V3_BDPV12</stp>
        <stp>JYSW35 MTRT Curncy</stp>
        <stp>LAST_PRICE</stp>
        <stp>[DataSheet2.3.xlsm]JPY_DATA!R31C32</stp>
        <tr r="AF31" s="46"/>
      </tp>
      <tp>
        <v>0.15625</v>
        <stp/>
        <stp>##V3_BDPV12</stp>
        <stp>JYSW15 MTRT Curncy</stp>
        <stp>LAST_PRICE</stp>
        <stp>[DataSheet2.3.xlsm]JPY_DATA!R27C32</stp>
        <tr r="AF27" s="46"/>
      </tp>
      <tp>
        <v>0.30875000000000002</v>
        <stp/>
        <stp>##V3_BDPV12</stp>
        <stp>JYSW25 MTRT Curncy</stp>
        <stp>LAST_PRICE</stp>
        <stp>[DataSheet2.3.xlsm]JPY_DATA!R29C32</stp>
        <tr r="AF29" s="46"/>
      </tp>
      <tp>
        <v>-0.53800000000000003</v>
        <stp/>
        <stp>##V3_BDPV12</stp>
        <stp>EUSWE4 ICPL Curncy</stp>
        <stp>LAST_PRICE</stp>
        <stp>[DataSheet2.3.xlsm]EUR_DATA!R19C12</stp>
        <tr r="L19" s="31"/>
      </tp>
      <tp>
        <v>3.5</v>
        <stp/>
        <stp>##V3_BDPV12</stp>
        <stp>HFEBS3 ICPL Curncy</stp>
        <stp>BID</stp>
        <stp>[DataSheet2.2.xlsm]HUF_DATA!R9C41</stp>
        <tr r="AO9" s="15"/>
      </tp>
      <tp>
        <v>-55.5</v>
        <stp/>
        <stp>##V3_BDPV12</stp>
        <stp>JYBS15 MTRT Curncy</stp>
        <stp>LAST_PRICE</stp>
        <stp>[DataSheet2.3.xlsm]JPY_DATA!R37C49</stp>
        <tr r="AW37" s="46"/>
      </tp>
      <tp>
        <v>-55.125</v>
        <stp/>
        <stp>##V3_BDPV12</stp>
        <stp>JYBS25 MTRT Curncy</stp>
        <stp>LAST_PRICE</stp>
        <stp>[DataSheet2.3.xlsm]JPY_DATA!R39C49</stp>
        <tr r="AW39" s="46"/>
      </tp>
      <tp>
        <v>7.125</v>
        <stp/>
        <stp>##V3_BDPV12</stp>
        <stp>JYBB15 MTRT Curncy</stp>
        <stp>LAST_PRICE</stp>
        <stp>[DataSheet2.3.xlsm]JPY_DATA!R19C27</stp>
        <tr r="AA19" s="46"/>
      </tp>
      <tp>
        <v>6.75</v>
        <stp/>
        <stp>##V3_BDPV12</stp>
        <stp>JYBB35 MTRT Curncy</stp>
        <stp>LAST_PRICE</stp>
        <stp>[DataSheet2.3.xlsm]JPY_DATA!R23C27</stp>
        <tr r="AA23" s="46"/>
      </tp>
      <tp>
        <v>7</v>
        <stp/>
        <stp>##V3_BDPV12</stp>
        <stp>JYBB25 MTRT Curncy</stp>
        <stp>LAST_PRICE</stp>
        <stp>[DataSheet2.3.xlsm]JPY_DATA!R21C27</stp>
        <tr r="AA21" s="46"/>
      </tp>
      <tp>
        <v>-12</v>
        <stp/>
        <stp>##V3_BDPV12</stp>
        <stp>HDBS10 ICHK Curncy</stp>
        <stp>LAST_PRICE</stp>
        <stp>[DataSheet2.2.xlsm]HKD_DATA!R16C43</stp>
        <tr r="AQ16" s="52"/>
      </tp>
      <tp>
        <v>4.625</v>
        <stp/>
        <stp>##V3_BDPV12</stp>
        <stp>JYBC25 MTRT Curncy</stp>
        <stp>LAST_PRICE</stp>
        <stp>[DataSheet2.3.xlsm]JPY_DATA!R26C17</stp>
        <tr r="Q26" s="46"/>
      </tp>
      <tp>
        <v>4.625</v>
        <stp/>
        <stp>##V3_BDPV12</stp>
        <stp>JYBC15 MTRT Curncy</stp>
        <stp>LAST_PRICE</stp>
        <stp>[DataSheet2.3.xlsm]JPY_DATA!R24C17</stp>
        <tr r="Q24" s="46"/>
      </tp>
      <tp>
        <v>4.625</v>
        <stp/>
        <stp>##V3_BDPV12</stp>
        <stp>JYBC35 MTRT Curncy</stp>
        <stp>LAST_PRICE</stp>
        <stp>[DataSheet2.3.xlsm]JPY_DATA!R28C17</stp>
        <tr r="Q28" s="46"/>
      </tp>
      <tp>
        <v>95</v>
        <stp/>
        <stp>##V3_BDPV12</stp>
        <stp>TYBS6 ICPL Curncy</stp>
        <stp>LAST_PRICE</stp>
        <stp>[DataSheet2.2.xlsm]TRY_DATA!R12C43</stp>
        <tr r="AQ12" s="10"/>
      </tp>
      <tp>
        <v>-20</v>
        <stp/>
        <stp>##V3_BDPV12</stp>
        <stp>HDBB4 TPRA Curncy</stp>
        <stp>LAST_PRICE</stp>
        <stp>[DataSheet2.2.xlsm]HKD_DATA!R16C25</stp>
        <tr r="Y16" s="52"/>
      </tp>
      <tp>
        <v>16</v>
        <stp/>
        <stp>##V3_BDPV12</stp>
        <stp>UDBS5 GMGM Curncy</stp>
        <stp>LAST_PRICE</stp>
        <stp>[DataSheet2.2.xlsm]AED_DATA!R11C25</stp>
        <tr r="Y11" s="18"/>
      </tp>
      <tp>
        <v>1.1850000000000001</v>
        <stp/>
        <stp>##V3_BDPV12</stp>
        <stp>UDSW5 GMGM Curncy</stp>
        <stp>LAST_PRICE</stp>
        <stp>[DataSheet2.2.xlsm]AED_DATA!R21C20</stp>
        <tr r="T21" s="18"/>
      </tp>
      <tp>
        <v>9.875</v>
        <stp/>
        <stp>##V3_BDPV12</stp>
        <stp>USBA6 ICPL Curncy</stp>
        <stp>LAST_PRICE</stp>
        <stp>[DataSheet2.3.xlsm]USD_DATA!R12C27</stp>
        <tr r="AA12" s="6"/>
      </tp>
      <tp>
        <v>-0.39</v>
        <stp/>
        <stp>##V3_BDPV12</stp>
        <stp>EUSA6 ICPL Curncy</stp>
        <stp>LAST_PRICE</stp>
        <stp>[DataSheet2.3.xlsm]EUR_DATA!R26C25</stp>
        <tr r="Y26" s="31"/>
      </tp>
      <tp>
        <v>11.125</v>
        <stp/>
        <stp>##V3_BDPV12</stp>
        <stp>USBC6 ICPL Curncy</stp>
        <stp>LAST_PRICE</stp>
        <stp>[DataSheet2.3.xlsm]USD_DATA!R12C22</stp>
        <tr r="V12" s="6"/>
      </tp>
      <tp>
        <v>4.8099999999999996</v>
        <stp/>
        <stp>##V3_BDPV12</stp>
        <stp>RRSO3 GFUN Curncy</stp>
        <stp>LAST_PRICE</stp>
        <stp>[DataSheet2.2.xlsm]RUB_DATA!R17C12</stp>
        <tr r="L17" s="4"/>
      </tp>
      <tp>
        <v>-16.5</v>
        <stp/>
        <stp>##V3_BDPV12</stp>
        <stp>EUBS6 ICPL Curncy</stp>
        <stp>LAST_PRICE</stp>
        <stp>[DataSheet2.3.xlsm]EUR_DATA!R16C46</stp>
        <tr r="AT16" s="31"/>
      </tp>
      <tp>
        <v>205</v>
        <stp/>
        <stp>##V3_BDPV12</stp>
        <stp>TYBS3 ICPL Curncy</stp>
        <stp>BID</stp>
        <stp>[DataSheet2.2.xlsm]TRY_DATA!R9C41</stp>
        <tr r="AO9" s="10"/>
      </tp>
      <tp>
        <v>-138</v>
        <stp/>
        <stp>##V3_BDPV12</stp>
        <stp>RRBS6 TRPU Curncy</stp>
        <stp>LAST_PRICE</stp>
        <stp>[DataSheet2.2.xlsm]RUB_DATA!R12C43</stp>
        <tr r="AQ12" s="4"/>
      </tp>
      <tp>
        <v>1.19</v>
        <stp/>
        <stp>##V3_BDPV12</stp>
        <stp>HFSW4 TPRA Curncy</stp>
        <stp>LAST_PRICE</stp>
        <stp>[DataSheet2.2.xlsm]HUF_DATA!R20C20</stp>
        <tr r="T20" s="15"/>
      </tp>
      <tp>
        <v>0.36</v>
        <stp/>
        <stp>##V3_BDPV12</stp>
        <stp>ISSW6 ICPL Curncy</stp>
        <stp>LAST_PRICE</stp>
        <stp>[DataSheet2.2.xlsm]ILS_DATA!R23C20</stp>
        <tr r="T23" s="17"/>
      </tp>
      <tp>
        <v>4.5</v>
        <stp/>
        <stp>##V3_BDPV12</stp>
        <stp>JYBC4 MTRT Curncy</stp>
        <stp>LAST_PRICE</stp>
        <stp>[DataSheet2.3.xlsm]JPY_DATA!R16C17</stp>
        <tr r="Q16" s="46"/>
      </tp>
      <tp>
        <v>7.125</v>
        <stp/>
        <stp>##V3_BDPV12</stp>
        <stp>JYBB4 MTRT Curncy</stp>
        <stp>LAST_PRICE</stp>
        <stp>[DataSheet2.3.xlsm]JPY_DATA!R11C27</stp>
        <tr r="AA11" s="46"/>
      </tp>
      <tp>
        <v>-4.4999999999999998E-2</v>
        <stp/>
        <stp>##V3_BDPV12</stp>
        <stp>JYSW4 MTRT Curncy</stp>
        <stp>LAST_PRICE</stp>
        <stp>[DataSheet2.3.xlsm]JPY_DATA!R19C32</stp>
        <tr r="AF19" s="46"/>
      </tp>
      <tp>
        <v>-43.25</v>
        <stp/>
        <stp>##V3_BDPV12</stp>
        <stp>JYBS4 MTRT Curncy</stp>
        <stp>LAST_PRICE</stp>
        <stp>[DataSheet2.3.xlsm]JPY_DATA!R29C49</stp>
        <tr r="AW29" s="46"/>
      </tp>
      <tp>
        <v>0.73750000000000004</v>
        <stp/>
        <stp>##V3_BDPV12</stp>
        <stp>PZSW6 ICPL Curncy</stp>
        <stp>LAST_PRICE</stp>
        <stp>[DataSheet2.2.xlsm]PLN_DATA!R22C20</stp>
        <tr r="T22" s="12"/>
      </tp>
      <tp>
        <v>15</v>
        <stp/>
        <stp>##V3_BDPV12</stp>
        <stp>SRBS5 GFID Curncy</stp>
        <stp>LAST_PRICE</stp>
        <stp>[DataSheet2.2.xlsm]INR_DATA!R15C25</stp>
        <tr r="Y15" s="54"/>
      </tp>
      <tp>
        <v>-12.375</v>
        <stp/>
        <stp>##V3_BDPV12</stp>
        <stp>EUBS25 ICPL Curncy</stp>
        <stp>LAST_PRICE</stp>
        <stp>[DataSheet2.3.xlsm]EUR_DATA!R24C46</stp>
        <tr r="AT24" s="31"/>
      </tp>
      <tp>
        <v>-18.875</v>
        <stp/>
        <stp>##V3_BDPV12</stp>
        <stp>EUBS15 ICPL Curncy</stp>
        <stp>LAST_PRICE</stp>
        <stp>[DataSheet2.3.xlsm]EUR_DATA!R22C46</stp>
        <tr r="AT22" s="31"/>
      </tp>
      <tp>
        <v>0.23</v>
        <stp/>
        <stp>##V3_BDPV12</stp>
        <stp>HDSQO1 TRHK Curncy</stp>
        <stp>LAST_PRICE</stp>
        <stp>[DataSheet2.2.xlsm]HKD_DATA!R14C12</stp>
        <tr r="L14" s="52"/>
      </tp>
      <tp>
        <v>6.3E-2</v>
        <stp/>
        <stp>##V3_BDPV12</stp>
        <stp>EUSA25 ICPL Curncy</stp>
        <stp>LAST_PRICE</stp>
        <stp>[DataSheet2.3.xlsm]EUR_DATA!R34C25</stp>
        <tr r="Y34" s="31"/>
      </tp>
      <tp>
        <v>-0.02</v>
        <stp/>
        <stp>##V3_BDPV12</stp>
        <stp>EUSA15 ICPL Curncy</stp>
        <stp>LAST_PRICE</stp>
        <stp>[DataSheet2.3.xlsm]EUR_DATA!R32C25</stp>
        <tr r="Y32" s="31"/>
      </tp>
      <tp>
        <v>19</v>
        <stp/>
        <stp>##V3_BDPV12</stp>
        <stp>UDBSV7 GMGM Curncy</stp>
        <stp>LAST_PRICE</stp>
        <stp>[DataSheet2.2.xlsm]AED_DATA!R14C30</stp>
        <tr r="AD14" s="18"/>
      </tp>
      <tp>
        <v>-0.51900000000000002</v>
        <stp/>
        <stp>##V3_BDPV12</stp>
        <stp>EUSWE5 ICPL Curncy</stp>
        <stp>LAST_PRICE</stp>
        <stp>[DataSheet2.3.xlsm]EUR_DATA!R20C12</stp>
        <tr r="L20" s="31"/>
      </tp>
      <tp>
        <v>3.75</v>
        <stp/>
        <stp>##V3_BDPV12</stp>
        <stp>HFEBS2 ICPL Curncy</stp>
        <stp>BID</stp>
        <stp>[DataSheet2.2.xlsm]HUF_DATA!R8C41</stp>
        <tr r="AO8" s="15"/>
      </tp>
      <tp>
        <v>4.7</v>
        <stp/>
        <stp>##V3_BDPV12</stp>
        <stp>MOSKP6 Index</stp>
        <stp>PX_LAST</stp>
        <stp>[DataSheet2.2.xlsm]RUB_DATA!R10C20</stp>
        <tr r="T10" s="4"/>
      </tp>
      <tp>
        <v>94</v>
        <stp/>
        <stp>##V3_BDPV12</stp>
        <stp>TYBS7 ICPL Curncy</stp>
        <stp>LAST_PRICE</stp>
        <stp>[DataSheet2.2.xlsm]TRY_DATA!R13C43</stp>
        <tr r="AQ13" s="10"/>
      </tp>
      <tp>
        <v>0.77</v>
        <stp/>
        <stp>##V3_BDPV12</stp>
        <stp>HDSW7 CMPN Curncy</stp>
        <stp>LAST_PRICE</stp>
        <stp>[DataSheet2.2.xlsm]HKD_DATA!R22C20</stp>
        <tr r="T22" s="52"/>
      </tp>
      <tp>
        <v>-20</v>
        <stp/>
        <stp>##V3_BDPV12</stp>
        <stp>HDBB5 TPRA Curncy</stp>
        <stp>LAST_PRICE</stp>
        <stp>[DataSheet2.2.xlsm]HKD_DATA!R17C25</stp>
        <tr r="Y17" s="52"/>
      </tp>
      <tp>
        <v>14</v>
        <stp/>
        <stp>##V3_BDPV12</stp>
        <stp>UDBS4 GMGM Curncy</stp>
        <stp>LAST_PRICE</stp>
        <stp>[DataSheet2.2.xlsm]AED_DATA!R10C25</stp>
        <tr r="Y10" s="18"/>
      </tp>
      <tp>
        <v>1.03</v>
        <stp/>
        <stp>##V3_BDPV12</stp>
        <stp>UDSW4 GMGM Curncy</stp>
        <stp>LAST_PRICE</stp>
        <stp>[DataSheet2.2.xlsm]AED_DATA!R20C20</stp>
        <tr r="T20" s="18"/>
      </tp>
      <tp>
        <v>10</v>
        <stp/>
        <stp>##V3_BDPV12</stp>
        <stp>USBA7 ICPL Curncy</stp>
        <stp>LAST_PRICE</stp>
        <stp>[DataSheet2.3.xlsm]USD_DATA!R13C27</stp>
        <tr r="AA13" s="6"/>
      </tp>
      <tp>
        <v>-0.35</v>
        <stp/>
        <stp>##V3_BDPV12</stp>
        <stp>EUSA7 ICPL Curncy</stp>
        <stp>LAST_PRICE</stp>
        <stp>[DataSheet2.3.xlsm]EUR_DATA!R27C25</stp>
        <tr r="Y27" s="31"/>
      </tp>
      <tp>
        <v>11.625</v>
        <stp/>
        <stp>##V3_BDPV12</stp>
        <stp>USBC7 ICPL Curncy</stp>
        <stp>LAST_PRICE</stp>
        <stp>[DataSheet2.3.xlsm]USD_DATA!R13C22</stp>
        <tr r="V13" s="6"/>
      </tp>
      <tp>
        <v>4.59</v>
        <stp/>
        <stp>##V3_BDPV12</stp>
        <stp>RRSO2 GFUN Curncy</stp>
        <stp>LAST_PRICE</stp>
        <stp>[DataSheet2.2.xlsm]RUB_DATA!R16C12</stp>
        <tr r="L16" s="4"/>
      </tp>
      <tp>
        <v>-17.5</v>
        <stp/>
        <stp>##V3_BDPV12</stp>
        <stp>EUBS7 ICPL Curncy</stp>
        <stp>LAST_PRICE</stp>
        <stp>[DataSheet2.3.xlsm]EUR_DATA!R17C46</stp>
        <tr r="AT17" s="31"/>
      </tp>
      <tp>
        <v>258</v>
        <stp/>
        <stp>##V3_BDPV12</stp>
        <stp>TYBS2 ICPL Curncy</stp>
        <stp>BID</stp>
        <stp>[DataSheet2.2.xlsm]TRY_DATA!R8C41</stp>
        <tr r="AO8" s="10"/>
      </tp>
      <tp>
        <v>0.13</v>
        <stp/>
        <stp>##V3_BDPV12</stp>
        <stp>CKSO1 FMDR Curncy</stp>
        <stp>BID</stp>
        <stp>[DataSheet2.2.xlsm]CZK_DATA!R9C10</stp>
        <tr r="J9" s="14"/>
      </tp>
      <tp>
        <v>-153</v>
        <stp/>
        <stp>##V3_BDPV12</stp>
        <stp>RRBS7 TRPU Curncy</stp>
        <stp>LAST_PRICE</stp>
        <stp>[DataSheet2.2.xlsm]RUB_DATA!R13C43</stp>
        <tr r="AQ13" s="4"/>
      </tp>
      <tp>
        <v>1.31</v>
        <stp/>
        <stp>##V3_BDPV12</stp>
        <stp>HFSW5 TPRA Curncy</stp>
        <stp>LAST_PRICE</stp>
        <stp>[DataSheet2.2.xlsm]HUF_DATA!R21C20</stp>
        <tr r="T21" s="15"/>
      </tp>
      <tp>
        <v>0.44500000000000001</v>
        <stp/>
        <stp>##V3_BDPV12</stp>
        <stp>ISSW7 ICPL Curncy</stp>
        <stp>LAST_PRICE</stp>
        <stp>[DataSheet2.2.xlsm]ILS_DATA!R24C20</stp>
        <tr r="T24" s="17"/>
      </tp>
      <tp>
        <v>4.625</v>
        <stp/>
        <stp>##V3_BDPV12</stp>
        <stp>JYBC5 MTRT Curncy</stp>
        <stp>LAST_PRICE</stp>
        <stp>[DataSheet2.3.xlsm]JPY_DATA!R17C17</stp>
        <tr r="Q17" s="46"/>
      </tp>
      <tp>
        <v>7.25</v>
        <stp/>
        <stp>##V3_BDPV12</stp>
        <stp>JYBB5 MTRT Curncy</stp>
        <stp>LAST_PRICE</stp>
        <stp>[DataSheet2.3.xlsm]JPY_DATA!R12C27</stp>
        <tr r="AA12" s="46"/>
      </tp>
      <tp>
        <v>0.22700000000000001</v>
        <stp/>
        <stp>##V3_BDPV12</stp>
        <stp>CDSO1 FMDR Curncy</stp>
        <stp>BID</stp>
        <stp>[DataSheet2.3.xlsm]GBP_DATA!R9C10</stp>
        <tr r="J9" s="58"/>
      </tp>
      <tp>
        <v>-0.04</v>
        <stp/>
        <stp>##V3_BDPV12</stp>
        <stp>JYSW5 MTRT Curncy</stp>
        <stp>LAST_PRICE</stp>
        <stp>[DataSheet2.3.xlsm]JPY_DATA!R20C32</stp>
        <tr r="AF20" s="46"/>
      </tp>
      <tp>
        <v>-46.25</v>
        <stp/>
        <stp>##V3_BDPV12</stp>
        <stp>JYBS5 MTRT Curncy</stp>
        <stp>LAST_PRICE</stp>
        <stp>[DataSheet2.3.xlsm]JPY_DATA!R30C49</stp>
        <tr r="AW30" s="46"/>
      </tp>
      <tp>
        <v>0.83499999999999996</v>
        <stp/>
        <stp>##V3_BDPV12</stp>
        <stp>PZSW7 ICPL Curncy</stp>
        <stp>LAST_PRICE</stp>
        <stp>[DataSheet2.2.xlsm]PLN_DATA!R23C20</stp>
        <tr r="T23" s="12"/>
      </tp>
      <tp>
        <v>14</v>
        <stp/>
        <stp>##V3_BDPV12</stp>
        <stp>SRBS4 GFID Curncy</stp>
        <stp>LAST_PRICE</stp>
        <stp>[DataSheet2.2.xlsm]INR_DATA!R14C25</stp>
        <tr r="Y14" s="54"/>
      </tp>
      <tp>
        <v>0.22700000000000001</v>
        <stp/>
        <stp>##V3_BDPV12</stp>
        <stp>CDSO1 FMDR Curncy</stp>
        <stp>BID</stp>
        <stp>[DataSheet2.3.xlsm]CAD_DATA!R9C10</stp>
        <tr r="J9" s="48"/>
      </tp>
      <tp>
        <v>1.8560000000000001</v>
        <stp/>
        <stp>##V3_BDPV12</stp>
        <stp>UDSW10 GMGM Curncy</stp>
        <stp>LAST_PRICE</stp>
        <stp>[DataSheet2.2.xlsm]AED_DATA!R24C20</stp>
        <tr r="T24" s="18"/>
      </tp>
      <tp>
        <v>-19.125</v>
        <stp/>
        <stp>##V3_BDPV12</stp>
        <stp>EUBS12 ICPL Curncy</stp>
        <stp>LAST_PRICE</stp>
        <stp>[DataSheet2.3.xlsm]EUR_DATA!R21C46</stp>
        <tr r="AT21" s="31"/>
      </tp>
      <tp>
        <v>16</v>
        <stp/>
        <stp>##V3_BDPV12</stp>
        <stp>UDBS10 GMGM Curncy</stp>
        <stp>LAST_PRICE</stp>
        <stp>[DataSheet2.2.xlsm]AED_DATA!R13C25</stp>
        <tr r="Y13" s="18"/>
      </tp>
      <tp>
        <v>-0.126</v>
        <stp/>
        <stp>##V3_BDPV12</stp>
        <stp>EUSA12 ICPL Curncy</stp>
        <stp>LAST_PRICE</stp>
        <stp>[DataSheet2.3.xlsm]EUR_DATA!R31C25</stp>
        <tr r="Y31" s="31"/>
      </tp>
      <tp>
        <v>-0.53900000000000003</v>
        <stp/>
        <stp>##V3_BDPV12</stp>
        <stp>EUSWE2 ICPL Curncy</stp>
        <stp>LAST_PRICE</stp>
        <stp>[DataSheet2.3.xlsm]EUR_DATA!R17C12</stp>
        <tr r="L17" s="31"/>
      </tp>
      <tp>
        <v>1.18</v>
        <stp/>
        <stp>##V3_BDPV12</stp>
        <stp>USDHUF1W BGN Curncy</stp>
        <stp>PX_LAST</stp>
        <stp>[DataSheet2.2.xlsm]HUF_DATA!R10C51</stp>
        <tr r="AY10" s="15"/>
      </tp>
      <tp>
        <v>2.5</v>
        <stp/>
        <stp>##V3_BDPV12</stp>
        <stp>USDHUF2W BGN Curncy</stp>
        <stp>PX_LAST</stp>
        <stp>[DataSheet2.2.xlsm]HUF_DATA!R11C51</stp>
        <tr r="AY11" s="15"/>
      </tp>
      <tp>
        <v>-20</v>
        <stp/>
        <stp>##V3_BDPV12</stp>
        <stp>HDBB2 TPRA Curncy</stp>
        <stp>LAST_PRICE</stp>
        <stp>[DataSheet2.2.xlsm]HKD_DATA!R14C25</stp>
        <tr r="Y14" s="52"/>
      </tp>
      <tp>
        <v>-17</v>
        <stp/>
        <stp>##V3_BDPV12</stp>
        <stp>HDBS1 ICHK Curncy</stp>
        <stp>BID</stp>
        <stp>[DataSheet2.2.xlsm]HKD_DATA!R9C41</stp>
        <tr r="AO9" s="52"/>
      </tp>
      <tp>
        <v>0.88600000000000001</v>
        <stp/>
        <stp>##V3_BDPV12</stp>
        <stp>UDSW3 GMGM Curncy</stp>
        <stp>LAST_PRICE</stp>
        <stp>[DataSheet2.2.xlsm]AED_DATA!R19C20</stp>
        <tr r="T19" s="18"/>
      </tp>
      <tp>
        <v>-41</v>
        <stp/>
        <stp>##V3_BDPV12</stp>
        <stp>SABS9 ICPL Curncy</stp>
        <stp>LAST_PRICE</stp>
        <stp>[DataSheet2.2.xlsm]ZAR_DATA!R15C43</stp>
        <tr r="AQ15" s="8"/>
      </tp>
      <tp>
        <v>0.93500000000000005</v>
        <stp/>
        <stp>##V3_BDPV12</stp>
        <stp>HFSW2 TPRA Curncy</stp>
        <stp>LAST_PRICE</stp>
        <stp>[DataSheet2.2.xlsm]HUF_DATA!R18C20</stp>
        <tr r="T18" s="15"/>
      </tp>
      <tp>
        <v>3.875</v>
        <stp/>
        <stp>##V3_BDPV12</stp>
        <stp>JYBC2 MTRT Curncy</stp>
        <stp>LAST_PRICE</stp>
        <stp>[DataSheet2.3.xlsm]JPY_DATA!R14C17</stp>
        <tr r="Q14" s="46"/>
      </tp>
      <tp>
        <v>10</v>
        <stp/>
        <stp>##V3_BDPV12</stp>
        <stp>SABS2 ICPL Curncy</stp>
        <stp>BID</stp>
        <stp>[DataSheet2.2.xlsm]ZAR_DATA!R8C41</stp>
        <tr r="AO8" s="8"/>
      </tp>
      <tp>
        <v>-4.2500000000000003E-2</v>
        <stp/>
        <stp>##V3_BDPV12</stp>
        <stp>JYSW2 MTRT Curncy</stp>
        <stp>LAST_PRICE</stp>
        <stp>[DataSheet2.3.xlsm]JPY_DATA!R17C32</stp>
        <tr r="AF17" s="46"/>
      </tp>
      <tp>
        <v>-92</v>
        <stp/>
        <stp>##V3_BDPV12</stp>
        <stp>RRBS3 TRPU Curncy</stp>
        <stp>BID</stp>
        <stp>[DataSheet2.2.xlsm]RUB_DATA!R9C41</stp>
        <tr r="AO9" s="4"/>
      </tp>
      <tp>
        <v>-34.75</v>
        <stp/>
        <stp>##V3_BDPV12</stp>
        <stp>JYBS2 MTRT Curncy</stp>
        <stp>LAST_PRICE</stp>
        <stp>[DataSheet2.3.xlsm]JPY_DATA!R27C49</stp>
        <tr r="AW27" s="46"/>
      </tp>
      <tp>
        <v>13</v>
        <stp/>
        <stp>##V3_BDPV12</stp>
        <stp>SRBS3 GFID Curncy</stp>
        <stp>LAST_PRICE</stp>
        <stp>[DataSheet2.2.xlsm]INR_DATA!R13C25</stp>
        <tr r="Y13" s="54"/>
      </tp>
      <tp>
        <v>-34</v>
        <stp/>
        <stp>##V3_BDPV12</stp>
        <stp>CDBSF Curncy</stp>
        <stp>LAST_PRICE</stp>
        <stp>[DataSheet2.3.xlsm]CAD_DATA!R8C43</stp>
        <tr r="AQ8" s="48"/>
      </tp>
      <tp>
        <v>-32.5</v>
        <stp/>
        <stp>##V3_BDPV12</stp>
        <stp>CDBSC Curncy</stp>
        <stp>LAST_PRICE</stp>
        <stp>[DataSheet2.3.xlsm]CAD_DATA!R7C43</stp>
        <tr r="AQ7" s="48"/>
      </tp>
      <tp>
        <v>-31</v>
        <stp/>
        <stp>##V3_BDPV12</stp>
        <stp>CDBSI Curncy</stp>
        <stp>LAST_PRICE</stp>
        <stp>[DataSheet2.3.xlsm]CAD_DATA!R9C43</stp>
        <tr r="AQ9" s="48"/>
      </tp>
      <tp>
        <v>-34</v>
        <stp/>
        <stp>##V3_BDPV12</stp>
        <stp>CDBSF Curncy</stp>
        <stp>LAST_PRICE</stp>
        <stp>[DataSheet2.3.xlsm]GBP_DATA!R8C43</stp>
        <tr r="AQ8" s="58"/>
      </tp>
      <tp>
        <v>-32.5</v>
        <stp/>
        <stp>##V3_BDPV12</stp>
        <stp>CDBSC Curncy</stp>
        <stp>LAST_PRICE</stp>
        <stp>[DataSheet2.3.xlsm]GBP_DATA!R7C43</stp>
        <tr r="AQ7" s="58"/>
      </tp>
      <tp>
        <v>-31</v>
        <stp/>
        <stp>##V3_BDPV12</stp>
        <stp>CDBSI Curncy</stp>
        <stp>LAST_PRICE</stp>
        <stp>[DataSheet2.3.xlsm]GBP_DATA!R9C43</stp>
        <tr r="AQ9" s="58"/>
      </tp>
      <tp>
        <v>33.75</v>
        <stp/>
        <stp>##V3_BDPV12</stp>
        <stp>USBL30 PREB Curncy</stp>
        <stp>LAST_PRICE</stp>
        <stp>[DataSheet2.3.xlsm]USD_DATA!R18C32</stp>
        <tr r="AF18" s="6"/>
      </tp>
      <tp>
        <v>33.625</v>
        <stp/>
        <stp>##V3_BDPV12</stp>
        <stp>USBL20 PREB Curncy</stp>
        <stp>LAST_PRICE</stp>
        <stp>[DataSheet2.3.xlsm]USD_DATA!R16C32</stp>
        <tr r="AF16" s="6"/>
      </tp>
      <tp>
        <v>32.75</v>
        <stp/>
        <stp>##V3_BDPV12</stp>
        <stp>USBL10 PREB Curncy</stp>
        <stp>LAST_PRICE</stp>
        <stp>[DataSheet2.3.xlsm]USD_DATA!R13C32</stp>
        <tr r="AF13" s="6"/>
      </tp>
      <tp>
        <v>0.47</v>
        <stp/>
        <stp>##V3_BDPV12</stp>
        <stp>HDSQO7 TRHK Curncy</stp>
        <stp>LAST_PRICE</stp>
        <stp>[DataSheet2.2.xlsm]HKD_DATA!R19C12</stp>
        <tr r="L19" s="52"/>
      </tp>
      <tp>
        <v>8.3750000000000005E-2</v>
        <stp/>
        <stp>##V3_BDPV12</stp>
        <stp>JYSW12 MTRT Curncy</stp>
        <stp>LAST_PRICE</stp>
        <stp>[DataSheet2.3.xlsm]JPY_DATA!R26C32</stp>
        <tr r="AF26" s="46"/>
      </tp>
      <tp>
        <v>-0.54800000000000004</v>
        <stp/>
        <stp>##V3_BDPV12</stp>
        <stp>EUSWE3 ICPL Curncy</stp>
        <stp>LAST_PRICE</stp>
        <stp>[DataSheet2.3.xlsm]EUR_DATA!R18C12</stp>
        <tr r="L18" s="31"/>
      </tp>
      <tp>
        <v>-55.25</v>
        <stp/>
        <stp>##V3_BDPV12</stp>
        <stp>JYBS12 MTRT Curncy</stp>
        <stp>LAST_PRICE</stp>
        <stp>[DataSheet2.3.xlsm]JPY_DATA!R36C49</stp>
        <tr r="AW36" s="46"/>
      </tp>
      <tp>
        <v>7.125</v>
        <stp/>
        <stp>##V3_BDPV12</stp>
        <stp>JYBB12 MTRT Curncy</stp>
        <stp>LAST_PRICE</stp>
        <stp>[DataSheet2.3.xlsm]JPY_DATA!R18C27</stp>
        <tr r="AA18" s="46"/>
      </tp>
      <tp>
        <v>4.625</v>
        <stp/>
        <stp>##V3_BDPV12</stp>
        <stp>JYBC12 MTRT Curncy</stp>
        <stp>LAST_PRICE</stp>
        <stp>[DataSheet2.3.xlsm]JPY_DATA!R23C17</stp>
        <tr r="Q23" s="46"/>
      </tp>
      <tp>
        <v>0.67693999999999999</v>
        <stp/>
        <stp>##V3_BDPV12</stp>
        <stp>EIBO6M Index</stp>
        <stp>LAST_PRICE</stp>
        <stp>[DataSheet2.2.xlsm]AED_DATA!R10C20</stp>
        <tr r="T10" s="18"/>
      </tp>
      <tp>
        <v>-0.08</v>
        <stp/>
        <stp>##V3_BDPV12</stp>
        <stp>CAD1W BGN Curncy</stp>
        <stp>ASK</stp>
        <stp>[DataSheet2.3.xlsm]GBP_DATA!R10C50</stp>
        <tr r="AX10" s="58"/>
      </tp>
      <tp>
        <v>-0.28999999999999998</v>
        <stp/>
        <stp>##V3_BDPV12</stp>
        <stp>CAD2W BGN Curncy</stp>
        <stp>ASK</stp>
        <stp>[DataSheet2.3.xlsm]GBP_DATA!R11C50</stp>
        <tr r="AX11" s="58"/>
      </tp>
      <tp>
        <v>-0.52</v>
        <stp/>
        <stp>##V3_BDPV12</stp>
        <stp>CAD2W BGN Curncy</stp>
        <stp>BID</stp>
        <stp>[DataSheet2.3.xlsm]GBP_DATA!R11C49</stp>
        <tr r="AW11" s="58"/>
      </tp>
      <tp>
        <v>-0.28000000000000003</v>
        <stp/>
        <stp>##V3_BDPV12</stp>
        <stp>CAD1W BGN Curncy</stp>
        <stp>BID</stp>
        <stp>[DataSheet2.3.xlsm]GBP_DATA!R10C49</stp>
        <tr r="AW10" s="58"/>
      </tp>
      <tp>
        <v>0.55500000000000005</v>
        <stp/>
        <stp>##V3_BDPV12</stp>
        <stp>HDSW1 CMPN Curncy</stp>
        <stp>LAST_PRICE</stp>
        <stp>[DataSheet2.2.xlsm]HKD_DATA!R16C20</stp>
        <tr r="T16" s="52"/>
      </tp>
      <tp>
        <v>-20</v>
        <stp/>
        <stp>##V3_BDPV12</stp>
        <stp>HDBB3 TPRA Curncy</stp>
        <stp>LAST_PRICE</stp>
        <stp>[DataSheet2.2.xlsm]HKD_DATA!R15C25</stp>
        <tr r="Y15" s="52"/>
      </tp>
      <tp>
        <v>0.69499999999999995</v>
        <stp/>
        <stp>##V3_BDPV12</stp>
        <stp>UDSW2 GMGM Curncy</stp>
        <stp>LAST_PRICE</stp>
        <stp>[DataSheet2.2.xlsm]AED_DATA!R18C20</stp>
        <tr r="T18" s="18"/>
      </tp>
      <tp>
        <v>-37</v>
        <stp/>
        <stp>##V3_BDPV12</stp>
        <stp>SABS8 ICPL Curncy</stp>
        <stp>LAST_PRICE</stp>
        <stp>[DataSheet2.2.xlsm]ZAR_DATA!R14C43</stp>
        <tr r="AQ14" s="8"/>
      </tp>
      <tp>
        <v>-11</v>
        <stp/>
        <stp>##V3_BDPV12</stp>
        <stp>EUBS1 ICPL Curncy</stp>
        <stp>LAST_PRICE</stp>
        <stp>[DataSheet2.3.xlsm]EUR_DATA!R10C46</stp>
        <tr r="AT10" s="31"/>
      </tp>
      <tp>
        <v>1.0649999999999999</v>
        <stp/>
        <stp>##V3_BDPV12</stp>
        <stp>HFSW3 TPRA Curncy</stp>
        <stp>LAST_PRICE</stp>
        <stp>[DataSheet2.2.xlsm]HUF_DATA!R19C20</stp>
        <tr r="T19" s="15"/>
      </tp>
      <tp>
        <v>7.0000000000000007E-2</v>
        <stp/>
        <stp>##V3_BDPV12</stp>
        <stp>ISSW1 ICPL Curncy</stp>
        <stp>LAST_PRICE</stp>
        <stp>[DataSheet2.2.xlsm]ILS_DATA!R18C20</stp>
        <tr r="T18" s="17"/>
      </tp>
      <tp>
        <v>4.25</v>
        <stp/>
        <stp>##V3_BDPV12</stp>
        <stp>JYBC3 MTRT Curncy</stp>
        <stp>LAST_PRICE</stp>
        <stp>[DataSheet2.3.xlsm]JPY_DATA!R15C17</stp>
        <tr r="Q15" s="46"/>
      </tp>
      <tp>
        <v>-2</v>
        <stp/>
        <stp>##V3_BDPV12</stp>
        <stp>SABS3 ICPL Curncy</stp>
        <stp>BID</stp>
        <stp>[DataSheet2.2.xlsm]ZAR_DATA!R9C41</stp>
        <tr r="AO9" s="8"/>
      </tp>
      <tp>
        <v>6.875</v>
        <stp/>
        <stp>##V3_BDPV12</stp>
        <stp>JYBB3 MTRT Curncy</stp>
        <stp>LAST_PRICE</stp>
        <stp>[DataSheet2.3.xlsm]JPY_DATA!R10C27</stp>
        <tr r="AA10" s="46"/>
      </tp>
      <tp>
        <v>-4.4999999999999998E-2</v>
        <stp/>
        <stp>##V3_BDPV12</stp>
        <stp>JYSW3 MTRT Curncy</stp>
        <stp>LAST_PRICE</stp>
        <stp>[DataSheet2.3.xlsm]JPY_DATA!R18C32</stp>
        <tr r="AF18" s="46"/>
      </tp>
      <tp>
        <v>-73</v>
        <stp/>
        <stp>##V3_BDPV12</stp>
        <stp>RRBS2 TRPU Curncy</stp>
        <stp>BID</stp>
        <stp>[DataSheet2.2.xlsm]RUB_DATA!R8C41</stp>
        <tr r="AO8" s="4"/>
      </tp>
      <tp>
        <v>-39.375</v>
        <stp/>
        <stp>##V3_BDPV12</stp>
        <stp>JYBS3 MTRT Curncy</stp>
        <stp>LAST_PRICE</stp>
        <stp>[DataSheet2.3.xlsm]JPY_DATA!R28C49</stp>
        <tr r="AW28" s="46"/>
      </tp>
      <tp>
        <v>12</v>
        <stp/>
        <stp>##V3_BDPV12</stp>
        <stp>SRBS2 GFID Curncy</stp>
        <stp>LAST_PRICE</stp>
        <stp>[DataSheet2.2.xlsm]INR_DATA!R12C25</stp>
        <tr r="Y12" s="54"/>
      </tp>
      <tp>
        <v>-9.375</v>
        <stp/>
        <stp>##V3_BDPV12</stp>
        <stp>EUBS30 ICPL Curncy</stp>
        <stp>LAST_PRICE</stp>
        <stp>[DataSheet2.3.xlsm]EUR_DATA!R25C46</stp>
        <tr r="AT25" s="31"/>
      </tp>
      <tp>
        <v>-18.75</v>
        <stp/>
        <stp>##V3_BDPV12</stp>
        <stp>EUBS10 ICPL Curncy</stp>
        <stp>LAST_PRICE</stp>
        <stp>[DataSheet2.3.xlsm]EUR_DATA!R20C46</stp>
        <tr r="AT20" s="31"/>
      </tp>
      <tp>
        <v>-16.25</v>
        <stp/>
        <stp>##V3_BDPV12</stp>
        <stp>EUBS20 ICPL Curncy</stp>
        <stp>LAST_PRICE</stp>
        <stp>[DataSheet2.3.xlsm]EUR_DATA!R23C46</stp>
        <tr r="AT23" s="31"/>
      </tp>
      <tp>
        <v>0.31</v>
        <stp/>
        <stp>##V3_BDPV12</stp>
        <stp>HDSQO4 TRHK Curncy</stp>
        <stp>LAST_PRICE</stp>
        <stp>[DataSheet2.2.xlsm]HKD_DATA!R17C12</stp>
        <tr r="L17" s="52"/>
      </tp>
      <tp>
        <v>3.6999999999999998E-2</v>
        <stp/>
        <stp>##V3_BDPV12</stp>
        <stp>EUSA30 ICPL Curncy</stp>
        <stp>LAST_PRICE</stp>
        <stp>[DataSheet2.3.xlsm]EUR_DATA!R35C25</stp>
        <tr r="Y35" s="31"/>
      </tp>
      <tp>
        <v>-0.215</v>
        <stp/>
        <stp>##V3_BDPV12</stp>
        <stp>EUSA10 ICPL Curncy</stp>
        <stp>LAST_PRICE</stp>
        <stp>[DataSheet2.3.xlsm]EUR_DATA!R30C25</stp>
        <tr r="Y30" s="31"/>
      </tp>
      <tp>
        <v>6.0999999999999999E-2</v>
        <stp/>
        <stp>##V3_BDPV12</stp>
        <stp>EUSA20 ICPL Curncy</stp>
        <stp>LAST_PRICE</stp>
        <stp>[DataSheet2.3.xlsm]EUR_DATA!R33C25</stp>
        <tr r="Y33" s="31"/>
      </tp>
      <tp>
        <v>-1.2999999999999999E-2</v>
        <stp/>
        <stp>##V3_BDPV12</stp>
        <stp>EUSA40 ICPL Curncy</stp>
        <stp>LAST_PRICE</stp>
        <stp>[DataSheet2.3.xlsm]EUR_DATA!R36C25</stp>
        <tr r="Y36" s="31"/>
      </tp>
      <tp>
        <v>-5.7000000000000002E-2</v>
        <stp/>
        <stp>##V3_BDPV12</stp>
        <stp>EUSA50 ICPL Curncy</stp>
        <stp>LAST_PRICE</stp>
        <stp>[DataSheet2.3.xlsm]EUR_DATA!R37C25</stp>
        <tr r="Y37" s="31"/>
      </tp>
      <tp>
        <v>16</v>
        <stp/>
        <stp>##V3_BDPV12</stp>
        <stp>UDBSV2 GMGM Curncy</stp>
        <stp>LAST_PRICE</stp>
        <stp>[DataSheet2.2.xlsm]AED_DATA!R10C30</stp>
        <tr r="AD10" s="18"/>
      </tp>
      <tp>
        <v>6.65</v>
        <stp/>
        <stp>##V3_BDPV12</stp>
        <stp>SASW9 TPRA Curncy</stp>
        <stp>LAST_PRICE</stp>
        <stp>[DataSheet2.2.xlsm]ZAR_DATA!R27C20</stp>
        <tr r="T27" s="8"/>
      </tp>
      <tp>
        <v>0.56499999999999995</v>
        <stp/>
        <stp>##V3_BDPV12</stp>
        <stp>HDSW2 CMPN Curncy</stp>
        <stp>LAST_PRICE</stp>
        <stp>[DataSheet2.2.xlsm]HKD_DATA!R18C20</stp>
        <tr r="T18" s="52"/>
      </tp>
      <tp>
        <v>0.56899999999999995</v>
        <stp/>
        <stp>##V3_BDPV12</stp>
        <stp>UDSW1 GMGM Curncy</stp>
        <stp>LAST_PRICE</stp>
        <stp>[DataSheet2.2.xlsm]AED_DATA!R17C20</stp>
        <tr r="T17" s="18"/>
      </tp>
      <tp>
        <v>-0.47599999999999998</v>
        <stp/>
        <stp>##V3_BDPV12</stp>
        <stp>EUSA2 ICPL Curncy</stp>
        <stp>LAST_PRICE</stp>
        <stp>[DataSheet2.3.xlsm]EUR_DATA!R22C25</stp>
        <tr r="Y22" s="31"/>
      </tp>
      <tp>
        <v>-11.625</v>
        <stp/>
        <stp>##V3_BDPV12</stp>
        <stp>EUBS2 ICPL Curncy</stp>
        <stp>LAST_PRICE</stp>
        <stp>[DataSheet2.3.xlsm]EUR_DATA!R12C46</stp>
        <tr r="AT12" s="31"/>
      </tp>
      <tp>
        <v>9.5000000000000001E-2</v>
        <stp/>
        <stp>##V3_BDPV12</stp>
        <stp>ISSW2 ICPL Curncy</stp>
        <stp>LAST_PRICE</stp>
        <stp>[DataSheet2.2.xlsm]ILS_DATA!R19C20</stp>
        <tr r="T19" s="17"/>
      </tp>
      <tp>
        <v>-60</v>
        <stp/>
        <stp>##V3_BDPV12</stp>
        <stp>RRBS1 TRPU Curncy</stp>
        <stp>BID</stp>
        <stp>[DataSheet2.2.xlsm]RUB_DATA!R7C41</stp>
        <tr r="AO7" s="4"/>
      </tp>
      <tp>
        <v>0.26500000000000001</v>
        <stp/>
        <stp>##V3_BDPV12</stp>
        <stp>PZSW2 ICPL Curncy</stp>
        <stp>LAST_PRICE</stp>
        <stp>[DataSheet2.2.xlsm]PLN_DATA!R18C20</stp>
        <tr r="T18" s="12"/>
      </tp>
      <tp>
        <v>11</v>
        <stp/>
        <stp>##V3_BDPV12</stp>
        <stp>SRBS1 GFID Curncy</stp>
        <stp>LAST_PRICE</stp>
        <stp>[DataSheet2.2.xlsm]INR_DATA!R11C25</stp>
        <tr r="Y11" s="54"/>
      </tp>
      <tp>
        <v>-1246.25</v>
        <stp/>
        <stp>##V3_BDPV12</stp>
        <stp>JPY10Y BGN Curncy</stp>
        <stp>BID</stp>
        <stp>[DataSheet2.3.xlsm]JPY_DATA!R32C39</stp>
        <tr r="AM32" s="46"/>
      </tp>
      <tp>
        <v>-1218.49</v>
        <stp/>
        <stp>##V3_BDPV12</stp>
        <stp>JPY10Y BGN Curncy</stp>
        <stp>ASK</stp>
        <stp>[DataSheet2.3.xlsm]JPY_DATA!R32C40</stp>
        <tr r="AN32" s="46"/>
      </tp>
      <tp>
        <v>33.125</v>
        <stp/>
        <stp>##V3_BDPV12</stp>
        <stp>USBL12 PREB Curncy</stp>
        <stp>LAST_PRICE</stp>
        <stp>[DataSheet2.3.xlsm]USD_DATA!R14C32</stp>
        <tr r="AF14" s="6"/>
      </tp>
      <tp>
        <v>0.35</v>
        <stp/>
        <stp>##V3_BDPV12</stp>
        <stp>HDSQO5 TRHK Curncy</stp>
        <stp>LAST_PRICE</stp>
        <stp>[DataSheet2.2.xlsm]HKD_DATA!R18C12</stp>
        <tr r="L18" s="52"/>
      </tp>
      <tp>
        <v>0.36375000000000002</v>
        <stp/>
        <stp>##V3_BDPV12</stp>
        <stp>JYSW40 MTRT Curncy</stp>
        <stp>LAST_PRICE</stp>
        <stp>[DataSheet2.3.xlsm]JPY_DATA!R32C32</stp>
        <tr r="AF32" s="46"/>
      </tp>
      <tp>
        <v>0.34875</v>
        <stp/>
        <stp>##V3_BDPV12</stp>
        <stp>JYSW30 MTRT Curncy</stp>
        <stp>LAST_PRICE</stp>
        <stp>[DataSheet2.3.xlsm]JPY_DATA!R30C32</stp>
        <tr r="AF30" s="46"/>
      </tp>
      <tp>
        <v>3.7499999999999999E-2</v>
        <stp/>
        <stp>##V3_BDPV12</stp>
        <stp>JYSW10 MTRT Curncy</stp>
        <stp>LAST_PRICE</stp>
        <stp>[DataSheet2.3.xlsm]JPY_DATA!R25C32</stp>
        <tr r="AF25" s="46"/>
      </tp>
      <tp>
        <v>0.24875</v>
        <stp/>
        <stp>##V3_BDPV12</stp>
        <stp>JYSW20 MTRT Curncy</stp>
        <stp>LAST_PRICE</stp>
        <stp>[DataSheet2.3.xlsm]JPY_DATA!R28C32</stp>
        <tr r="AF28" s="46"/>
      </tp>
      <tp>
        <v>17</v>
        <stp/>
        <stp>##V3_BDPV12</stp>
        <stp>UDBSV3 GMGM Curncy</stp>
        <stp>LAST_PRICE</stp>
        <stp>[DataSheet2.2.xlsm]AED_DATA!R11C30</stp>
        <tr r="AD11" s="18"/>
      </tp>
      <tp>
        <v>-0.51100000000000001</v>
        <stp/>
        <stp>##V3_BDPV12</stp>
        <stp>EUSWE1 ICPL Curncy</stp>
        <stp>LAST_PRICE</stp>
        <stp>[DataSheet2.3.xlsm]EUR_DATA!R15C12</stp>
        <tr r="L15" s="31"/>
      </tp>
      <tp>
        <v>3.45</v>
        <stp/>
        <stp>##V3_BDPV12</stp>
        <stp>EUR2W Curncy</stp>
        <stp>PX_LAST</stp>
        <stp>[DataSheet2.3.xlsm]EUR_DATA!R11C54</stp>
        <tr r="BB11" s="31"/>
      </tp>
      <tp>
        <v>1.71</v>
        <stp/>
        <stp>##V3_BDPV12</stp>
        <stp>EUR1W Curncy</stp>
        <stp>PX_LAST</stp>
        <stp>[DataSheet2.3.xlsm]EUR_DATA!R10C54</stp>
        <tr r="BB10" s="31"/>
      </tp>
      <tp>
        <v>-55.125</v>
        <stp/>
        <stp>##V3_BDPV12</stp>
        <stp>JYBS30 MTRT Curncy</stp>
        <stp>LAST_PRICE</stp>
        <stp>[DataSheet2.3.xlsm]JPY_DATA!R40C49</stp>
        <tr r="AW40" s="46"/>
      </tp>
      <tp>
        <v>-54</v>
        <stp/>
        <stp>##V3_BDPV12</stp>
        <stp>JYBS10 MTRT Curncy</stp>
        <stp>LAST_PRICE</stp>
        <stp>[DataSheet2.3.xlsm]JPY_DATA!R35C49</stp>
        <tr r="AW35" s="46"/>
      </tp>
      <tp>
        <v>-55.25</v>
        <stp/>
        <stp>##V3_BDPV12</stp>
        <stp>JYBS20 MTRT Curncy</stp>
        <stp>LAST_PRICE</stp>
        <stp>[DataSheet2.3.xlsm]JPY_DATA!R38C49</stp>
        <tr r="AW38" s="46"/>
      </tp>
      <tp>
        <v>7.25</v>
        <stp/>
        <stp>##V3_BDPV12</stp>
        <stp>JYBB10 MTRT Curncy</stp>
        <stp>LAST_PRICE</stp>
        <stp>[DataSheet2.3.xlsm]JPY_DATA!R17C27</stp>
        <tr r="AA17" s="46"/>
      </tp>
      <tp>
        <v>6.75</v>
        <stp/>
        <stp>##V3_BDPV12</stp>
        <stp>JYBB40 MTRT Curncy</stp>
        <stp>LAST_PRICE</stp>
        <stp>[DataSheet2.3.xlsm]JPY_DATA!R24C27</stp>
        <tr r="AA24" s="46"/>
      </tp>
      <tp>
        <v>6.875</v>
        <stp/>
        <stp>##V3_BDPV12</stp>
        <stp>JYBB30 MTRT Curncy</stp>
        <stp>LAST_PRICE</stp>
        <stp>[DataSheet2.3.xlsm]JPY_DATA!R22C27</stp>
        <tr r="AA22" s="46"/>
      </tp>
      <tp>
        <v>7.125</v>
        <stp/>
        <stp>##V3_BDPV12</stp>
        <stp>JYBB20 MTRT Curncy</stp>
        <stp>LAST_PRICE</stp>
        <stp>[DataSheet2.3.xlsm]JPY_DATA!R20C27</stp>
        <tr r="AA20" s="46"/>
      </tp>
      <tp>
        <v>-12</v>
        <stp/>
        <stp>##V3_BDPV12</stp>
        <stp>HDBS15 ICHK Curncy</stp>
        <stp>LAST_PRICE</stp>
        <stp>[DataSheet2.2.xlsm]HKD_DATA!R18C43</stp>
        <tr r="AQ18" s="52"/>
      </tp>
      <tp>
        <v>4.625</v>
        <stp/>
        <stp>##V3_BDPV12</stp>
        <stp>JYBC30 MTRT Curncy</stp>
        <stp>LAST_PRICE</stp>
        <stp>[DataSheet2.3.xlsm]JPY_DATA!R27C17</stp>
        <tr r="Q27" s="46"/>
      </tp>
      <tp>
        <v>4.625</v>
        <stp/>
        <stp>##V3_BDPV12</stp>
        <stp>JYBC20 MTRT Curncy</stp>
        <stp>LAST_PRICE</stp>
        <stp>[DataSheet2.3.xlsm]JPY_DATA!R25C17</stp>
        <tr r="Q25" s="46"/>
      </tp>
      <tp>
        <v>4.625</v>
        <stp/>
        <stp>##V3_BDPV12</stp>
        <stp>JYBC10 MTRT Curncy</stp>
        <stp>LAST_PRICE</stp>
        <stp>[DataSheet2.3.xlsm]JPY_DATA!R22C17</stp>
        <tr r="Q22" s="46"/>
      </tp>
      <tp>
        <v>4.625</v>
        <stp/>
        <stp>##V3_BDPV12</stp>
        <stp>JYBC40 MTRT Curncy</stp>
        <stp>LAST_PRICE</stp>
        <stp>[DataSheet2.3.xlsm]JPY_DATA!R29C17</stp>
        <tr r="Q29" s="46"/>
      </tp>
      <tp>
        <v>6.3</v>
        <stp/>
        <stp>##V3_BDPV12</stp>
        <stp>SASW8 TPRA Curncy</stp>
        <stp>LAST_PRICE</stp>
        <stp>[DataSheet2.2.xlsm]ZAR_DATA!R26C20</stp>
        <tr r="T26" s="8"/>
      </tp>
      <tp>
        <v>0.59499999999999997</v>
        <stp/>
        <stp>##V3_BDPV12</stp>
        <stp>HDSW3 CMPN Curncy</stp>
        <stp>LAST_PRICE</stp>
        <stp>[DataSheet2.2.xlsm]HKD_DATA!R19C20</stp>
        <tr r="T19" s="52"/>
      </tp>
      <tp>
        <v>-20</v>
        <stp/>
        <stp>##V3_BDPV12</stp>
        <stp>HDBB1 TPRA Curncy</stp>
        <stp>LAST_PRICE</stp>
        <stp>[DataSheet2.2.xlsm]HKD_DATA!R13C25</stp>
        <tr r="Y13" s="52"/>
      </tp>
      <tp>
        <v>-0.47099999999999997</v>
        <stp/>
        <stp>##V3_BDPV12</stp>
        <stp>EUSA3 ICPL Curncy</stp>
        <stp>LAST_PRICE</stp>
        <stp>[DataSheet2.3.xlsm]EUR_DATA!R23C25</stp>
        <tr r="Y23" s="31"/>
      </tp>
      <tp>
        <v>-12.75</v>
        <stp/>
        <stp>##V3_BDPV12</stp>
        <stp>EUBS3 ICPL Curncy</stp>
        <stp>LAST_PRICE</stp>
        <stp>[DataSheet2.3.xlsm]EUR_DATA!R13C46</stp>
        <tr r="AT13" s="31"/>
      </tp>
      <tp>
        <v>0.19</v>
        <stp/>
        <stp>##V3_BDPV12</stp>
        <stp>PZSW1 TPRA Curncy</stp>
        <stp>LAST_PRICE</stp>
        <stp>[DataSheet2.2.xlsm]PLN_DATA!R17C20</stp>
        <tr r="T17" s="12"/>
      </tp>
      <tp>
        <v>0.78500000000000003</v>
        <stp/>
        <stp>##V3_BDPV12</stp>
        <stp>HFSW1 TPRA Curncy</stp>
        <stp>LAST_PRICE</stp>
        <stp>[DataSheet2.2.xlsm]HUF_DATA!R17C20</stp>
        <tr r="T17" s="15"/>
      </tp>
      <tp>
        <v>0.14499999999999999</v>
        <stp/>
        <stp>##V3_BDPV12</stp>
        <stp>ISSW3 ICPL Curncy</stp>
        <stp>LAST_PRICE</stp>
        <stp>[DataSheet2.2.xlsm]ILS_DATA!R20C20</stp>
        <tr r="T20" s="17"/>
      </tp>
      <tp>
        <v>32</v>
        <stp/>
        <stp>##V3_BDPV12</stp>
        <stp>SABS1 ICPL Curncy</stp>
        <stp>BID</stp>
        <stp>[DataSheet2.2.xlsm]ZAR_DATA!R7C41</stp>
        <tr r="AO7" s="8"/>
      </tp>
      <tp>
        <v>-0.04</v>
        <stp/>
        <stp>##V3_BDPV12</stp>
        <stp>JYSW1 MTRT Curncy</stp>
        <stp>LAST_PRICE</stp>
        <stp>[DataSheet2.3.xlsm]JPY_DATA!R15C32</stp>
        <tr r="AF15" s="46"/>
      </tp>
      <tp>
        <v>-29.75</v>
        <stp/>
        <stp>##V3_BDPV12</stp>
        <stp>JYBS1 MTRT Curncy</stp>
        <stp>LAST_PRICE</stp>
        <stp>[DataSheet2.3.xlsm]JPY_DATA!R25C49</stp>
        <tr r="AW25" s="46"/>
      </tp>
      <tp>
        <v>0.34</v>
        <stp/>
        <stp>##V3_BDPV12</stp>
        <stp>PZSW3 ICPL Curncy</stp>
        <stp>LAST_PRICE</stp>
        <stp>[DataSheet2.2.xlsm]PLN_DATA!R19C20</stp>
        <tr r="T19" s="12"/>
      </tp>
      <tp>
        <v>762.96</v>
        <stp/>
        <stp>##V3_BDPV12</stp>
        <stp>BCN12M BGN Curncy</stp>
        <stp>BID</stp>
        <stp>[DataSheet2.3.xlsm]BRL_DATA!R15C49</stp>
        <tr r="AW15" s="59"/>
      </tp>
      <tp>
        <v>846.96</v>
        <stp/>
        <stp>##V3_BDPV12</stp>
        <stp>BCN12M BGN Curncy</stp>
        <stp>ASK</stp>
        <stp>[DataSheet2.3.xlsm]BRL_DATA!R15C50</stp>
        <tr r="AX15" s="59"/>
      </tp>
      <tp>
        <v>1053.05</v>
        <stp/>
        <stp>##V3_BDPV12</stp>
        <stp>TRY1M BGN Curncy</stp>
        <stp>LAST_PRICE</stp>
        <stp>[DataSheet2.2.xlsm]TRY_DATA!R12C51</stp>
        <tr r="AY12" s="10"/>
      </tp>
      <tp>
        <v>-55.5</v>
        <stp/>
        <stp>##V3_BDPV12</stp>
        <stp>SABS15 ICPL Curncy</stp>
        <stp>LAST_PRICE</stp>
        <stp>[DataSheet2.2.xlsm]ZAR_DATA!R18C43</stp>
        <tr r="AQ18" s="8"/>
      </tp>
      <tp>
        <v>12</v>
        <stp/>
        <stp>##V3_BDPV12</stp>
        <stp>HDBA2  TPRA Curncy</stp>
        <stp>LAST_PRICE</stp>
        <stp>[DataSheet2.2.xlsm]HKD_DATA!R10C30</stp>
        <tr r="AD10" s="52"/>
      </tp>
      <tp>
        <v>10</v>
        <stp/>
        <stp>##V3_BDPV12</stp>
        <stp>HDBA3  TPRA Curncy</stp>
        <stp>LAST_PRICE</stp>
        <stp>[DataSheet2.2.xlsm]HKD_DATA!R11C30</stp>
        <tr r="AD11" s="52"/>
      </tp>
      <tp>
        <v>6</v>
        <stp/>
        <stp>##V3_BDPV12</stp>
        <stp>HDBA7  TPRA Curncy</stp>
        <stp>LAST_PRICE</stp>
        <stp>[DataSheet2.2.xlsm]HKD_DATA!R14C30</stp>
        <tr r="AD14" s="52"/>
      </tp>
      <tp>
        <v>7</v>
        <stp/>
        <stp>##V3_BDPV12</stp>
        <stp>HDBA4  TPRA Curncy</stp>
        <stp>LAST_PRICE</stp>
        <stp>[DataSheet2.2.xlsm]HKD_DATA!R12C30</stp>
        <tr r="AD12" s="52"/>
      </tp>
      <tp>
        <v>7</v>
        <stp/>
        <stp>##V3_BDPV12</stp>
        <stp>HDBA5  TPRA Curncy</stp>
        <stp>LAST_PRICE</stp>
        <stp>[DataSheet2.2.xlsm]HKD_DATA!R13C30</stp>
        <tr r="AD13" s="52"/>
      </tp>
      <tp>
        <v>5.89</v>
        <stp/>
        <stp>##V3_BDPV12</stp>
        <stp>SASW7 TPRA Curncy</stp>
        <stp>LAST_PRICE</stp>
        <stp>[DataSheet2.2.xlsm]ZAR_DATA!R25C20</stp>
        <tr r="T25" s="8"/>
      </tp>
      <tp>
        <v>-17.5</v>
        <stp/>
        <stp>##V3_BDPV12</stp>
        <stp>SABS5 ICPL Curncy</stp>
        <stp>LAST_PRICE</stp>
        <stp>[DataSheet2.2.xlsm]ZAR_DATA!R11C43</stp>
        <tr r="AQ11" s="8"/>
      </tp>
      <tp>
        <v>0.92900000000000005</v>
        <stp/>
        <stp>##V3_BDPV12</stp>
        <stp>SRSW1 GMGM Curncy</stp>
        <stp>LAST_PRICE</stp>
        <stp>[DataSheet2.2.xlsm]INR_DATA!R17C20</stp>
        <tr r="T17" s="54"/>
      </tp>
      <tp>
        <v>42</v>
        <stp/>
        <stp>##V3_BDPV12</stp>
        <stp>SABS1 ICPL Curncy</stp>
        <stp>ASK</stp>
        <stp>[DataSheet2.2.xlsm]ZAR_DATA!R7C42</stp>
        <tr r="AP7" s="8"/>
      </tp>
      <tp>
        <v>0.27</v>
        <stp/>
        <stp>##V3_BDPV12</stp>
        <stp>WIBR6M Index</stp>
        <stp>LAST_PRICE</stp>
        <stp>[DataSheet2.2.xlsm]PLN_DATA!R10C20</stp>
        <tr r="T10" s="12"/>
      </tp>
      <tp>
        <v>3.9</v>
        <stp/>
        <stp>##V3_BDPV12</stp>
        <stp>EUBSV1 Curncy</stp>
        <stp>LAST_PRICE</stp>
        <stp>[DataSheet2.3.xlsm]EUR_DATA!R7C35</stp>
        <tr r="AI7" s="31"/>
      </tp>
      <tp>
        <v>4.7249999999999996</v>
        <stp/>
        <stp>##V3_BDPV12</stp>
        <stp>EUBSV2 Curncy</stp>
        <stp>LAST_PRICE</stp>
        <stp>[DataSheet2.3.xlsm]EUR_DATA!R8C35</stp>
        <tr r="AI8" s="31"/>
      </tp>
      <tp>
        <v>5.15</v>
        <stp/>
        <stp>##V3_BDPV12</stp>
        <stp>EUBSV3 Curncy</stp>
        <stp>LAST_PRICE</stp>
        <stp>[DataSheet2.3.xlsm]EUR_DATA!R9C35</stp>
        <tr r="AI9" s="31"/>
      </tp>
      <tp>
        <v>5.43</v>
        <stp/>
        <stp>##V3_BDPV12</stp>
        <stp>SASW6 TPRA Curncy</stp>
        <stp>LAST_PRICE</stp>
        <stp>[DataSheet2.2.xlsm]ZAR_DATA!R24C20</stp>
        <tr r="T24" s="8"/>
      </tp>
      <tp>
        <v>-8.5</v>
        <stp/>
        <stp>##V3_BDPV12</stp>
        <stp>SABS4 ICPL Curncy</stp>
        <stp>LAST_PRICE</stp>
        <stp>[DataSheet2.2.xlsm]ZAR_DATA!R10C43</stp>
        <tr r="AQ10" s="8"/>
      </tp>
      <tp>
        <v>-50</v>
        <stp/>
        <stp>##V3_BDPV12</stp>
        <stp>RRBS1 TRPU Curncy</stp>
        <stp>ASK</stp>
        <stp>[DataSheet2.2.xlsm]RUB_DATA!R7C42</stp>
        <tr r="AP7" s="4"/>
      </tp>
      <tp>
        <v>40793.21</v>
        <stp/>
        <stp>##V3_BDPV12</stp>
        <stp>TRY3Y BGN Curncy</stp>
        <stp>LAST_PRICE</stp>
        <stp>[DataSheet2.2.xlsm]TRY_DATA!R22C51</stp>
        <tr r="AY22" s="10"/>
      </tp>
      <tp>
        <v>2952.88</v>
        <stp/>
        <stp>##V3_BDPV12</stp>
        <stp>TRY3M BGN Curncy</stp>
        <stp>LAST_PRICE</stp>
        <stp>[DataSheet2.2.xlsm]TRY_DATA!R14C51</stp>
        <tr r="AY14" s="10"/>
      </tp>
      <tp>
        <v>7.78</v>
        <stp/>
        <stp>##V3_BDPV12</stp>
        <stp>SASW15 TPRA Curncy</stp>
        <stp>LAST_PRICE</stp>
        <stp>[DataSheet2.2.xlsm]ZAR_DATA!R30C20</stp>
        <tr r="T30" s="8"/>
      </tp>
      <tp>
        <v>4.9400000000000004</v>
        <stp/>
        <stp>##V3_BDPV12</stp>
        <stp>SASW5 TPRA Curncy</stp>
        <stp>LAST_PRICE</stp>
        <stp>[DataSheet2.2.xlsm]ZAR_DATA!R23C20</stp>
        <tr r="T23" s="8"/>
      </tp>
      <tp>
        <v>-32</v>
        <stp/>
        <stp>##V3_BDPV12</stp>
        <stp>SABS7 ICPL Curncy</stp>
        <stp>LAST_PRICE</stp>
        <stp>[DataSheet2.2.xlsm]ZAR_DATA!R13C43</stp>
        <tr r="AQ13" s="8"/>
      </tp>
      <tp>
        <v>1.276</v>
        <stp/>
        <stp>##V3_BDPV12</stp>
        <stp>SRSW3 GMGM Curncy</stp>
        <stp>LAST_PRICE</stp>
        <stp>[DataSheet2.2.xlsm]INR_DATA!R19C20</stp>
        <tr r="T19" s="54"/>
      </tp>
      <tp>
        <v>8</v>
        <stp/>
        <stp>##V3_BDPV12</stp>
        <stp>SABS3 ICPL Curncy</stp>
        <stp>ASK</stp>
        <stp>[DataSheet2.2.xlsm]ZAR_DATA!R9C42</stp>
        <tr r="AP9" s="8"/>
      </tp>
      <tp>
        <v>-63</v>
        <stp/>
        <stp>##V3_BDPV12</stp>
        <stp>RRBS2 TRPU Curncy</stp>
        <stp>ASK</stp>
        <stp>[DataSheet2.2.xlsm]RUB_DATA!R8C42</stp>
        <tr r="AP8" s="4"/>
      </tp>
      <tp>
        <v>27346.05</v>
        <stp/>
        <stp>##V3_BDPV12</stp>
        <stp>TRY2Y BGN Curncy</stp>
        <stp>LAST_PRICE</stp>
        <stp>[DataSheet2.2.xlsm]TRY_DATA!R21C51</stp>
        <tr r="AY21" s="10"/>
      </tp>
      <tp>
        <v>-1.62</v>
        <stp/>
        <stp>##V3_BDPV12</stp>
        <stp>CAD18M BGN Curncy</stp>
        <stp>BID</stp>
        <stp>[DataSheet2.3.xlsm]CAD_DATA!R18C49</stp>
        <tr r="AW18" s="48"/>
      </tp>
      <tp>
        <v>-6.15</v>
        <stp/>
        <stp>##V3_BDPV12</stp>
        <stp>CAD12M BGN Curncy</stp>
        <stp>BID</stp>
        <stp>[DataSheet2.3.xlsm]CAD_DATA!R17C49</stp>
        <tr r="AW17" s="48"/>
      </tp>
      <tp>
        <v>-3.91</v>
        <stp/>
        <stp>##V3_BDPV12</stp>
        <stp>CAD12M BGN Curncy</stp>
        <stp>ASK</stp>
        <stp>[DataSheet2.3.xlsm]CAD_DATA!R17C50</stp>
        <tr r="AX17" s="48"/>
      </tp>
      <tp>
        <v>3.36</v>
        <stp/>
        <stp>##V3_BDPV12</stp>
        <stp>CAD18M BGN Curncy</stp>
        <stp>ASK</stp>
        <stp>[DataSheet2.3.xlsm]CAD_DATA!R18C50</stp>
        <tr r="AX18" s="48"/>
      </tp>
      <tp>
        <v>1957.15</v>
        <stp/>
        <stp>##V3_BDPV12</stp>
        <stp>TRY2M BGN Curncy</stp>
        <stp>LAST_PRICE</stp>
        <stp>[DataSheet2.2.xlsm]TRY_DATA!R13C51</stp>
        <tr r="AY13" s="10"/>
      </tp>
      <tp>
        <v>106.1</v>
        <stp/>
        <stp>##V3_BDPV12</stp>
        <stp>USDJPY Curncy</stp>
        <stp>LAST_PRICE</stp>
        <stp>[DataSheet2.3.xlsm]FX!R2C7</stp>
        <tr r="G2" s="20"/>
      </tp>
      <tp>
        <v>20.21</v>
        <stp/>
        <stp>##V3_BDPV12</stp>
        <stp>CAD2Y BGN Curncy</stp>
        <stp>ASK</stp>
        <stp>[DataSheet2.3.xlsm]GBP_DATA!R19C50</stp>
        <tr r="AX19" s="58"/>
      </tp>
      <tp>
        <v>65.45</v>
        <stp/>
        <stp>##V3_BDPV12</stp>
        <stp>CAD3Y BGN Curncy</stp>
        <stp>ASK</stp>
        <stp>[DataSheet2.3.xlsm]GBP_DATA!R20C50</stp>
        <tr r="AX20" s="58"/>
      </tp>
      <tp>
        <v>261.95999999999998</v>
        <stp/>
        <stp>##V3_BDPV12</stp>
        <stp>CAD7Y BGN Curncy</stp>
        <stp>ASK</stp>
        <stp>[DataSheet2.3.xlsm]GBP_DATA!R23C50</stp>
        <tr r="AX23" s="58"/>
      </tp>
      <tp>
        <v>123.58</v>
        <stp/>
        <stp>##V3_BDPV12</stp>
        <stp>CAD4Y BGN Curncy</stp>
        <stp>ASK</stp>
        <stp>[DataSheet2.3.xlsm]GBP_DATA!R21C50</stp>
        <tr r="AX21" s="58"/>
      </tp>
      <tp>
        <v>177.92</v>
        <stp/>
        <stp>##V3_BDPV12</stp>
        <stp>CAD5Y BGN Curncy</stp>
        <stp>ASK</stp>
        <stp>[DataSheet2.3.xlsm]GBP_DATA!R22C50</stp>
        <tr r="AX22" s="58"/>
      </tp>
      <tp>
        <v>151.41</v>
        <stp/>
        <stp>##V3_BDPV12</stp>
        <stp>CAD5Y BGN Curncy</stp>
        <stp>BID</stp>
        <stp>[DataSheet2.3.xlsm]GBP_DATA!R22C49</stp>
        <tr r="AW22" s="58"/>
      </tp>
      <tp>
        <v>103.54</v>
        <stp/>
        <stp>##V3_BDPV12</stp>
        <stp>CAD4Y BGN Curncy</stp>
        <stp>BID</stp>
        <stp>[DataSheet2.3.xlsm]GBP_DATA!R21C49</stp>
        <tr r="AW21" s="58"/>
      </tp>
      <tp>
        <v>227.85</v>
        <stp/>
        <stp>##V3_BDPV12</stp>
        <stp>CAD7Y BGN Curncy</stp>
        <stp>BID</stp>
        <stp>[DataSheet2.3.xlsm]GBP_DATA!R23C49</stp>
        <tr r="AW23" s="58"/>
      </tp>
      <tp>
        <v>49.36</v>
        <stp/>
        <stp>##V3_BDPV12</stp>
        <stp>CAD3Y BGN Curncy</stp>
        <stp>BID</stp>
        <stp>[DataSheet2.3.xlsm]GBP_DATA!R20C49</stp>
        <tr r="AW20" s="58"/>
      </tp>
      <tp>
        <v>8.9</v>
        <stp/>
        <stp>##V3_BDPV12</stp>
        <stp>CAD2Y BGN Curncy</stp>
        <stp>BID</stp>
        <stp>[DataSheet2.3.xlsm]GBP_DATA!R19C49</stp>
        <tr r="AW19" s="58"/>
      </tp>
      <tp>
        <v>4.43</v>
        <stp/>
        <stp>##V3_BDPV12</stp>
        <stp>SASW4 TPRA Curncy</stp>
        <stp>LAST_PRICE</stp>
        <stp>[DataSheet2.2.xlsm]ZAR_DATA!R22C20</stp>
        <tr r="T22" s="8"/>
      </tp>
      <tp>
        <v>-9</v>
        <stp/>
        <stp>##V3_BDPV12</stp>
        <stp>HDBS1 ICHK Curncy</stp>
        <stp>ASK</stp>
        <stp>[DataSheet2.2.xlsm]HKD_DATA!R9C42</stp>
        <tr r="AP9" s="52"/>
      </tp>
      <tp>
        <v>-25.5</v>
        <stp/>
        <stp>##V3_BDPV12</stp>
        <stp>SABS6 ICPL Curncy</stp>
        <stp>LAST_PRICE</stp>
        <stp>[DataSheet2.2.xlsm]ZAR_DATA!R12C43</stp>
        <tr r="AQ12" s="8"/>
      </tp>
      <tp>
        <v>1.085</v>
        <stp/>
        <stp>##V3_BDPV12</stp>
        <stp>SRSW2 GMGM Curncy</stp>
        <stp>LAST_PRICE</stp>
        <stp>[DataSheet2.2.xlsm]INR_DATA!R18C20</stp>
        <tr r="T18" s="54"/>
      </tp>
      <tp>
        <v>20</v>
        <stp/>
        <stp>##V3_BDPV12</stp>
        <stp>SABS2 ICPL Curncy</stp>
        <stp>ASK</stp>
        <stp>[DataSheet2.2.xlsm]ZAR_DATA!R8C42</stp>
        <tr r="AP8" s="8"/>
      </tp>
      <tp>
        <v>-82</v>
        <stp/>
        <stp>##V3_BDPV12</stp>
        <stp>RRBS3 TRPU Curncy</stp>
        <stp>ASK</stp>
        <stp>[DataSheet2.2.xlsm]RUB_DATA!R9C42</stp>
        <tr r="AP9" s="4"/>
      </tp>
      <tp>
        <v>70154.94</v>
        <stp/>
        <stp>##V3_BDPV12</stp>
        <stp>TRY5Y BGN Curncy</stp>
        <stp>LAST_PRICE</stp>
        <stp>[DataSheet2.2.xlsm]TRY_DATA!R24C51</stp>
        <tr r="AY24" s="10"/>
      </tp>
      <tp>
        <v>5235.4799999999996</v>
        <stp/>
        <stp>##V3_BDPV12</stp>
        <stp>TRY5M BGN Curncy</stp>
        <stp>LAST_PRICE</stp>
        <stp>[DataSheet2.2.xlsm]TRY_DATA!R16C51</stp>
        <tr r="AY16" s="10"/>
      </tp>
      <tp>
        <v>0.65500000000000003</v>
        <stp/>
        <stp>##V3_BDPV12</stp>
        <stp>ISSW10 ICPL Curncy</stp>
        <stp>LAST_PRICE</stp>
        <stp>[DataSheet2.2.xlsm]ILS_DATA!R27C20</stp>
        <tr r="T27" s="17"/>
      </tp>
      <tp>
        <v>13.75</v>
        <stp/>
        <stp>##V3_BDPV12</stp>
        <stp>HFEBS2 ICPL Curncy</stp>
        <stp>ASK</stp>
        <stp>[DataSheet2.2.xlsm]HUF_DATA!R8C42</stp>
        <tr r="AP8" s="15"/>
      </tp>
      <tp>
        <v>-63</v>
        <stp/>
        <stp>##V3_BDPV12</stp>
        <stp>ISBS10 ICPL Curncy</stp>
        <stp>LAST_PRICE</stp>
        <stp>[DataSheet2.2.xlsm]ILS_DATA!R12C43</stp>
        <tr r="AQ12" s="17"/>
      </tp>
      <tp>
        <v>80</v>
        <stp/>
        <stp>##V3_BDPV12</stp>
        <stp>TYBS8 ICPL Curncy</stp>
        <stp>LAST_PRICE</stp>
        <stp>[DataSheet2.2.xlsm]TRY_DATA!R14C43</stp>
        <tr r="AQ14" s="10"/>
      </tp>
      <tp>
        <v>3.95</v>
        <stp/>
        <stp>##V3_BDPV12</stp>
        <stp>SASW3 TPRA Curncy</stp>
        <stp>LAST_PRICE</stp>
        <stp>[DataSheet2.2.xlsm]ZAR_DATA!R21C20</stp>
        <tr r="T21" s="8"/>
      </tp>
      <tp>
        <v>10.125</v>
        <stp/>
        <stp>##V3_BDPV12</stp>
        <stp>USBA8 ICPL Curncy</stp>
        <stp>LAST_PRICE</stp>
        <stp>[DataSheet2.3.xlsm]USD_DATA!R14C27</stp>
        <tr r="AA14" s="6"/>
      </tp>
      <tp>
        <v>-0.307</v>
        <stp/>
        <stp>##V3_BDPV12</stp>
        <stp>EUSA8 ICPL Curncy</stp>
        <stp>LAST_PRICE</stp>
        <stp>[DataSheet2.3.xlsm]EUR_DATA!R28C25</stp>
        <tr r="Y28" s="31"/>
      </tp>
      <tp>
        <v>12</v>
        <stp/>
        <stp>##V3_BDPV12</stp>
        <stp>USBC8 ICPL Curncy</stp>
        <stp>LAST_PRICE</stp>
        <stp>[DataSheet2.3.xlsm]USD_DATA!R14C22</stp>
        <tr r="V14" s="6"/>
      </tp>
      <tp>
        <v>-18.125</v>
        <stp/>
        <stp>##V3_BDPV12</stp>
        <stp>EUBS8 ICPL Curncy</stp>
        <stp>LAST_PRICE</stp>
        <stp>[DataSheet2.3.xlsm]EUR_DATA!R18C46</stp>
        <tr r="AT18" s="31"/>
      </tp>
      <tp>
        <v>308</v>
        <stp/>
        <stp>##V3_BDPV12</stp>
        <stp>TYBS2 ICPL Curncy</stp>
        <stp>ASK</stp>
        <stp>[DataSheet2.2.xlsm]TRY_DATA!R8C42</stp>
        <tr r="AP8" s="10"/>
      </tp>
      <tp>
        <v>0.16</v>
        <stp/>
        <stp>##V3_BDPV12</stp>
        <stp>CKSO1 FMDR Curncy</stp>
        <stp>ASK</stp>
        <stp>[DataSheet2.2.xlsm]CZK_DATA!R9C11</stp>
        <tr r="K9" s="14"/>
      </tp>
      <tp>
        <v>0.52</v>
        <stp/>
        <stp>##V3_BDPV12</stp>
        <stp>ISSW8 ICPL Curncy</stp>
        <stp>LAST_PRICE</stp>
        <stp>[DataSheet2.2.xlsm]ILS_DATA!R25C20</stp>
        <tr r="T25" s="17"/>
      </tp>
      <tp>
        <v>1.655</v>
        <stp/>
        <stp>##V3_BDPV12</stp>
        <stp>SRSW5 GMGM Curncy</stp>
        <stp>LAST_PRICE</stp>
        <stp>[DataSheet2.2.xlsm]INR_DATA!R21C20</stp>
        <tr r="T21" s="54"/>
      </tp>
      <tp>
        <v>0.247</v>
        <stp/>
        <stp>##V3_BDPV12</stp>
        <stp>CDSO1 FMDR Curncy</stp>
        <stp>ASK</stp>
        <stp>[DataSheet2.3.xlsm]GBP_DATA!R9C11</stp>
        <tr r="K9" s="58"/>
      </tp>
      <tp>
        <v>0.91500000000000004</v>
        <stp/>
        <stp>##V3_BDPV12</stp>
        <stp>PZSW8 ICPL Curncy</stp>
        <stp>LAST_PRICE</stp>
        <stp>[DataSheet2.2.xlsm]PLN_DATA!R24C20</stp>
        <tr r="T24" s="12"/>
      </tp>
      <tp>
        <v>0.247</v>
        <stp/>
        <stp>##V3_BDPV12</stp>
        <stp>CDSO1 FMDR Curncy</stp>
        <stp>ASK</stp>
        <stp>[DataSheet2.3.xlsm]CAD_DATA!R9C11</stp>
        <tr r="K9" s="48"/>
      </tp>
      <tp>
        <v>55534.71</v>
        <stp/>
        <stp>##V3_BDPV12</stp>
        <stp>TRY4Y BGN Curncy</stp>
        <stp>LAST_PRICE</stp>
        <stp>[DataSheet2.2.xlsm]TRY_DATA!R23C51</stp>
        <tr r="AY23" s="10"/>
      </tp>
      <tp>
        <v>10.7</v>
        <stp/>
        <stp>##V3_BDPV12</stp>
        <stp>BCN1W BGN Curncy</stp>
        <stp>BID</stp>
        <stp>[DataSheet2.3.xlsm]BRL_DATA!R9C49</stp>
        <tr r="AW9" s="59"/>
      </tp>
      <tp>
        <v>4113.66</v>
        <stp/>
        <stp>##V3_BDPV12</stp>
        <stp>TRY4M BGN Curncy</stp>
        <stp>LAST_PRICE</stp>
        <stp>[DataSheet2.2.xlsm]TRY_DATA!R15C51</stp>
        <tr r="AY15" s="10"/>
      </tp>
      <tp>
        <v>7.4</v>
        <stp/>
        <stp>##V3_BDPV12</stp>
        <stp>SASW12 TPRA Curncy</stp>
        <stp>LAST_PRICE</stp>
        <stp>[DataSheet2.2.xlsm]ZAR_DATA!R29C20</stp>
        <tr r="T29" s="8"/>
      </tp>
      <tp>
        <v>-66.5</v>
        <stp/>
        <stp>##V3_BDPV12</stp>
        <stp>SABS20 ICPL Curncy</stp>
        <stp>LAST_PRICE</stp>
        <stp>[DataSheet2.2.xlsm]ZAR_DATA!R19C43</stp>
        <tr r="AQ19" s="8"/>
      </tp>
      <tp>
        <v>-44.5</v>
        <stp/>
        <stp>##V3_BDPV12</stp>
        <stp>SABS10 ICPL Curncy</stp>
        <stp>LAST_PRICE</stp>
        <stp>[DataSheet2.2.xlsm]ZAR_DATA!R16C43</stp>
        <tr r="AQ16" s="8"/>
      </tp>
      <tp>
        <v>13.5</v>
        <stp/>
        <stp>##V3_BDPV12</stp>
        <stp>HFEBS3 ICPL Curncy</stp>
        <stp>ASK</stp>
        <stp>[DataSheet2.2.xlsm]HUF_DATA!R9C42</stp>
        <tr r="AP9" s="15"/>
      </tp>
      <tp>
        <v>79</v>
        <stp/>
        <stp>##V3_BDPV12</stp>
        <stp>TYBS9 ICPL Curncy</stp>
        <stp>LAST_PRICE</stp>
        <stp>[DataSheet2.2.xlsm]TRY_DATA!R15C43</stp>
        <tr r="AQ15" s="10"/>
      </tp>
      <tp>
        <v>3.58</v>
        <stp/>
        <stp>##V3_BDPV12</stp>
        <stp>SASW2 TPRA Curncy</stp>
        <stp>LAST_PRICE</stp>
        <stp>[DataSheet2.2.xlsm]ZAR_DATA!R20C20</stp>
        <tr r="T20" s="8"/>
      </tp>
      <tp>
        <v>10.25</v>
        <stp/>
        <stp>##V3_BDPV12</stp>
        <stp>USBA9 ICPL Curncy</stp>
        <stp>LAST_PRICE</stp>
        <stp>[DataSheet2.3.xlsm]USD_DATA!R15C27</stp>
        <tr r="AA15" s="6"/>
      </tp>
      <tp>
        <v>-0.26200000000000001</v>
        <stp/>
        <stp>##V3_BDPV12</stp>
        <stp>EUSA9 ICPL Curncy</stp>
        <stp>LAST_PRICE</stp>
        <stp>[DataSheet2.3.xlsm]EUR_DATA!R29C25</stp>
        <tr r="Y29" s="31"/>
      </tp>
      <tp>
        <v>12.25</v>
        <stp/>
        <stp>##V3_BDPV12</stp>
        <stp>USBC9 ICPL Curncy</stp>
        <stp>LAST_PRICE</stp>
        <stp>[DataSheet2.3.xlsm]USD_DATA!R15C22</stp>
        <tr r="V15" s="6"/>
      </tp>
      <tp>
        <v>-18.5</v>
        <stp/>
        <stp>##V3_BDPV12</stp>
        <stp>EUBS9 ICPL Curncy</stp>
        <stp>LAST_PRICE</stp>
        <stp>[DataSheet2.3.xlsm]EUR_DATA!R19C46</stp>
        <tr r="AT19" s="31"/>
      </tp>
      <tp>
        <v>255</v>
        <stp/>
        <stp>##V3_BDPV12</stp>
        <stp>TYBS3 ICPL Curncy</stp>
        <stp>ASK</stp>
        <stp>[DataSheet2.2.xlsm]TRY_DATA!R9C42</stp>
        <tr r="AP9" s="10"/>
      </tp>
      <tp>
        <v>0.59499999999999997</v>
        <stp/>
        <stp>##V3_BDPV12</stp>
        <stp>ISSW9 ICPL Curncy</stp>
        <stp>LAST_PRICE</stp>
        <stp>[DataSheet2.2.xlsm]ILS_DATA!R26C20</stp>
        <tr r="T26" s="17"/>
      </tp>
      <tp>
        <v>1.46</v>
        <stp/>
        <stp>##V3_BDPV12</stp>
        <stp>SRSW4 GMGM Curncy</stp>
        <stp>LAST_PRICE</stp>
        <stp>[DataSheet2.2.xlsm]INR_DATA!R20C20</stp>
        <tr r="T20" s="54"/>
      </tp>
      <tp>
        <v>0.98499999999999999</v>
        <stp/>
        <stp>##V3_BDPV12</stp>
        <stp>PZSW9 ICPL Curncy</stp>
        <stp>LAST_PRICE</stp>
        <stp>[DataSheet2.2.xlsm]PLN_DATA!R25C20</stp>
        <tr r="T25" s="12"/>
      </tp>
      <tp t="s">
        <v>#N/A N/A</v>
        <stp/>
        <stp>##V3_BDPV12</stp>
        <stp>BISTTREF Index</stp>
        <stp>ASK</stp>
        <stp>[DataSheet2.2.xlsm]TRY_DATA!R7C11</stp>
        <tr r="K7" s="10"/>
      </tp>
      <tp>
        <v>-0.40899999999999997</v>
        <stp/>
        <stp>##V3_BDPV12</stp>
        <stp>EUSWE8 ICPL Curncy</stp>
        <stp>LAST_PRICE</stp>
        <stp>[DataSheet2.3.xlsm]EUR_DATA!R23C12</stp>
        <tr r="L23" s="31"/>
      </tp>
      <tp>
        <v>0.85040000000000004</v>
        <stp/>
        <stp>##V3_BDPV12</stp>
        <stp>USDEUR Curncy</stp>
        <stp>LAST_PRICE</stp>
        <stp>[DataSheet2.3.xlsm]FX!R2C3</stp>
        <tr r="C2" s="20"/>
      </tp>
      <tp>
        <v>17</v>
        <stp/>
        <stp>##V3_BDPV12</stp>
        <stp>SRBS10 GFID Curncy</stp>
        <stp>LAST_PRICE</stp>
        <stp>[DataSheet2.2.xlsm]SAR_DATA!R17C25</stp>
        <tr r="Y17" s="19"/>
      </tp>
      <tp>
        <v>3.35</v>
        <stp/>
        <stp>##V3_BDPV12</stp>
        <stp>SASW1 TPRA Curncy</stp>
        <stp>LAST_PRICE</stp>
        <stp>[DataSheet2.2.xlsm]ZAR_DATA!R19C20</stp>
        <tr r="T19" s="8"/>
      </tp>
      <tp>
        <v>1.6</v>
        <stp/>
        <stp>##V3_BDPV12</stp>
        <stp>HFSW8 TPRA Curncy</stp>
        <stp>LAST_PRICE</stp>
        <stp>[DataSheet2.2.xlsm]HUF_DATA!R24C20</stp>
        <tr r="T24" s="15"/>
      </tp>
      <tp>
        <v>2.0089999999999999</v>
        <stp/>
        <stp>##V3_BDPV12</stp>
        <stp>SRSW7 GMGM Curncy</stp>
        <stp>LAST_PRICE</stp>
        <stp>[DataSheet2.2.xlsm]INR_DATA!R23C20</stp>
        <tr r="T23" s="54"/>
      </tp>
      <tp>
        <v>4.625</v>
        <stp/>
        <stp>##V3_BDPV12</stp>
        <stp>JYBC8 MTRT Curncy</stp>
        <stp>LAST_PRICE</stp>
        <stp>[DataSheet2.3.xlsm]JPY_DATA!R20C17</stp>
        <tr r="Q20" s="46"/>
      </tp>
      <tp>
        <v>7.25</v>
        <stp/>
        <stp>##V3_BDPV12</stp>
        <stp>JYBB8 MTRT Curncy</stp>
        <stp>LAST_PRICE</stp>
        <stp>[DataSheet2.3.xlsm]JPY_DATA!R15C27</stp>
        <tr r="AA15" s="46"/>
      </tp>
      <tp>
        <v>-3.7499999999999999E-3</v>
        <stp/>
        <stp>##V3_BDPV12</stp>
        <stp>JYSW8 MTRT Curncy</stp>
        <stp>LAST_PRICE</stp>
        <stp>[DataSheet2.3.xlsm]JPY_DATA!R23C32</stp>
        <tr r="AF23" s="46"/>
      </tp>
      <tp>
        <v>-52</v>
        <stp/>
        <stp>##V3_BDPV12</stp>
        <stp>JYBS8 MTRT Curncy</stp>
        <stp>LAST_PRICE</stp>
        <stp>[DataSheet2.3.xlsm]JPY_DATA!R33C49</stp>
        <tr r="AW33" s="46"/>
      </tp>
      <tp>
        <v>-3.91</v>
        <stp/>
        <stp>##V3_BDPV12</stp>
        <stp>CAD12M BGN Curncy</stp>
        <stp>ASK</stp>
        <stp>[DataSheet2.3.xlsm]GBP_DATA!R17C50</stp>
        <tr r="AX17" s="58"/>
      </tp>
      <tp>
        <v>3.36</v>
        <stp/>
        <stp>##V3_BDPV12</stp>
        <stp>CAD18M BGN Curncy</stp>
        <stp>ASK</stp>
        <stp>[DataSheet2.3.xlsm]GBP_DATA!R18C50</stp>
        <tr r="AX18" s="58"/>
      </tp>
      <tp>
        <v>-1.62</v>
        <stp/>
        <stp>##V3_BDPV12</stp>
        <stp>CAD18M BGN Curncy</stp>
        <stp>BID</stp>
        <stp>[DataSheet2.3.xlsm]GBP_DATA!R18C49</stp>
        <tr r="AW18" s="58"/>
      </tp>
      <tp>
        <v>-6.15</v>
        <stp/>
        <stp>##V3_BDPV12</stp>
        <stp>CAD12M BGN Curncy</stp>
        <stp>BID</stp>
        <stp>[DataSheet2.3.xlsm]GBP_DATA!R17C49</stp>
        <tr r="AW17" s="58"/>
      </tp>
      <tp>
        <v>6300.59</v>
        <stp/>
        <stp>##V3_BDPV12</stp>
        <stp>TRY6M BGN Curncy</stp>
        <stp>LAST_PRICE</stp>
        <stp>[DataSheet2.2.xlsm]TRY_DATA!R17C51</stp>
        <tr r="AY17" s="10"/>
      </tp>
      <tp>
        <v>13653.49</v>
        <stp/>
        <stp>##V3_BDPV12</stp>
        <stp>TRY12M BGN Curncy</stp>
        <stp>ASK</stp>
        <stp>[DataSheet2.2.xlsm]TRY_DATA!R19C50</stp>
        <tr r="AX19" s="10"/>
      </tp>
      <tp>
        <v>20506.84</v>
        <stp/>
        <stp>##V3_BDPV12</stp>
        <stp>TRY18M BGN Curncy</stp>
        <stp>ASK</stp>
        <stp>[DataSheet2.2.xlsm]TRY_DATA!R20C50</stp>
        <tr r="AX20" s="10"/>
      </tp>
      <tp>
        <v>19792.97</v>
        <stp/>
        <stp>##V3_BDPV12</stp>
        <stp>TRY18M BGN Curncy</stp>
        <stp>BID</stp>
        <stp>[DataSheet2.2.xlsm]TRY_DATA!R20C49</stp>
        <tr r="AW20" s="10"/>
      </tp>
      <tp>
        <v>13170.52</v>
        <stp/>
        <stp>##V3_BDPV12</stp>
        <stp>TRY12M BGN Curncy</stp>
        <stp>BID</stp>
        <stp>[DataSheet2.2.xlsm]TRY_DATA!R19C49</stp>
        <tr r="AW19" s="10"/>
      </tp>
      <tp>
        <v>8.1</v>
        <stp/>
        <stp>##V3_BDPV12</stp>
        <stp>SASW30 TPRA Curncy</stp>
        <stp>LAST_PRICE</stp>
        <stp>[DataSheet2.2.xlsm]ZAR_DATA!R32C20</stp>
        <tr r="T32" s="8"/>
      </tp>
      <tp>
        <v>7.98</v>
        <stp/>
        <stp>##V3_BDPV12</stp>
        <stp>SASW20 TPRA Curncy</stp>
        <stp>LAST_PRICE</stp>
        <stp>[DataSheet2.2.xlsm]ZAR_DATA!R31C20</stp>
        <tr r="T31" s="8"/>
      </tp>
      <tp>
        <v>6.94</v>
        <stp/>
        <stp>##V3_BDPV12</stp>
        <stp>SASW10 TPRA Curncy</stp>
        <stp>LAST_PRICE</stp>
        <stp>[DataSheet2.2.xlsm]ZAR_DATA!R28C20</stp>
        <tr r="T28" s="8"/>
      </tp>
      <tp>
        <v>-0.36499999999999999</v>
        <stp/>
        <stp>##V3_BDPV12</stp>
        <stp>EUSWE9 ICPL Curncy</stp>
        <stp>LAST_PRICE</stp>
        <stp>[DataSheet2.3.xlsm]EUR_DATA!R24C12</stp>
        <tr r="L24" s="31"/>
      </tp>
      <tp>
        <v>-50</v>
        <stp/>
        <stp>##V3_BDPV12</stp>
        <stp>SABS12 ICPL Curncy</stp>
        <stp>LAST_PRICE</stp>
        <stp>[DataSheet2.2.xlsm]ZAR_DATA!R17C43</stp>
        <tr r="AQ17" s="8"/>
      </tp>
      <tp>
        <v>14</v>
        <stp/>
        <stp>##V3_BDPV12</stp>
        <stp>HFEBS1 ICPL Curncy</stp>
        <stp>ASK</stp>
        <stp>[DataSheet2.2.xlsm]HUF_DATA!R7C42</stp>
        <tr r="AP7" s="15"/>
      </tp>
      <tp>
        <v>151.41</v>
        <stp/>
        <stp>##V3_BDPV12</stp>
        <stp>CAD5Y BGN Curncy</stp>
        <stp>BID</stp>
        <stp>[DataSheet2.3.xlsm]CAD_DATA!R22C49</stp>
        <tr r="AW22" s="48"/>
      </tp>
      <tp>
        <v>103.54</v>
        <stp/>
        <stp>##V3_BDPV12</stp>
        <stp>CAD4Y BGN Curncy</stp>
        <stp>BID</stp>
        <stp>[DataSheet2.3.xlsm]CAD_DATA!R21C49</stp>
        <tr r="AW21" s="48"/>
      </tp>
      <tp>
        <v>227.85</v>
        <stp/>
        <stp>##V3_BDPV12</stp>
        <stp>CAD7Y BGN Curncy</stp>
        <stp>BID</stp>
        <stp>[DataSheet2.3.xlsm]CAD_DATA!R23C49</stp>
        <tr r="AW23" s="48"/>
      </tp>
      <tp>
        <v>49.36</v>
        <stp/>
        <stp>##V3_BDPV12</stp>
        <stp>CAD3Y BGN Curncy</stp>
        <stp>BID</stp>
        <stp>[DataSheet2.3.xlsm]CAD_DATA!R20C49</stp>
        <tr r="AW20" s="48"/>
      </tp>
      <tp>
        <v>8.9</v>
        <stp/>
        <stp>##V3_BDPV12</stp>
        <stp>CAD2Y BGN Curncy</stp>
        <stp>BID</stp>
        <stp>[DataSheet2.3.xlsm]CAD_DATA!R19C49</stp>
        <tr r="AW19" s="48"/>
      </tp>
      <tp>
        <v>54708.28</v>
        <stp/>
        <stp>##V3_BDPV12</stp>
        <stp>TRY4Y BGN Curncy</stp>
        <stp>BID</stp>
        <stp>[DataSheet2.2.xlsm]TRY_DATA!R23C49</stp>
        <tr r="AW23" s="10"/>
      </tp>
      <tp>
        <v>26846.05</v>
        <stp/>
        <stp>##V3_BDPV12</stp>
        <stp>TRY2Y BGN Curncy</stp>
        <stp>BID</stp>
        <stp>[DataSheet2.2.xlsm]TRY_DATA!R21C49</stp>
        <tr r="AW21" s="10"/>
      </tp>
      <tp>
        <v>39983.519999999997</v>
        <stp/>
        <stp>##V3_BDPV12</stp>
        <stp>TRY3Y BGN Curncy</stp>
        <stp>BID</stp>
        <stp>[DataSheet2.2.xlsm]TRY_DATA!R22C49</stp>
        <tr r="AW22" s="10"/>
      </tp>
      <tp>
        <v>69087.19</v>
        <stp/>
        <stp>##V3_BDPV12</stp>
        <stp>TRY5Y BGN Curncy</stp>
        <stp>BID</stp>
        <stp>[DataSheet2.2.xlsm]TRY_DATA!R24C49</stp>
        <tr r="AW24" s="10"/>
      </tp>
      <tp>
        <v>20.21</v>
        <stp/>
        <stp>##V3_BDPV12</stp>
        <stp>CAD2Y BGN Curncy</stp>
        <stp>ASK</stp>
        <stp>[DataSheet2.3.xlsm]CAD_DATA!R19C50</stp>
        <tr r="AX19" s="48"/>
      </tp>
      <tp>
        <v>65.45</v>
        <stp/>
        <stp>##V3_BDPV12</stp>
        <stp>CAD3Y BGN Curncy</stp>
        <stp>ASK</stp>
        <stp>[DataSheet2.3.xlsm]CAD_DATA!R20C50</stp>
        <tr r="AX20" s="48"/>
      </tp>
      <tp>
        <v>261.95999999999998</v>
        <stp/>
        <stp>##V3_BDPV12</stp>
        <stp>CAD7Y BGN Curncy</stp>
        <stp>ASK</stp>
        <stp>[DataSheet2.3.xlsm]CAD_DATA!R23C50</stp>
        <tr r="AX23" s="48"/>
      </tp>
      <tp>
        <v>123.58</v>
        <stp/>
        <stp>##V3_BDPV12</stp>
        <stp>CAD4Y BGN Curncy</stp>
        <stp>ASK</stp>
        <stp>[DataSheet2.3.xlsm]CAD_DATA!R21C50</stp>
        <tr r="AX21" s="48"/>
      </tp>
      <tp>
        <v>177.92</v>
        <stp/>
        <stp>##V3_BDPV12</stp>
        <stp>CAD5Y BGN Curncy</stp>
        <stp>ASK</stp>
        <stp>[DataSheet2.3.xlsm]CAD_DATA!R22C50</stp>
        <tr r="AX22" s="48"/>
      </tp>
      <tp>
        <v>-901.54</v>
        <stp/>
        <stp>##V3_BDPV12</stp>
        <stp>JPY8Y BGN Curncy</stp>
        <stp>ASK</stp>
        <stp>[DataSheet2.3.xlsm]JPY_DATA!R30C40</stp>
        <tr r="AN30" s="46"/>
      </tp>
      <tp>
        <v>-1061.3599999999999</v>
        <stp/>
        <stp>##V3_BDPV12</stp>
        <stp>JPY9Y BGN Curncy</stp>
        <stp>ASK</stp>
        <stp>[DataSheet2.3.xlsm]JPY_DATA!R31C40</stp>
        <tr r="AN31" s="46"/>
      </tp>
      <tp>
        <v>41602.89</v>
        <stp/>
        <stp>##V3_BDPV12</stp>
        <stp>TRY3Y BGN Curncy</stp>
        <stp>ASK</stp>
        <stp>[DataSheet2.2.xlsm]TRY_DATA!R22C50</stp>
        <tr r="AX22" s="10"/>
      </tp>
      <tp>
        <v>71222.75</v>
        <stp/>
        <stp>##V3_BDPV12</stp>
        <stp>TRY5Y BGN Curncy</stp>
        <stp>ASK</stp>
        <stp>[DataSheet2.2.xlsm]TRY_DATA!R24C50</stp>
        <tr r="AX24" s="10"/>
      </tp>
      <tp>
        <v>-327.5</v>
        <stp/>
        <stp>##V3_BDPV12</stp>
        <stp>JPY4Y BGN Curncy</stp>
        <stp>ASK</stp>
        <stp>[DataSheet2.3.xlsm]JPY_DATA!R26C40</stp>
        <tr r="AN26" s="46"/>
      </tp>
      <tp>
        <v>-452.67</v>
        <stp/>
        <stp>##V3_BDPV12</stp>
        <stp>JPY5Y BGN Curncy</stp>
        <stp>ASK</stp>
        <stp>[DataSheet2.3.xlsm]JPY_DATA!R27C40</stp>
        <tr r="AN27" s="46"/>
      </tp>
      <tp>
        <v>27846.05</v>
        <stp/>
        <stp>##V3_BDPV12</stp>
        <stp>TRY2Y BGN Curncy</stp>
        <stp>ASK</stp>
        <stp>[DataSheet2.2.xlsm]TRY_DATA!R21C50</stp>
        <tr r="AX21" s="10"/>
      </tp>
      <tp>
        <v>-136.79</v>
        <stp/>
        <stp>##V3_BDPV12</stp>
        <stp>JPY2Y BGN Curncy</stp>
        <stp>ASK</stp>
        <stp>[DataSheet2.3.xlsm]JPY_DATA!R24C40</stp>
        <tr r="AN24" s="46"/>
      </tp>
      <tp>
        <v>-222.21</v>
        <stp/>
        <stp>##V3_BDPV12</stp>
        <stp>JPY3Y BGN Curncy</stp>
        <stp>ASK</stp>
        <stp>[DataSheet2.3.xlsm]JPY_DATA!R25C40</stp>
        <tr r="AN25" s="46"/>
      </tp>
      <tp>
        <v>56361.15</v>
        <stp/>
        <stp>##V3_BDPV12</stp>
        <stp>TRY4Y BGN Curncy</stp>
        <stp>ASK</stp>
        <stp>[DataSheet2.2.xlsm]TRY_DATA!R23C50</stp>
        <tr r="AX23" s="10"/>
      </tp>
      <tp>
        <v>-589.1</v>
        <stp/>
        <stp>##V3_BDPV12</stp>
        <stp>JPY6Y BGN Curncy</stp>
        <stp>ASK</stp>
        <stp>[DataSheet2.3.xlsm]JPY_DATA!R28C40</stp>
        <tr r="AN28" s="46"/>
      </tp>
      <tp>
        <v>-740.58</v>
        <stp/>
        <stp>##V3_BDPV12</stp>
        <stp>JPY7Y BGN Curncy</stp>
        <stp>ASK</stp>
        <stp>[DataSheet2.3.xlsm]JPY_DATA!R29C40</stp>
        <tr r="AN29" s="46"/>
      </tp>
      <tp>
        <v>-614.1</v>
        <stp/>
        <stp>##V3_BDPV12</stp>
        <stp>JPY6Y BGN Curncy</stp>
        <stp>BID</stp>
        <stp>[DataSheet2.3.xlsm]JPY_DATA!R28C39</stp>
        <tr r="AM28" s="46"/>
      </tp>
      <tp>
        <v>-771.44</v>
        <stp/>
        <stp>##V3_BDPV12</stp>
        <stp>JPY7Y BGN Curncy</stp>
        <stp>BID</stp>
        <stp>[DataSheet2.3.xlsm]JPY_DATA!R29C39</stp>
        <tr r="AM29" s="46"/>
      </tp>
      <tp>
        <v>-143.21</v>
        <stp/>
        <stp>##V3_BDPV12</stp>
        <stp>JPY2Y BGN Curncy</stp>
        <stp>BID</stp>
        <stp>[DataSheet2.3.xlsm]JPY_DATA!R24C39</stp>
        <tr r="AM24" s="46"/>
      </tp>
      <tp>
        <v>-235.39</v>
        <stp/>
        <stp>##V3_BDPV12</stp>
        <stp>JPY3Y BGN Curncy</stp>
        <stp>BID</stp>
        <stp>[DataSheet2.3.xlsm]JPY_DATA!R25C39</stp>
        <tr r="AM25" s="46"/>
      </tp>
      <tp>
        <v>-342.31</v>
        <stp/>
        <stp>##V3_BDPV12</stp>
        <stp>JPY4Y BGN Curncy</stp>
        <stp>BID</stp>
        <stp>[DataSheet2.3.xlsm]JPY_DATA!R26C39</stp>
        <tr r="AM26" s="46"/>
      </tp>
      <tp>
        <v>-468.14</v>
        <stp/>
        <stp>##V3_BDPV12</stp>
        <stp>JPY5Y BGN Curncy</stp>
        <stp>BID</stp>
        <stp>[DataSheet2.3.xlsm]JPY_DATA!R27C39</stp>
        <tr r="AM27" s="46"/>
      </tp>
      <tp>
        <v>-929.84</v>
        <stp/>
        <stp>##V3_BDPV12</stp>
        <stp>JPY8Y BGN Curncy</stp>
        <stp>BID</stp>
        <stp>[DataSheet2.3.xlsm]JPY_DATA!R30C39</stp>
        <tr r="AM30" s="46"/>
      </tp>
      <tp>
        <v>-1090.71</v>
        <stp/>
        <stp>##V3_BDPV12</stp>
        <stp>JPY9Y BGN Curncy</stp>
        <stp>BID</stp>
        <stp>[DataSheet2.3.xlsm]JPY_DATA!R31C39</stp>
        <tr r="AM31" s="46"/>
      </tp>
      <tp>
        <v>10077.540000000001</v>
        <stp/>
        <stp>##V3_BDPV12</stp>
        <stp>BCN4Y BGN Curncy</stp>
        <stp>BID</stp>
        <stp>[DataSheet2.3.xlsm]BRL_DATA!R18C49</stp>
        <tr r="AW18" s="59"/>
      </tp>
      <tp>
        <v>14185.65</v>
        <stp/>
        <stp>##V3_BDPV12</stp>
        <stp>BCN5Y BGN Curncy</stp>
        <stp>BID</stp>
        <stp>[DataSheet2.3.xlsm]BRL_DATA!R19C49</stp>
        <tr r="AW19" s="59"/>
      </tp>
      <tp>
        <v>2799.67</v>
        <stp/>
        <stp>##V3_BDPV12</stp>
        <stp>BCN2Y BGN Curncy</stp>
        <stp>BID</stp>
        <stp>[DataSheet2.3.xlsm]BRL_DATA!R16C49</stp>
        <tr r="AW16" s="59"/>
      </tp>
      <tp>
        <v>5964.92</v>
        <stp/>
        <stp>##V3_BDPV12</stp>
        <stp>BCN3Y BGN Curncy</stp>
        <stp>BID</stp>
        <stp>[DataSheet2.3.xlsm]BRL_DATA!R17C49</stp>
        <tr r="AW17" s="59"/>
      </tp>
      <tp>
        <v>24324.93</v>
        <stp/>
        <stp>##V3_BDPV12</stp>
        <stp>BCN7Y BGN Curncy</stp>
        <stp>BID</stp>
        <stp>[DataSheet2.3.xlsm]BRL_DATA!R20C49</stp>
        <tr r="AW20" s="59"/>
      </tp>
      <tp>
        <v>25127.05</v>
        <stp/>
        <stp>##V3_BDPV12</stp>
        <stp>BCN7Y BGN Curncy</stp>
        <stp>ASK</stp>
        <stp>[DataSheet2.3.xlsm]BRL_DATA!R20C50</stp>
        <tr r="AX20" s="59"/>
      </tp>
      <tp>
        <v>2891.74</v>
        <stp/>
        <stp>##V3_BDPV12</stp>
        <stp>BCN2Y BGN Curncy</stp>
        <stp>ASK</stp>
        <stp>[DataSheet2.3.xlsm]BRL_DATA!R16C50</stp>
        <tr r="AX16" s="59"/>
      </tp>
      <tp>
        <v>6369.61</v>
        <stp/>
        <stp>##V3_BDPV12</stp>
        <stp>BCN3Y BGN Curncy</stp>
        <stp>ASK</stp>
        <stp>[DataSheet2.3.xlsm]BRL_DATA!R17C50</stp>
        <tr r="AX17" s="59"/>
      </tp>
      <tp>
        <v>10273.950000000001</v>
        <stp/>
        <stp>##V3_BDPV12</stp>
        <stp>BCN4Y BGN Curncy</stp>
        <stp>ASK</stp>
        <stp>[DataSheet2.3.xlsm]BRL_DATA!R18C50</stp>
        <tr r="AX18" s="59"/>
      </tp>
      <tp>
        <v>14967.02</v>
        <stp/>
        <stp>##V3_BDPV12</stp>
        <stp>BCN5Y BGN Curncy</stp>
        <stp>ASK</stp>
        <stp>[DataSheet2.3.xlsm]BRL_DATA!R19C50</stp>
        <tr r="AX19" s="59"/>
      </tp>
      <tp>
        <v>494</v>
        <stp/>
        <stp>##V3_BDPV12</stp>
        <stp>TYBS1 ICPL Curncy</stp>
        <stp>ASK</stp>
        <stp>[DataSheet2.2.xlsm]TRY_DATA!R7C42</stp>
        <tr r="AP7" s="10"/>
      </tp>
      <tp>
        <v>1.68</v>
        <stp/>
        <stp>##V3_BDPV12</stp>
        <stp>HFSW9 TPRA Curncy</stp>
        <stp>LAST_PRICE</stp>
        <stp>[DataSheet2.2.xlsm]HUF_DATA!R25C20</stp>
        <tr r="T25" s="15"/>
      </tp>
      <tp>
        <v>1.845</v>
        <stp/>
        <stp>##V3_BDPV12</stp>
        <stp>SRSW6 GMGM Curncy</stp>
        <stp>LAST_PRICE</stp>
        <stp>[DataSheet2.2.xlsm]INR_DATA!R22C20</stp>
        <tr r="T22" s="54"/>
      </tp>
      <tp>
        <v>4.625</v>
        <stp/>
        <stp>##V3_BDPV12</stp>
        <stp>JYBC9 MTRT Curncy</stp>
        <stp>LAST_PRICE</stp>
        <stp>[DataSheet2.3.xlsm]JPY_DATA!R21C17</stp>
        <tr r="Q21" s="46"/>
      </tp>
      <tp>
        <v>7.25</v>
        <stp/>
        <stp>##V3_BDPV12</stp>
        <stp>JYBB9 MTRT Curncy</stp>
        <stp>LAST_PRICE</stp>
        <stp>[DataSheet2.3.xlsm]JPY_DATA!R16C27</stp>
        <tr r="AA16" s="46"/>
      </tp>
      <tp>
        <v>1.6250000000000001E-2</v>
        <stp/>
        <stp>##V3_BDPV12</stp>
        <stp>JYSW9 MTRT Curncy</stp>
        <stp>LAST_PRICE</stp>
        <stp>[DataSheet2.3.xlsm]JPY_DATA!R24C32</stp>
        <tr r="AF24" s="46"/>
      </tp>
      <tp>
        <v>-53.125</v>
        <stp/>
        <stp>##V3_BDPV12</stp>
        <stp>JYBS9 MTRT Curncy</stp>
        <stp>LAST_PRICE</stp>
        <stp>[DataSheet2.3.xlsm]JPY_DATA!R34C49</stp>
        <tr r="AW34" s="4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USD_CURVES!$L$7</c:f>
              <c:strCache>
                <c:ptCount val="1"/>
                <c:pt idx="0">
                  <c:v>USDOIS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USD_CURVES!$K$8:$K$87</c:f>
              <c:numCache>
                <c:formatCode>d\-mmm\-yy</c:formatCode>
                <c:ptCount val="80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cat>
          <c:val>
            <c:numRef>
              <c:f>USD_CURVES!$L$8:$L$87</c:f>
              <c:numCache>
                <c:formatCode>0.0000%</c:formatCode>
                <c:ptCount val="80"/>
                <c:pt idx="0">
                  <c:v>8.9999999996592805E-4</c:v>
                </c:pt>
                <c:pt idx="1">
                  <c:v>6.9270605227878229E-4</c:v>
                </c:pt>
                <c:pt idx="2">
                  <c:v>4.7517647424833055E-4</c:v>
                </c:pt>
                <c:pt idx="3">
                  <c:v>4.0178978328420242E-4</c:v>
                </c:pt>
                <c:pt idx="4">
                  <c:v>2.5860790165310824E-4</c:v>
                </c:pt>
                <c:pt idx="5">
                  <c:v>1.6907877362193406E-4</c:v>
                </c:pt>
                <c:pt idx="6">
                  <c:v>1.2718440268955124E-4</c:v>
                </c:pt>
                <c:pt idx="7">
                  <c:v>1.2974763791362466E-4</c:v>
                </c:pt>
                <c:pt idx="8">
                  <c:v>1.8711744878885451E-4</c:v>
                </c:pt>
                <c:pt idx="9">
                  <c:v>2.9718977361703583E-4</c:v>
                </c:pt>
                <c:pt idx="10">
                  <c:v>4.5509442334612678E-4</c:v>
                </c:pt>
                <c:pt idx="11">
                  <c:v>6.7477802979887497E-4</c:v>
                </c:pt>
                <c:pt idx="12">
                  <c:v>9.5218924657025975E-4</c:v>
                </c:pt>
                <c:pt idx="13">
                  <c:v>1.2798038864669837E-3</c:v>
                </c:pt>
                <c:pt idx="14">
                  <c:v>1.6627967752302966E-3</c:v>
                </c:pt>
                <c:pt idx="15">
                  <c:v>2.1019226018115307E-3</c:v>
                </c:pt>
                <c:pt idx="16">
                  <c:v>2.5983860697480292E-3</c:v>
                </c:pt>
                <c:pt idx="17">
                  <c:v>3.122692841905428E-3</c:v>
                </c:pt>
                <c:pt idx="18">
                  <c:v>3.6355254132753147E-3</c:v>
                </c:pt>
                <c:pt idx="19">
                  <c:v>4.1232401776885247E-3</c:v>
                </c:pt>
                <c:pt idx="20">
                  <c:v>4.5771804032572255E-3</c:v>
                </c:pt>
                <c:pt idx="21">
                  <c:v>5.0012787708028483E-3</c:v>
                </c:pt>
                <c:pt idx="22">
                  <c:v>5.4176484991783598E-3</c:v>
                </c:pt>
                <c:pt idx="23">
                  <c:v>5.8374378945834186E-3</c:v>
                </c:pt>
                <c:pt idx="24">
                  <c:v>6.2482713476007751E-3</c:v>
                </c:pt>
                <c:pt idx="25">
                  <c:v>6.6428911207772777E-3</c:v>
                </c:pt>
                <c:pt idx="26">
                  <c:v>7.0188077934474477E-3</c:v>
                </c:pt>
                <c:pt idx="27">
                  <c:v>7.3853695802116983E-3</c:v>
                </c:pt>
                <c:pt idx="28">
                  <c:v>7.7309901274335143E-3</c:v>
                </c:pt>
                <c:pt idx="29">
                  <c:v>8.0554183090355402E-3</c:v>
                </c:pt>
                <c:pt idx="30">
                  <c:v>8.3676332904212523E-3</c:v>
                </c:pt>
                <c:pt idx="31">
                  <c:v>8.6731729200457807E-3</c:v>
                </c:pt>
                <c:pt idx="32">
                  <c:v>8.9631708692724937E-3</c:v>
                </c:pt>
                <c:pt idx="33">
                  <c:v>9.231322239660833E-3</c:v>
                </c:pt>
                <c:pt idx="34">
                  <c:v>9.4775897005912775E-3</c:v>
                </c:pt>
                <c:pt idx="35">
                  <c:v>9.7160946112720172E-3</c:v>
                </c:pt>
                <c:pt idx="36">
                  <c:v>9.9304229568970576E-3</c:v>
                </c:pt>
                <c:pt idx="37">
                  <c:v>1.0124521700774575E-2</c:v>
                </c:pt>
                <c:pt idx="38">
                  <c:v>1.0297243284609958E-2</c:v>
                </c:pt>
                <c:pt idx="39">
                  <c:v>1.0447445995445722E-2</c:v>
                </c:pt>
                <c:pt idx="40">
                  <c:v>1.0573956930207141E-2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6-446F-AB7E-725BA1BCC7CE}"/>
            </c:ext>
          </c:extLst>
        </c:ser>
        <c:ser>
          <c:idx val="1"/>
          <c:order val="1"/>
          <c:tx>
            <c:strRef>
              <c:f>USD_CURVES!$M$7</c:f>
              <c:strCache>
                <c:ptCount val="1"/>
                <c:pt idx="0">
                  <c:v>USD1ML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USD_CURVES!$K$8:$K$87</c:f>
              <c:numCache>
                <c:formatCode>d\-mmm\-yy</c:formatCode>
                <c:ptCount val="80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cat>
          <c:val>
            <c:numRef>
              <c:f>USD_CURVES!$M$8:$M$87</c:f>
              <c:numCache>
                <c:formatCode>0.0000%</c:formatCode>
                <c:ptCount val="80"/>
                <c:pt idx="0">
                  <c:v>1.5533131377010179E-3</c:v>
                </c:pt>
                <c:pt idx="1">
                  <c:v>1.5998410183341732E-3</c:v>
                </c:pt>
                <c:pt idx="2">
                  <c:v>1.5930278628822003E-3</c:v>
                </c:pt>
                <c:pt idx="3">
                  <c:v>1.5270432327829646E-3</c:v>
                </c:pt>
                <c:pt idx="4">
                  <c:v>1.4001729468585114E-3</c:v>
                </c:pt>
                <c:pt idx="5">
                  <c:v>1.2835165706345777E-3</c:v>
                </c:pt>
                <c:pt idx="6">
                  <c:v>1.2167004561458568E-3</c:v>
                </c:pt>
                <c:pt idx="7">
                  <c:v>1.1989742276807807E-3</c:v>
                </c:pt>
                <c:pt idx="8">
                  <c:v>1.231281242097383E-3</c:v>
                </c:pt>
                <c:pt idx="9">
                  <c:v>1.3085272820077397E-3</c:v>
                </c:pt>
                <c:pt idx="10">
                  <c:v>1.4271811376823076E-3</c:v>
                </c:pt>
                <c:pt idx="11">
                  <c:v>1.5895092661701404E-3</c:v>
                </c:pt>
                <c:pt idx="12">
                  <c:v>1.8005720557319161E-3</c:v>
                </c:pt>
                <c:pt idx="13">
                  <c:v>2.0917284512194639E-3</c:v>
                </c:pt>
                <c:pt idx="14">
                  <c:v>2.4871563484121831E-3</c:v>
                </c:pt>
                <c:pt idx="15">
                  <c:v>2.9851177483513017E-3</c:v>
                </c:pt>
                <c:pt idx="16">
                  <c:v>3.5888588118782165E-3</c:v>
                </c:pt>
                <c:pt idx="17">
                  <c:v>4.2010317116984424E-3</c:v>
                </c:pt>
                <c:pt idx="18">
                  <c:v>4.7554863458751919E-3</c:v>
                </c:pt>
                <c:pt idx="19">
                  <c:v>5.2530875435179052E-3</c:v>
                </c:pt>
                <c:pt idx="20">
                  <c:v>5.7046489473124443E-3</c:v>
                </c:pt>
                <c:pt idx="21">
                  <c:v>6.1282259390492639E-3</c:v>
                </c:pt>
                <c:pt idx="22">
                  <c:v>6.5370326797305322E-3</c:v>
                </c:pt>
                <c:pt idx="23">
                  <c:v>6.9446736614074099E-3</c:v>
                </c:pt>
                <c:pt idx="24">
                  <c:v>7.3461877141012526E-3</c:v>
                </c:pt>
                <c:pt idx="25">
                  <c:v>7.7259319819249998E-3</c:v>
                </c:pt>
                <c:pt idx="26">
                  <c:v>8.0590883497262053E-3</c:v>
                </c:pt>
                <c:pt idx="27">
                  <c:v>8.3690740605736856E-3</c:v>
                </c:pt>
                <c:pt idx="28">
                  <c:v>8.6512995564740902E-3</c:v>
                </c:pt>
                <c:pt idx="29">
                  <c:v>8.9278398519096781E-3</c:v>
                </c:pt>
                <c:pt idx="30">
                  <c:v>9.2260270054660941E-3</c:v>
                </c:pt>
                <c:pt idx="31">
                  <c:v>9.5475486168596687E-3</c:v>
                </c:pt>
                <c:pt idx="32">
                  <c:v>9.8975482699045613E-3</c:v>
                </c:pt>
                <c:pt idx="33">
                  <c:v>1.0221031201232017E-2</c:v>
                </c:pt>
                <c:pt idx="34">
                  <c:v>1.0492217592414867E-2</c:v>
                </c:pt>
                <c:pt idx="35">
                  <c:v>1.0737439403551693E-2</c:v>
                </c:pt>
                <c:pt idx="36">
                  <c:v>1.0934207573170795E-2</c:v>
                </c:pt>
                <c:pt idx="37">
                  <c:v>1.1101120774270135E-2</c:v>
                </c:pt>
                <c:pt idx="38">
                  <c:v>1.1242219359086172E-2</c:v>
                </c:pt>
                <c:pt idx="39">
                  <c:v>1.1357896103881321E-2</c:v>
                </c:pt>
                <c:pt idx="40">
                  <c:v>1.1449979874987999E-2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66-446F-AB7E-725BA1BCC7CE}"/>
            </c:ext>
          </c:extLst>
        </c:ser>
        <c:ser>
          <c:idx val="2"/>
          <c:order val="2"/>
          <c:tx>
            <c:strRef>
              <c:f>USD_CURVES!$N$7</c:f>
              <c:strCache>
                <c:ptCount val="1"/>
                <c:pt idx="0">
                  <c:v>USD3ML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USD_CURVES!$K$8:$K$87</c:f>
              <c:numCache>
                <c:formatCode>d\-mmm\-yy</c:formatCode>
                <c:ptCount val="80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cat>
          <c:val>
            <c:numRef>
              <c:f>USD_CURVES!$N$8:$N$87</c:f>
              <c:numCache>
                <c:formatCode>0.0000%</c:formatCode>
                <c:ptCount val="80"/>
                <c:pt idx="0">
                  <c:v>2.5130422484095521E-3</c:v>
                </c:pt>
                <c:pt idx="1">
                  <c:v>3.0008500667269549E-3</c:v>
                </c:pt>
                <c:pt idx="2">
                  <c:v>2.1752601903806783E-3</c:v>
                </c:pt>
                <c:pt idx="3">
                  <c:v>1.9461909380172583E-3</c:v>
                </c:pt>
                <c:pt idx="4">
                  <c:v>2.0183813833559777E-3</c:v>
                </c:pt>
                <c:pt idx="5">
                  <c:v>2.2463226547850684E-3</c:v>
                </c:pt>
                <c:pt idx="6">
                  <c:v>2.0635650248747891E-3</c:v>
                </c:pt>
                <c:pt idx="7">
                  <c:v>2.0403234844205095E-3</c:v>
                </c:pt>
                <c:pt idx="8">
                  <c:v>2.2163087332301799E-3</c:v>
                </c:pt>
                <c:pt idx="9">
                  <c:v>2.4389982069795728E-3</c:v>
                </c:pt>
                <c:pt idx="10">
                  <c:v>2.6418108209487925E-3</c:v>
                </c:pt>
                <c:pt idx="11">
                  <c:v>2.8279614922172634E-3</c:v>
                </c:pt>
                <c:pt idx="12">
                  <c:v>3.0194698770076587E-3</c:v>
                </c:pt>
                <c:pt idx="13">
                  <c:v>3.3009284586963963E-3</c:v>
                </c:pt>
                <c:pt idx="14">
                  <c:v>3.7026461440629096E-3</c:v>
                </c:pt>
                <c:pt idx="15">
                  <c:v>4.2200391560829791E-3</c:v>
                </c:pt>
                <c:pt idx="16">
                  <c:v>4.8251168770554326E-3</c:v>
                </c:pt>
                <c:pt idx="17">
                  <c:v>5.4100642104265156E-3</c:v>
                </c:pt>
                <c:pt idx="18">
                  <c:v>5.9542334954472186E-3</c:v>
                </c:pt>
                <c:pt idx="19">
                  <c:v>6.4423807609745951E-3</c:v>
                </c:pt>
                <c:pt idx="20">
                  <c:v>6.8891601080561934E-3</c:v>
                </c:pt>
                <c:pt idx="21">
                  <c:v>7.3147121766514635E-3</c:v>
                </c:pt>
                <c:pt idx="22">
                  <c:v>7.7340712774110008E-3</c:v>
                </c:pt>
                <c:pt idx="23">
                  <c:v>8.149085675359543E-3</c:v>
                </c:pt>
                <c:pt idx="24">
                  <c:v>8.5488259963429156E-3</c:v>
                </c:pt>
                <c:pt idx="25">
                  <c:v>8.9151168825092608E-3</c:v>
                </c:pt>
                <c:pt idx="26">
                  <c:v>9.2501306077868925E-3</c:v>
                </c:pt>
                <c:pt idx="27">
                  <c:v>9.5580780229014475E-3</c:v>
                </c:pt>
                <c:pt idx="28">
                  <c:v>9.8323183629564822E-3</c:v>
                </c:pt>
                <c:pt idx="29">
                  <c:v>1.0123199004027264E-2</c:v>
                </c:pt>
                <c:pt idx="30">
                  <c:v>1.0442963789956619E-2</c:v>
                </c:pt>
                <c:pt idx="31">
                  <c:v>1.0791523310708763E-2</c:v>
                </c:pt>
                <c:pt idx="32">
                  <c:v>1.1158814748184915E-2</c:v>
                </c:pt>
                <c:pt idx="33">
                  <c:v>1.1470776778864957E-2</c:v>
                </c:pt>
                <c:pt idx="34">
                  <c:v>1.1716526468674854E-2</c:v>
                </c:pt>
                <c:pt idx="35">
                  <c:v>1.191511659343329E-2</c:v>
                </c:pt>
                <c:pt idx="36">
                  <c:v>1.2054491596492686E-2</c:v>
                </c:pt>
                <c:pt idx="37">
                  <c:v>1.2180248465894746E-2</c:v>
                </c:pt>
                <c:pt idx="38">
                  <c:v>1.2304629955627359E-2</c:v>
                </c:pt>
                <c:pt idx="39">
                  <c:v>1.2423189833999081E-2</c:v>
                </c:pt>
                <c:pt idx="40">
                  <c:v>1.2535083166973561E-2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66-446F-AB7E-725BA1BC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3572975"/>
        <c:axId val="2023575887"/>
      </c:lineChart>
      <c:dateAx>
        <c:axId val="2023572975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575887"/>
        <c:crosses val="autoZero"/>
        <c:auto val="1"/>
        <c:lblOffset val="100"/>
        <c:baseTimeUnit val="months"/>
      </c:dateAx>
      <c:valAx>
        <c:axId val="20235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57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3M</a:t>
            </a:r>
            <a:r>
              <a:rPr lang="en-GB" baseline="0"/>
              <a:t> Forward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RUB_CURVES!$DC$7</c:f>
              <c:strCache>
                <c:ptCount val="1"/>
                <c:pt idx="0">
                  <c:v>USD3ML</c:v>
                </c:pt>
              </c:strCache>
            </c:strRef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RUB_CURVES!$DB$8:$DB$48</c:f>
              <c:numCache>
                <c:formatCode>d\-mmm\-yy</c:formatCode>
                <c:ptCount val="41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</c:numCache>
            </c:numRef>
          </c:xVal>
          <c:yVal>
            <c:numRef>
              <c:f>RUB_CURVES!$DC$8:$DC$48</c:f>
              <c:numCache>
                <c:formatCode>0.00%</c:formatCode>
                <c:ptCount val="41"/>
                <c:pt idx="0">
                  <c:v>2.5230422484095734E-3</c:v>
                </c:pt>
                <c:pt idx="1">
                  <c:v>2.9989118962257338E-3</c:v>
                </c:pt>
                <c:pt idx="2">
                  <c:v>2.17526019037983E-3</c:v>
                </c:pt>
                <c:pt idx="3">
                  <c:v>1.9924312633613833E-3</c:v>
                </c:pt>
                <c:pt idx="4">
                  <c:v>2.0216781035090696E-3</c:v>
                </c:pt>
                <c:pt idx="5">
                  <c:v>2.2463226547850684E-3</c:v>
                </c:pt>
                <c:pt idx="6">
                  <c:v>2.1098054303251676E-3</c:v>
                </c:pt>
                <c:pt idx="7">
                  <c:v>2.032541514064218E-3</c:v>
                </c:pt>
                <c:pt idx="8">
                  <c:v>2.2575652491069686E-3</c:v>
                </c:pt>
                <c:pt idx="9">
                  <c:v>2.5419546219346361E-3</c:v>
                </c:pt>
                <c:pt idx="10">
                  <c:v>2.7803615849404184E-3</c:v>
                </c:pt>
                <c:pt idx="11">
                  <c:v>2.9757847079359958E-3</c:v>
                </c:pt>
                <c:pt idx="12">
                  <c:v>3.153230626370589E-3</c:v>
                </c:pt>
                <c:pt idx="13">
                  <c:v>3.4149893381683564E-3</c:v>
                </c:pt>
                <c:pt idx="14">
                  <c:v>3.7952944323954335E-3</c:v>
                </c:pt>
                <c:pt idx="15">
                  <c:v>4.2897937515111884E-3</c:v>
                </c:pt>
                <c:pt idx="16">
                  <c:v>4.8728146585228799E-3</c:v>
                </c:pt>
                <c:pt idx="17">
                  <c:v>5.4460886849094997E-3</c:v>
                </c:pt>
                <c:pt idx="18">
                  <c:v>5.9917295250296407E-3</c:v>
                </c:pt>
                <c:pt idx="19">
                  <c:v>6.4945039469341383E-3</c:v>
                </c:pt>
                <c:pt idx="20">
                  <c:v>6.9668207962187102E-3</c:v>
                </c:pt>
                <c:pt idx="21">
                  <c:v>7.4181557448572306E-3</c:v>
                </c:pt>
                <c:pt idx="22">
                  <c:v>7.8612129108690393E-3</c:v>
                </c:pt>
                <c:pt idx="23">
                  <c:v>8.2979186345217837E-3</c:v>
                </c:pt>
                <c:pt idx="24">
                  <c:v>8.7165329306196689E-3</c:v>
                </c:pt>
                <c:pt idx="25">
                  <c:v>9.0970629303765774E-3</c:v>
                </c:pt>
                <c:pt idx="26">
                  <c:v>9.4414718246386021E-3</c:v>
                </c:pt>
                <c:pt idx="27">
                  <c:v>9.7539232165288151E-3</c:v>
                </c:pt>
                <c:pt idx="28">
                  <c:v>1.0027995478711792E-2</c:v>
                </c:pt>
                <c:pt idx="29">
                  <c:v>1.0316042750536113E-2</c:v>
                </c:pt>
                <c:pt idx="30">
                  <c:v>1.0630796525953605E-2</c:v>
                </c:pt>
                <c:pt idx="31">
                  <c:v>1.0972121274492853E-2</c:v>
                </c:pt>
                <c:pt idx="32">
                  <c:v>1.1330477164789922E-2</c:v>
                </c:pt>
                <c:pt idx="33">
                  <c:v>1.1634924899090109E-2</c:v>
                </c:pt>
                <c:pt idx="34">
                  <c:v>1.187515880823818E-2</c:v>
                </c:pt>
                <c:pt idx="35">
                  <c:v>1.2069809739844029E-2</c:v>
                </c:pt>
                <c:pt idx="36">
                  <c:v>1.2206777497266315E-2</c:v>
                </c:pt>
                <c:pt idx="37">
                  <c:v>1.2329506066696062E-2</c:v>
                </c:pt>
                <c:pt idx="38">
                  <c:v>1.2449657829342865E-2</c:v>
                </c:pt>
                <c:pt idx="39">
                  <c:v>1.2562872687545261E-2</c:v>
                </c:pt>
                <c:pt idx="40">
                  <c:v>1.2668652884648647E-2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B-491F-8EC8-EACBF3BF0688}"/>
            </c:ext>
          </c:extLst>
        </c:ser>
        <c:ser>
          <c:idx val="1"/>
          <c:order val="1"/>
          <c:tx>
            <c:strRef>
              <c:f>RUB_CURVES!$DD$7</c:f>
              <c:strCache>
                <c:ptCount val="1"/>
                <c:pt idx="0">
                  <c:v>MOS3M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RUB_CURVES!$DB$8:$DB$48</c:f>
              <c:numCache>
                <c:formatCode>d\-mmm\-yy</c:formatCode>
                <c:ptCount val="41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</c:numCache>
            </c:numRef>
          </c:xVal>
          <c:yVal>
            <c:numRef>
              <c:f>RUB_CURVES!$DD$8:$DD$48</c:f>
              <c:numCache>
                <c:formatCode>0.00%</c:formatCode>
                <c:ptCount val="41"/>
                <c:pt idx="0">
                  <c:v>4.6807178218114497E-2</c:v>
                </c:pt>
                <c:pt idx="1">
                  <c:v>4.6785878549314798E-2</c:v>
                </c:pt>
                <c:pt idx="2">
                  <c:v>4.8686433971173101E-2</c:v>
                </c:pt>
                <c:pt idx="3">
                  <c:v>4.8885647693698901E-2</c:v>
                </c:pt>
                <c:pt idx="4">
                  <c:v>4.9796463582156801E-2</c:v>
                </c:pt>
                <c:pt idx="5">
                  <c:v>5.0994482434029702E-2</c:v>
                </c:pt>
                <c:pt idx="6">
                  <c:v>5.2119461616396398E-2</c:v>
                </c:pt>
                <c:pt idx="7">
                  <c:v>5.3176833645628099E-2</c:v>
                </c:pt>
                <c:pt idx="8">
                  <c:v>5.4121981265565701E-2</c:v>
                </c:pt>
                <c:pt idx="9">
                  <c:v>5.5127511555135802E-2</c:v>
                </c:pt>
                <c:pt idx="10">
                  <c:v>5.6243394701891797E-2</c:v>
                </c:pt>
                <c:pt idx="11">
                  <c:v>5.73897247420838E-2</c:v>
                </c:pt>
                <c:pt idx="12">
                  <c:v>5.8611839994311597E-2</c:v>
                </c:pt>
                <c:pt idx="13">
                  <c:v>5.97794252073287E-2</c:v>
                </c:pt>
                <c:pt idx="14">
                  <c:v>6.0664066246623599E-2</c:v>
                </c:pt>
                <c:pt idx="15">
                  <c:v>6.1299484995110301E-2</c:v>
                </c:pt>
                <c:pt idx="16">
                  <c:v>6.1786703112814201E-2</c:v>
                </c:pt>
                <c:pt idx="17">
                  <c:v>6.22606148678789E-2</c:v>
                </c:pt>
                <c:pt idx="18">
                  <c:v>6.30094470855838E-2</c:v>
                </c:pt>
                <c:pt idx="19">
                  <c:v>6.3965358919465698E-2</c:v>
                </c:pt>
                <c:pt idx="20">
                  <c:v>6.5055349220118103E-2</c:v>
                </c:pt>
                <c:pt idx="21">
                  <c:v>6.6090451497713504E-2</c:v>
                </c:pt>
                <c:pt idx="22">
                  <c:v>6.7060829392436905E-2</c:v>
                </c:pt>
                <c:pt idx="23">
                  <c:v>6.7940145723899906E-2</c:v>
                </c:pt>
                <c:pt idx="24">
                  <c:v>6.8715695912726804E-2</c:v>
                </c:pt>
                <c:pt idx="25">
                  <c:v>6.9381720296353103E-2</c:v>
                </c:pt>
                <c:pt idx="26">
                  <c:v>6.9967677430602504E-2</c:v>
                </c:pt>
                <c:pt idx="27">
                  <c:v>7.0442373338528694E-2</c:v>
                </c:pt>
                <c:pt idx="28">
                  <c:v>7.0815491451007406E-2</c:v>
                </c:pt>
                <c:pt idx="29">
                  <c:v>7.13142902171435E-2</c:v>
                </c:pt>
                <c:pt idx="30">
                  <c:v>7.1733556747839003E-2</c:v>
                </c:pt>
                <c:pt idx="31">
                  <c:v>7.2035031878300307E-2</c:v>
                </c:pt>
                <c:pt idx="32">
                  <c:v>7.2356508110855505E-2</c:v>
                </c:pt>
                <c:pt idx="33">
                  <c:v>7.2557598147363206E-2</c:v>
                </c:pt>
                <c:pt idx="34">
                  <c:v>7.2920181166780507E-2</c:v>
                </c:pt>
                <c:pt idx="35">
                  <c:v>7.3372596864993506E-2</c:v>
                </c:pt>
                <c:pt idx="36">
                  <c:v>7.3765436398048598E-2</c:v>
                </c:pt>
                <c:pt idx="37">
                  <c:v>7.3765094687885502E-2</c:v>
                </c:pt>
                <c:pt idx="38">
                  <c:v>7.3274146617073502E-2</c:v>
                </c:pt>
                <c:pt idx="39">
                  <c:v>7.2284306807993207E-2</c:v>
                </c:pt>
                <c:pt idx="40">
                  <c:v>7.0941607817112298E-2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B-491F-8EC8-EACBF3BF0688}"/>
            </c:ext>
          </c:extLst>
        </c:ser>
        <c:ser>
          <c:idx val="2"/>
          <c:order val="2"/>
          <c:tx>
            <c:strRef>
              <c:f>RUB_CURVES!$DE$7</c:f>
              <c:strCache>
                <c:ptCount val="1"/>
                <c:pt idx="0">
                  <c:v>SAR3M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RUB_CURVES!$DB$8:$DB$48</c:f>
              <c:numCache>
                <c:formatCode>d\-mmm\-yy</c:formatCode>
                <c:ptCount val="41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</c:numCache>
            </c:numRef>
          </c:xVal>
          <c:yVal>
            <c:numRef>
              <c:f>RUB_CURVES!$DE$8:$DE$48</c:f>
              <c:numCache>
                <c:formatCode>0.00%</c:formatCode>
                <c:ptCount val="41"/>
                <c:pt idx="0">
                  <c:v>8.8870967741934304E-3</c:v>
                </c:pt>
                <c:pt idx="1">
                  <c:v>9.7666666666669007E-3</c:v>
                </c:pt>
                <c:pt idx="2">
                  <c:v>9.2133333333336495E-3</c:v>
                </c:pt>
                <c:pt idx="3">
                  <c:v>9.0581087582186394E-3</c:v>
                </c:pt>
                <c:pt idx="4">
                  <c:v>1.12198334640687E-2</c:v>
                </c:pt>
                <c:pt idx="5">
                  <c:v>1.1967377046582E-2</c:v>
                </c:pt>
                <c:pt idx="6">
                  <c:v>1.26201637517739E-2</c:v>
                </c:pt>
                <c:pt idx="7">
                  <c:v>1.36268977243021E-2</c:v>
                </c:pt>
                <c:pt idx="8">
                  <c:v>1.49268335360546E-2</c:v>
                </c:pt>
                <c:pt idx="9">
                  <c:v>1.61466252132377E-2</c:v>
                </c:pt>
                <c:pt idx="10">
                  <c:v>1.71886919149923E-2</c:v>
                </c:pt>
                <c:pt idx="11">
                  <c:v>1.8072668284179201E-2</c:v>
                </c:pt>
                <c:pt idx="12">
                  <c:v>1.8839384847041001E-2</c:v>
                </c:pt>
                <c:pt idx="13">
                  <c:v>1.9664088453703699E-2</c:v>
                </c:pt>
                <c:pt idx="14">
                  <c:v>2.0624787369246101E-2</c:v>
                </c:pt>
                <c:pt idx="15">
                  <c:v>2.1709768923454401E-2</c:v>
                </c:pt>
                <c:pt idx="16">
                  <c:v>2.2890933014067898E-2</c:v>
                </c:pt>
                <c:pt idx="17">
                  <c:v>2.40642997084289E-2</c:v>
                </c:pt>
                <c:pt idx="18">
                  <c:v>2.5222499850094001E-2</c:v>
                </c:pt>
                <c:pt idx="19">
                  <c:v>2.63297507688297E-2</c:v>
                </c:pt>
                <c:pt idx="20">
                  <c:v>2.7379071855801899E-2</c:v>
                </c:pt>
                <c:pt idx="21">
                  <c:v>2.8245846163798102E-2</c:v>
                </c:pt>
                <c:pt idx="22">
                  <c:v>2.89195452512633E-2</c:v>
                </c:pt>
                <c:pt idx="23">
                  <c:v>2.9394318634719099E-2</c:v>
                </c:pt>
                <c:pt idx="24">
                  <c:v>2.9724507095536201E-2</c:v>
                </c:pt>
                <c:pt idx="25">
                  <c:v>3.0182487310732101E-2</c:v>
                </c:pt>
                <c:pt idx="26">
                  <c:v>3.0852728496752999E-2</c:v>
                </c:pt>
                <c:pt idx="27">
                  <c:v>3.1751914557286098E-2</c:v>
                </c:pt>
                <c:pt idx="28">
                  <c:v>3.2782722281717899E-2</c:v>
                </c:pt>
                <c:pt idx="29">
                  <c:v>3.3787643111184297E-2</c:v>
                </c:pt>
                <c:pt idx="30">
                  <c:v>3.4709506620286899E-2</c:v>
                </c:pt>
                <c:pt idx="31">
                  <c:v>3.55425414494214E-2</c:v>
                </c:pt>
                <c:pt idx="32">
                  <c:v>3.62918532461836E-2</c:v>
                </c:pt>
                <c:pt idx="33">
                  <c:v>3.6930769803966E-2</c:v>
                </c:pt>
                <c:pt idx="34">
                  <c:v>3.7466679970070998E-2</c:v>
                </c:pt>
                <c:pt idx="35">
                  <c:v>3.7940014435981002E-2</c:v>
                </c:pt>
                <c:pt idx="36">
                  <c:v>3.8301971791649403E-2</c:v>
                </c:pt>
                <c:pt idx="37">
                  <c:v>3.8573853092773502E-2</c:v>
                </c:pt>
                <c:pt idx="38">
                  <c:v>3.8763852777205503E-2</c:v>
                </c:pt>
                <c:pt idx="39">
                  <c:v>3.89538524874821E-2</c:v>
                </c:pt>
                <c:pt idx="40">
                  <c:v>3.9245858663917298E-2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91F-8EC8-EACBF3BF0688}"/>
            </c:ext>
          </c:extLst>
        </c:ser>
        <c:ser>
          <c:idx val="3"/>
          <c:order val="3"/>
          <c:tx>
            <c:strRef>
              <c:f>RUB_CURVES!$DF$7</c:f>
              <c:strCache>
                <c:ptCount val="1"/>
                <c:pt idx="0">
                  <c:v>JIB3M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RUB_CURVES!$DB$8:$DB$48</c:f>
              <c:numCache>
                <c:formatCode>d\-mmm\-yy</c:formatCode>
                <c:ptCount val="41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</c:numCache>
            </c:numRef>
          </c:xVal>
          <c:yVal>
            <c:numRef>
              <c:f>RUB_CURVES!$DF$8:$DF$48</c:f>
              <c:numCache>
                <c:formatCode>0.00%</c:formatCode>
                <c:ptCount val="41"/>
                <c:pt idx="0">
                  <c:v>3.4169999999999701E-2</c:v>
                </c:pt>
                <c:pt idx="1">
                  <c:v>3.27499999999998E-2</c:v>
                </c:pt>
                <c:pt idx="2">
                  <c:v>3.3250000000000397E-2</c:v>
                </c:pt>
                <c:pt idx="3">
                  <c:v>3.4199999999999703E-2</c:v>
                </c:pt>
                <c:pt idx="4">
                  <c:v>3.5450000000000197E-2</c:v>
                </c:pt>
                <c:pt idx="5">
                  <c:v>3.7350000000000098E-2</c:v>
                </c:pt>
                <c:pt idx="6">
                  <c:v>3.8900000000000198E-2</c:v>
                </c:pt>
                <c:pt idx="7">
                  <c:v>4.0679233479690297E-2</c:v>
                </c:pt>
                <c:pt idx="8">
                  <c:v>4.2991879272075699E-2</c:v>
                </c:pt>
                <c:pt idx="9">
                  <c:v>4.5646912449046499E-2</c:v>
                </c:pt>
                <c:pt idx="10">
                  <c:v>4.86421433299482E-2</c:v>
                </c:pt>
                <c:pt idx="11">
                  <c:v>5.2032688518884401E-2</c:v>
                </c:pt>
                <c:pt idx="12">
                  <c:v>5.5636816448429702E-2</c:v>
                </c:pt>
                <c:pt idx="13">
                  <c:v>5.91271392073138E-2</c:v>
                </c:pt>
                <c:pt idx="14">
                  <c:v>6.2494425383128001E-2</c:v>
                </c:pt>
                <c:pt idx="15">
                  <c:v>6.5691751653990396E-2</c:v>
                </c:pt>
                <c:pt idx="16">
                  <c:v>6.8729123989087398E-2</c:v>
                </c:pt>
                <c:pt idx="17">
                  <c:v>7.1690245923293594E-2</c:v>
                </c:pt>
                <c:pt idx="18">
                  <c:v>7.4584630487937897E-2</c:v>
                </c:pt>
                <c:pt idx="19">
                  <c:v>7.7366131223927603E-2</c:v>
                </c:pt>
                <c:pt idx="20">
                  <c:v>8.0088695624892403E-2</c:v>
                </c:pt>
                <c:pt idx="21">
                  <c:v>8.2815898610597696E-2</c:v>
                </c:pt>
                <c:pt idx="22">
                  <c:v>8.56485423784588E-2</c:v>
                </c:pt>
                <c:pt idx="23">
                  <c:v>8.8556201067135396E-2</c:v>
                </c:pt>
                <c:pt idx="24">
                  <c:v>9.14181718317012E-2</c:v>
                </c:pt>
                <c:pt idx="25">
                  <c:v>9.3905956523237896E-2</c:v>
                </c:pt>
                <c:pt idx="26">
                  <c:v>9.6017356311384E-2</c:v>
                </c:pt>
                <c:pt idx="27">
                  <c:v>9.7693984589186003E-2</c:v>
                </c:pt>
                <c:pt idx="28">
                  <c:v>9.9024569851123803E-2</c:v>
                </c:pt>
                <c:pt idx="29">
                  <c:v>0.100480997173888</c:v>
                </c:pt>
                <c:pt idx="30">
                  <c:v>0.102192976326997</c:v>
                </c:pt>
                <c:pt idx="31">
                  <c:v>0.10418871245010899</c:v>
                </c:pt>
                <c:pt idx="32">
                  <c:v>0.106221284697264</c:v>
                </c:pt>
                <c:pt idx="33">
                  <c:v>0.107909298038185</c:v>
                </c:pt>
                <c:pt idx="34">
                  <c:v>0.10915455421921599</c:v>
                </c:pt>
                <c:pt idx="35">
                  <c:v>0.10988233946451099</c:v>
                </c:pt>
                <c:pt idx="36">
                  <c:v>0.110251228765485</c:v>
                </c:pt>
                <c:pt idx="37">
                  <c:v>0.11077408273124401</c:v>
                </c:pt>
                <c:pt idx="38">
                  <c:v>0.11157636328244</c:v>
                </c:pt>
                <c:pt idx="39">
                  <c:v>0.11261568846526</c:v>
                </c:pt>
                <c:pt idx="40">
                  <c:v>0.113805128412706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B-491F-8EC8-EACBF3BF0688}"/>
            </c:ext>
          </c:extLst>
        </c:ser>
        <c:ser>
          <c:idx val="4"/>
          <c:order val="4"/>
          <c:tx>
            <c:strRef>
              <c:f>RUB_CURVES!$DG$7</c:f>
              <c:strCache>
                <c:ptCount val="1"/>
                <c:pt idx="0">
                  <c:v>EUR3ML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RUB_CURVES!$DB$8:$DB$48</c:f>
              <c:numCache>
                <c:formatCode>d\-mmm\-yy</c:formatCode>
                <c:ptCount val="41"/>
                <c:pt idx="0">
                  <c:v>44083</c:v>
                </c:pt>
                <c:pt idx="1">
                  <c:v>44174</c:v>
                </c:pt>
                <c:pt idx="2">
                  <c:v>44264</c:v>
                </c:pt>
                <c:pt idx="3">
                  <c:v>44356</c:v>
                </c:pt>
                <c:pt idx="4">
                  <c:v>44448</c:v>
                </c:pt>
                <c:pt idx="5">
                  <c:v>44539</c:v>
                </c:pt>
                <c:pt idx="6">
                  <c:v>44629</c:v>
                </c:pt>
                <c:pt idx="7">
                  <c:v>44721</c:v>
                </c:pt>
                <c:pt idx="8">
                  <c:v>44813</c:v>
                </c:pt>
                <c:pt idx="9">
                  <c:v>44904</c:v>
                </c:pt>
                <c:pt idx="10">
                  <c:v>44994</c:v>
                </c:pt>
                <c:pt idx="11">
                  <c:v>45086</c:v>
                </c:pt>
                <c:pt idx="12">
                  <c:v>45180</c:v>
                </c:pt>
                <c:pt idx="13">
                  <c:v>45271</c:v>
                </c:pt>
                <c:pt idx="14">
                  <c:v>45362</c:v>
                </c:pt>
                <c:pt idx="15">
                  <c:v>45453</c:v>
                </c:pt>
                <c:pt idx="16">
                  <c:v>45544</c:v>
                </c:pt>
                <c:pt idx="17">
                  <c:v>45635</c:v>
                </c:pt>
                <c:pt idx="18">
                  <c:v>45726</c:v>
                </c:pt>
                <c:pt idx="19">
                  <c:v>45817</c:v>
                </c:pt>
                <c:pt idx="20">
                  <c:v>45909</c:v>
                </c:pt>
                <c:pt idx="21">
                  <c:v>46000</c:v>
                </c:pt>
                <c:pt idx="22">
                  <c:v>46090</c:v>
                </c:pt>
                <c:pt idx="23">
                  <c:v>46182</c:v>
                </c:pt>
                <c:pt idx="24">
                  <c:v>46274</c:v>
                </c:pt>
                <c:pt idx="25">
                  <c:v>46365</c:v>
                </c:pt>
                <c:pt idx="26">
                  <c:v>46455</c:v>
                </c:pt>
                <c:pt idx="27">
                  <c:v>46547</c:v>
                </c:pt>
                <c:pt idx="28">
                  <c:v>46639</c:v>
                </c:pt>
                <c:pt idx="29">
                  <c:v>46730</c:v>
                </c:pt>
                <c:pt idx="30">
                  <c:v>46821</c:v>
                </c:pt>
                <c:pt idx="31">
                  <c:v>46913</c:v>
                </c:pt>
                <c:pt idx="32">
                  <c:v>47007</c:v>
                </c:pt>
                <c:pt idx="33">
                  <c:v>47098</c:v>
                </c:pt>
                <c:pt idx="34">
                  <c:v>47186</c:v>
                </c:pt>
                <c:pt idx="35">
                  <c:v>47280</c:v>
                </c:pt>
                <c:pt idx="36">
                  <c:v>47371</c:v>
                </c:pt>
                <c:pt idx="37">
                  <c:v>47462</c:v>
                </c:pt>
                <c:pt idx="38">
                  <c:v>47553</c:v>
                </c:pt>
                <c:pt idx="39">
                  <c:v>47644</c:v>
                </c:pt>
                <c:pt idx="40">
                  <c:v>47735</c:v>
                </c:pt>
              </c:numCache>
            </c:numRef>
          </c:xVal>
          <c:yVal>
            <c:numRef>
              <c:f>RUB_CURVES!$DG$8:$DG$48</c:f>
              <c:numCache>
                <c:formatCode>General</c:formatCode>
                <c:ptCount val="41"/>
                <c:pt idx="0">
                  <c:v>-5.2859459047683603E-3</c:v>
                </c:pt>
                <c:pt idx="1">
                  <c:v>-5.03540618771683E-3</c:v>
                </c:pt>
                <c:pt idx="2">
                  <c:v>-5.1894142804846301E-3</c:v>
                </c:pt>
                <c:pt idx="3">
                  <c:v>-5.2974043900537397E-3</c:v>
                </c:pt>
                <c:pt idx="4">
                  <c:v>-5.35505239558004E-3</c:v>
                </c:pt>
                <c:pt idx="5">
                  <c:v>-5.3624088356007699E-3</c:v>
                </c:pt>
                <c:pt idx="6">
                  <c:v>-5.3781553602702797E-3</c:v>
                </c:pt>
                <c:pt idx="7">
                  <c:v>-4.4223198713849799E-3</c:v>
                </c:pt>
                <c:pt idx="8">
                  <c:v>-4.6707272929123102E-3</c:v>
                </c:pt>
                <c:pt idx="9">
                  <c:v>-5.1377221669019696E-3</c:v>
                </c:pt>
                <c:pt idx="10">
                  <c:v>-5.32791963976296E-3</c:v>
                </c:pt>
                <c:pt idx="11">
                  <c:v>-5.2387546115018396E-3</c:v>
                </c:pt>
                <c:pt idx="12">
                  <c:v>-4.9147690933149602E-3</c:v>
                </c:pt>
                <c:pt idx="13">
                  <c:v>-4.6062967338229696E-3</c:v>
                </c:pt>
                <c:pt idx="14">
                  <c:v>-4.3637933093623399E-3</c:v>
                </c:pt>
                <c:pt idx="15">
                  <c:v>-4.1898489488948597E-3</c:v>
                </c:pt>
                <c:pt idx="16">
                  <c:v>-4.0656105583177201E-3</c:v>
                </c:pt>
                <c:pt idx="17">
                  <c:v>-3.9153269789410899E-3</c:v>
                </c:pt>
                <c:pt idx="18">
                  <c:v>-3.7150170225341101E-3</c:v>
                </c:pt>
                <c:pt idx="19">
                  <c:v>-3.4700639879370302E-3</c:v>
                </c:pt>
                <c:pt idx="20">
                  <c:v>-3.18383281173643E-3</c:v>
                </c:pt>
                <c:pt idx="21">
                  <c:v>-2.89126886012436E-3</c:v>
                </c:pt>
                <c:pt idx="22">
                  <c:v>-2.59555568029273E-3</c:v>
                </c:pt>
                <c:pt idx="23">
                  <c:v>-2.29502736928309E-3</c:v>
                </c:pt>
                <c:pt idx="24">
                  <c:v>-1.99573899235166E-3</c:v>
                </c:pt>
                <c:pt idx="25">
                  <c:v>-1.7036210783527E-3</c:v>
                </c:pt>
                <c:pt idx="26">
                  <c:v>-1.41493139303091E-3</c:v>
                </c:pt>
                <c:pt idx="27">
                  <c:v>-1.12484803871582E-3</c:v>
                </c:pt>
                <c:pt idx="28">
                  <c:v>-8.4647360657608302E-4</c:v>
                </c:pt>
                <c:pt idx="29">
                  <c:v>-5.6581265527913505E-4</c:v>
                </c:pt>
                <c:pt idx="30">
                  <c:v>-2.8076475437465001E-4</c:v>
                </c:pt>
                <c:pt idx="31">
                  <c:v>8.4925416301571196E-6</c:v>
                </c:pt>
                <c:pt idx="32">
                  <c:v>3.0564712658062899E-4</c:v>
                </c:pt>
                <c:pt idx="33">
                  <c:v>6.0064262698237495E-4</c:v>
                </c:pt>
                <c:pt idx="34">
                  <c:v>8.9356928487559402E-4</c:v>
                </c:pt>
                <c:pt idx="35">
                  <c:v>1.2113301655014999E-3</c:v>
                </c:pt>
                <c:pt idx="36">
                  <c:v>1.5172224219386699E-3</c:v>
                </c:pt>
                <c:pt idx="37">
                  <c:v>1.79682328483232E-3</c:v>
                </c:pt>
                <c:pt idx="38">
                  <c:v>2.0472098138330699E-3</c:v>
                </c:pt>
                <c:pt idx="39">
                  <c:v>2.26137931274722E-3</c:v>
                </c:pt>
                <c:pt idx="40">
                  <c:v>2.4455293050375301E-3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B-491F-8EC8-EACBF3BF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201727"/>
        <c:axId val="1866197983"/>
      </c:scatterChart>
      <c:valAx>
        <c:axId val="186620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197983"/>
        <c:crossesAt val="-2.0000000000000004E-2"/>
        <c:crossBetween val="midCat"/>
      </c:valAx>
      <c:valAx>
        <c:axId val="186619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2017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38101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133350</xdr:colOff>
          <xdr:row>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</xdr:colOff>
      <xdr:row>1</xdr:row>
      <xdr:rowOff>24898</xdr:rowOff>
    </xdr:from>
    <xdr:to>
      <xdr:col>1</xdr:col>
      <xdr:colOff>270051</xdr:colOff>
      <xdr:row>2</xdr:row>
      <xdr:rowOff>111307</xdr:rowOff>
    </xdr:to>
    <xdr:pic macro="[0]!SwitchOnOff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675" y="405898"/>
          <a:ext cx="266876" cy="2769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0</xdr:rowOff>
        </xdr:from>
        <xdr:to>
          <xdr:col>2</xdr:col>
          <xdr:colOff>114300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MKT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23</xdr:row>
          <xdr:rowOff>0</xdr:rowOff>
        </xdr:from>
        <xdr:to>
          <xdr:col>2</xdr:col>
          <xdr:colOff>114300</xdr:colOff>
          <xdr:row>26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561975</xdr:colOff>
      <xdr:row>1</xdr:row>
      <xdr:rowOff>24898</xdr:rowOff>
    </xdr:from>
    <xdr:to>
      <xdr:col>1</xdr:col>
      <xdr:colOff>828851</xdr:colOff>
      <xdr:row>2</xdr:row>
      <xdr:rowOff>111307</xdr:rowOff>
    </xdr:to>
    <xdr:pic macro="[0]!SwitchOnOffMinor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9475" y="405898"/>
          <a:ext cx="266876" cy="27690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2</xdr:row>
      <xdr:rowOff>152399</xdr:rowOff>
    </xdr:from>
    <xdr:to>
      <xdr:col>9</xdr:col>
      <xdr:colOff>22224</xdr:colOff>
      <xdr:row>18</xdr:row>
      <xdr:rowOff>85724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0</xdr:row>
          <xdr:rowOff>38100</xdr:rowOff>
        </xdr:from>
        <xdr:to>
          <xdr:col>2</xdr:col>
          <xdr:colOff>295275</xdr:colOff>
          <xdr:row>1</xdr:row>
          <xdr:rowOff>161925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113</xdr:col>
      <xdr:colOff>0</xdr:colOff>
      <xdr:row>6</xdr:row>
      <xdr:rowOff>50800</xdr:rowOff>
    </xdr:from>
    <xdr:to>
      <xdr:col>124</xdr:col>
      <xdr:colOff>457200</xdr:colOff>
      <xdr:row>35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38100</xdr:rowOff>
        </xdr:from>
        <xdr:to>
          <xdr:col>2</xdr:col>
          <xdr:colOff>533400</xdr:colOff>
          <xdr:row>1</xdr:row>
          <xdr:rowOff>161925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Jump to </a:t>
              </a: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7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7" tint="0.59999389629810485"/>
  </sheetPr>
  <dimension ref="B2:AL100"/>
  <sheetViews>
    <sheetView showGridLines="0" workbookViewId="0"/>
  </sheetViews>
  <sheetFormatPr defaultRowHeight="15" x14ac:dyDescent="0.25"/>
  <cols>
    <col min="1" max="1" width="9.140625" style="6"/>
    <col min="2" max="2" width="15.140625" style="6" bestFit="1" customWidth="1"/>
    <col min="3" max="5" width="12.7109375" style="6" customWidth="1"/>
    <col min="6" max="6" width="9.140625" style="6"/>
    <col min="7" max="7" width="22.7109375" style="6" customWidth="1"/>
    <col min="8" max="8" width="9.140625" style="6"/>
    <col min="9" max="10" width="12.7109375" style="6" customWidth="1"/>
    <col min="11" max="11" width="9.140625" style="6"/>
    <col min="12" max="12" width="22.7109375" style="6" customWidth="1"/>
    <col min="13" max="13" width="9.140625" style="6"/>
    <col min="14" max="18" width="12.7109375" style="6" customWidth="1"/>
    <col min="19" max="19" width="9.140625" style="6"/>
    <col min="20" max="20" width="20.140625" style="6" bestFit="1" customWidth="1"/>
    <col min="21" max="23" width="12.7109375" style="6" customWidth="1"/>
    <col min="24" max="24" width="9.140625" style="6"/>
    <col min="25" max="25" width="20.28515625" style="6" bestFit="1" customWidth="1"/>
    <col min="26" max="28" width="12.7109375" style="6" customWidth="1"/>
    <col min="29" max="29" width="9.140625" style="6"/>
    <col min="30" max="30" width="18.85546875" style="6" bestFit="1" customWidth="1"/>
    <col min="31" max="33" width="12.7109375" style="6" customWidth="1"/>
    <col min="34" max="16384" width="9.140625" style="6"/>
  </cols>
  <sheetData>
    <row r="2" spans="2:38" x14ac:dyDescent="0.25">
      <c r="G2" s="7"/>
      <c r="L2" s="6" t="s">
        <v>544</v>
      </c>
    </row>
    <row r="3" spans="2:38" x14ac:dyDescent="0.25">
      <c r="B3" s="7" t="s">
        <v>278</v>
      </c>
      <c r="C3" s="7"/>
      <c r="D3" s="7"/>
      <c r="E3" s="8" t="s">
        <v>279</v>
      </c>
      <c r="G3" s="2" t="s">
        <v>280</v>
      </c>
      <c r="L3" s="2" t="s">
        <v>281</v>
      </c>
      <c r="Q3" s="8" t="s">
        <v>282</v>
      </c>
      <c r="T3" s="2" t="s">
        <v>283</v>
      </c>
      <c r="Y3" s="2" t="s">
        <v>284</v>
      </c>
      <c r="AD3" s="2" t="s">
        <v>285</v>
      </c>
      <c r="AL3" s="6" t="str">
        <f>'STATIC DATA'!$C$4&amp;'STATIC DATA'!$AA$4&amp;"_BASIS"</f>
        <v>USDTRY_BASIS</v>
      </c>
    </row>
    <row r="4" spans="2:38" x14ac:dyDescent="0.25">
      <c r="B4" s="9" t="b">
        <f ca="1">SUM(C7:C17)=SUM(D7:D17)</f>
        <v>1</v>
      </c>
      <c r="E4" s="10">
        <f ca="1">SUM(E7:E17)</f>
        <v>0</v>
      </c>
      <c r="J4" s="578">
        <v>0</v>
      </c>
    </row>
    <row r="6" spans="2:38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 t="s">
        <v>292</v>
      </c>
      <c r="J6" s="8" t="s">
        <v>293</v>
      </c>
      <c r="L6" s="8" t="s">
        <v>290</v>
      </c>
      <c r="M6" s="8" t="s">
        <v>291</v>
      </c>
      <c r="N6" s="8" t="s">
        <v>290</v>
      </c>
      <c r="O6" s="8" t="s">
        <v>502</v>
      </c>
      <c r="P6" s="8" t="s">
        <v>503</v>
      </c>
      <c r="Q6" s="8" t="s">
        <v>292</v>
      </c>
      <c r="R6" s="8" t="s">
        <v>293</v>
      </c>
      <c r="T6" s="8" t="s">
        <v>290</v>
      </c>
      <c r="U6" s="8" t="s">
        <v>291</v>
      </c>
      <c r="V6" s="8" t="s">
        <v>292</v>
      </c>
      <c r="W6" s="8" t="s">
        <v>293</v>
      </c>
      <c r="Y6" s="8" t="s">
        <v>290</v>
      </c>
      <c r="Z6" s="8" t="s">
        <v>291</v>
      </c>
      <c r="AA6" s="8" t="s">
        <v>292</v>
      </c>
      <c r="AB6" s="8" t="s">
        <v>293</v>
      </c>
      <c r="AD6" s="8" t="s">
        <v>290</v>
      </c>
      <c r="AE6" s="8" t="s">
        <v>291</v>
      </c>
      <c r="AF6" s="8" t="s">
        <v>292</v>
      </c>
      <c r="AG6" s="8" t="s">
        <v>293</v>
      </c>
    </row>
    <row r="7" spans="2:38" x14ac:dyDescent="0.25">
      <c r="B7" s="11" t="s">
        <v>296</v>
      </c>
      <c r="C7" s="12">
        <f>COUNTA(G7:G51)</f>
        <v>45</v>
      </c>
      <c r="D7" s="12">
        <f ca="1">COUNT(I7:I51)</f>
        <v>45</v>
      </c>
      <c r="E7" s="13">
        <f t="shared" ref="E7:E12" ca="1" si="0">C7-D7</f>
        <v>0</v>
      </c>
      <c r="G7" s="14" t="s">
        <v>297</v>
      </c>
      <c r="H7" s="15" t="s">
        <v>298</v>
      </c>
      <c r="I7" s="16">
        <f ca="1">IF(G7="","",IF(StaticData.Today=TODAY(),_xll.BDP(G7,"LAST_PRICE"),_xll.BDH(G7,"MID",'STATIC DATA'!#REF!)))</f>
        <v>0.09</v>
      </c>
      <c r="J7" s="17">
        <f ca="1">$J$4+I7/100</f>
        <v>8.9999999999999998E-4</v>
      </c>
      <c r="L7" s="14" t="s">
        <v>299</v>
      </c>
      <c r="M7" s="15" t="s">
        <v>300</v>
      </c>
      <c r="N7" s="18"/>
      <c r="O7" s="19"/>
      <c r="P7" s="19"/>
      <c r="Q7" s="20">
        <f ca="1">IF(L7="","",IF(StaticData.Today=TODAY(),_xll.BDP(L7,"PX_LAST"),$I$7+I51/100))</f>
        <v>0.1555</v>
      </c>
      <c r="R7" s="17">
        <f ca="1">Q7/100</f>
        <v>1.555E-3</v>
      </c>
      <c r="T7" s="14" t="s">
        <v>301</v>
      </c>
      <c r="U7" s="15" t="s">
        <v>47</v>
      </c>
      <c r="V7" s="16">
        <f ca="1">IF(T7="","",IF(StaticData.Today=TODAY(),_xll.BDP(T7,"LAST_PRICE"),_xll.BDH(T7,"LAST_PRICE",StaticData.Today,StaticData.Today)))</f>
        <v>4.125</v>
      </c>
      <c r="W7" s="17">
        <f ca="1">V7/10000</f>
        <v>4.125E-4</v>
      </c>
      <c r="Y7" s="14" t="s">
        <v>302</v>
      </c>
      <c r="Z7" s="15" t="s">
        <v>47</v>
      </c>
      <c r="AA7" s="16">
        <f ca="1">IF(Y7="","",IF(StaticData.Today=TODAY(),_xll.BDP(Y7,"LAST_PRICE"),_xll.BDH(Y7,"LAST_PRICE",StaticData.Today,StaticData.Today)))</f>
        <v>8.375</v>
      </c>
      <c r="AB7" s="17">
        <f ca="1">AA7/10000</f>
        <v>8.3750000000000003E-4</v>
      </c>
      <c r="AD7" s="14" t="s">
        <v>303</v>
      </c>
      <c r="AE7" s="15" t="s">
        <v>47</v>
      </c>
      <c r="AF7" s="16">
        <f ca="1">IF(AD7="","",IF(StaticData.Today=TODAY(),_xll.BDP(AD7,"LAST_PRICE"),_xll.BDH(AD7,"LAST_PRICE",StaticData.Today,StaticData.Today)))</f>
        <v>17.625</v>
      </c>
      <c r="AG7" s="17">
        <f ca="1">AF7/10000</f>
        <v>1.7625E-3</v>
      </c>
      <c r="AL7" s="6" t="str">
        <f>"TYBS"&amp;AM7&amp;$AL$2&amp;" Curncy"</f>
        <v>TYBS Curncy</v>
      </c>
    </row>
    <row r="8" spans="2:38" x14ac:dyDescent="0.25">
      <c r="B8" s="21" t="s">
        <v>281</v>
      </c>
      <c r="C8" s="22">
        <f>COUNTA(L7:L49)</f>
        <v>25</v>
      </c>
      <c r="D8" s="22">
        <f ca="1">COUNT(Q7:Q49)</f>
        <v>25</v>
      </c>
      <c r="E8" s="23">
        <f t="shared" ca="1" si="0"/>
        <v>0</v>
      </c>
      <c r="G8" s="24" t="s">
        <v>304</v>
      </c>
      <c r="H8" s="25" t="s">
        <v>305</v>
      </c>
      <c r="I8" s="26">
        <f ca="1">IF(G8="","",IF(StaticData.Today=TODAY(),_xll.BDP(G8,"LAST_PRICE"),_xll.BDH(G8,"LAST_PRICE",StaticData.Today,StaticData.Today)))</f>
        <v>9.9000000000000005E-2</v>
      </c>
      <c r="J8" s="17">
        <f t="shared" ref="J8:J26" ca="1" si="1">$J$4+I8/100</f>
        <v>9.8999999999999999E-4</v>
      </c>
      <c r="L8" s="24" t="s">
        <v>306</v>
      </c>
      <c r="M8" s="25" t="s">
        <v>49</v>
      </c>
      <c r="N8" s="28"/>
      <c r="O8" s="29"/>
      <c r="P8" s="29"/>
      <c r="Q8" s="20">
        <f ca="1">IF(L8="","",IF(StaticData.Today=TODAY(),_xll.BDP(L8,"PX_LAST"),$I$7+I51/100))</f>
        <v>0.2495</v>
      </c>
      <c r="R8" s="27">
        <f ca="1">Q8/100</f>
        <v>2.4949999999999998E-3</v>
      </c>
      <c r="T8" s="24" t="s">
        <v>307</v>
      </c>
      <c r="U8" s="25" t="s">
        <v>308</v>
      </c>
      <c r="V8" s="26">
        <f ca="1">IF(T8="","",IF(StaticData.Today=TODAY(),_xll.BDP(T8,"LAST_PRICE"),_xll.BDH(T8,"LAST_PRICE",StaticData.Today,StaticData.Today)))</f>
        <v>6.625</v>
      </c>
      <c r="W8" s="27">
        <f t="shared" ref="W8:W17" ca="1" si="2">V8/10000</f>
        <v>6.625E-4</v>
      </c>
      <c r="Y8" s="24" t="s">
        <v>309</v>
      </c>
      <c r="Z8" s="25" t="s">
        <v>308</v>
      </c>
      <c r="AA8" s="26">
        <f ca="1">IF(Y8="","",IF(StaticData.Today=TODAY(),_xll.BDP(Y8,"LAST_PRICE"),_xll.BDH(Y8,"LAST_PRICE",StaticData.Today,StaticData.Today)))</f>
        <v>8.375</v>
      </c>
      <c r="AB8" s="27">
        <f t="shared" ref="AB8:AB17" ca="1" si="3">AA8/10000</f>
        <v>8.3750000000000003E-4</v>
      </c>
      <c r="AD8" s="24" t="s">
        <v>310</v>
      </c>
      <c r="AE8" s="25" t="s">
        <v>308</v>
      </c>
      <c r="AF8" s="26">
        <f ca="1">IF(AD8="","",IF(StaticData.Today=TODAY(),_xll.BDP(AD8,"LAST_PRICE"),_xll.BDH(AD8,"LAST_PRICE",StaticData.Today,StaticData.Today)))</f>
        <v>22.5</v>
      </c>
      <c r="AG8" s="27">
        <f t="shared" ref="AG8:AG17" ca="1" si="4">AF8/10000</f>
        <v>2.2499999999999998E-3</v>
      </c>
    </row>
    <row r="9" spans="2:38" x14ac:dyDescent="0.25">
      <c r="B9" s="21" t="s">
        <v>311</v>
      </c>
      <c r="C9" s="22">
        <f>COUNTA(L11:L18)*2</f>
        <v>16</v>
      </c>
      <c r="D9" s="22">
        <f ca="1">COUNT(O11:P18)</f>
        <v>16</v>
      </c>
      <c r="E9" s="23">
        <f t="shared" ca="1" si="0"/>
        <v>0</v>
      </c>
      <c r="G9" s="24" t="s">
        <v>312</v>
      </c>
      <c r="H9" s="25" t="s">
        <v>313</v>
      </c>
      <c r="I9" s="26">
        <f ca="1">IF(G9="","",IF(StaticData.Today=TODAY(),_xll.BDP(G9,"LAST_PRICE"),_xll.BDH(G9,"LAST_PRICE",StaticData.Today,StaticData.Today)))</f>
        <v>9.0999999999999998E-2</v>
      </c>
      <c r="J9" s="17">
        <f t="shared" ca="1" si="1"/>
        <v>9.1E-4</v>
      </c>
      <c r="L9" s="24" t="s">
        <v>314</v>
      </c>
      <c r="M9" s="25" t="s">
        <v>46</v>
      </c>
      <c r="N9" s="28"/>
      <c r="O9" s="29"/>
      <c r="P9" s="29"/>
      <c r="Q9" s="20">
        <f ca="1">IF(L9="","",IF(StaticData.Today=TODAY(),_xll.BDP(L9,"PX_LAST"),$I$7+I52/100))</f>
        <v>0.30099999999999999</v>
      </c>
      <c r="R9" s="27">
        <f ca="1">Q9/100</f>
        <v>3.0100000000000001E-3</v>
      </c>
      <c r="T9" s="24" t="s">
        <v>315</v>
      </c>
      <c r="U9" s="25" t="s">
        <v>316</v>
      </c>
      <c r="V9" s="26">
        <f ca="1">IF(T9="","",IF(StaticData.Today=TODAY(),_xll.BDP(T9,"LAST_PRICE"),_xll.BDH(T9,"LAST_PRICE",StaticData.Today,StaticData.Today)))</f>
        <v>8.625</v>
      </c>
      <c r="W9" s="27">
        <f t="shared" ca="1" si="2"/>
        <v>8.6249999999999999E-4</v>
      </c>
      <c r="Y9" s="24" t="s">
        <v>317</v>
      </c>
      <c r="Z9" s="25" t="s">
        <v>316</v>
      </c>
      <c r="AA9" s="26">
        <f ca="1">IF(Y9="","",IF(StaticData.Today=TODAY(),_xll.BDP(Y9,"LAST_PRICE"),_xll.BDH(Y9,"LAST_PRICE",StaticData.Today,StaticData.Today)))</f>
        <v>9.25</v>
      </c>
      <c r="AB9" s="27">
        <f t="shared" ca="1" si="3"/>
        <v>9.2500000000000004E-4</v>
      </c>
      <c r="AD9" s="24" t="s">
        <v>318</v>
      </c>
      <c r="AE9" s="25" t="s">
        <v>316</v>
      </c>
      <c r="AF9" s="26">
        <f ca="1">IF(AD9="","",IF(StaticData.Today=TODAY(),_xll.BDP(AD9,"LAST_PRICE"),_xll.BDH(AD9,"LAST_PRICE",StaticData.Today,StaticData.Today)))</f>
        <v>26.75</v>
      </c>
      <c r="AG9" s="27">
        <f t="shared" ca="1" si="4"/>
        <v>2.6749999999999999E-3</v>
      </c>
    </row>
    <row r="10" spans="2:38" x14ac:dyDescent="0.25">
      <c r="B10" s="21" t="s">
        <v>283</v>
      </c>
      <c r="C10" s="22">
        <f>COUNTA(T7:T48)</f>
        <v>15</v>
      </c>
      <c r="D10" s="22">
        <f ca="1">COUNT(V7:V48)</f>
        <v>15</v>
      </c>
      <c r="E10" s="23">
        <f t="shared" ca="1" si="0"/>
        <v>0</v>
      </c>
      <c r="G10" s="24" t="s">
        <v>319</v>
      </c>
      <c r="H10" s="25" t="s">
        <v>320</v>
      </c>
      <c r="I10" s="26">
        <f ca="1">IF(G10="","",IF(StaticData.Today=TODAY(),_xll.BDP(G10,"LAST_PRICE"),_xll.BDH(G10,"LAST_PRICE",StaticData.Today,StaticData.Today)))</f>
        <v>8.7999999999999995E-2</v>
      </c>
      <c r="J10" s="17">
        <f t="shared" ca="1" si="1"/>
        <v>8.7999999999999992E-4</v>
      </c>
      <c r="L10" s="24" t="s">
        <v>321</v>
      </c>
      <c r="M10" s="25" t="s">
        <v>322</v>
      </c>
      <c r="N10" s="28"/>
      <c r="O10" s="29"/>
      <c r="P10" s="29"/>
      <c r="Q10" s="20">
        <f ca="1">IF(L10="","",IF(StaticData.Today=TODAY(),_xll.BDP(L10,"PX_LAST"),$I$7+I53/100))</f>
        <v>0.42699999999999999</v>
      </c>
      <c r="R10" s="27">
        <f ca="1">Q10/100</f>
        <v>4.2699999999999995E-3</v>
      </c>
      <c r="T10" s="24" t="s">
        <v>323</v>
      </c>
      <c r="U10" s="25" t="s">
        <v>324</v>
      </c>
      <c r="V10" s="26">
        <f ca="1">IF(T10="","",IF(StaticData.Today=TODAY(),_xll.BDP(T10,"LAST_PRICE"),_xll.BDH(T10,"LAST_PRICE",StaticData.Today,StaticData.Today)))</f>
        <v>9.75</v>
      </c>
      <c r="W10" s="27">
        <f t="shared" ca="1" si="2"/>
        <v>9.7499999999999996E-4</v>
      </c>
      <c r="Y10" s="24" t="s">
        <v>325</v>
      </c>
      <c r="Z10" s="25" t="s">
        <v>324</v>
      </c>
      <c r="AA10" s="26">
        <f ca="1">IF(Y10="","",IF(StaticData.Today=TODAY(),_xll.BDP(Y10,"LAST_PRICE"),_xll.BDH(Y10,"LAST_PRICE",StaticData.Today,StaticData.Today)))</f>
        <v>9.625</v>
      </c>
      <c r="AB10" s="27">
        <f t="shared" ca="1" si="3"/>
        <v>9.6250000000000003E-4</v>
      </c>
      <c r="AD10" s="24" t="s">
        <v>326</v>
      </c>
      <c r="AE10" s="25" t="s">
        <v>324</v>
      </c>
      <c r="AF10" s="26">
        <f ca="1">IF(AD10="","",IF(StaticData.Today=TODAY(),_xll.BDP(AD10,"LAST_PRICE"),_xll.BDH(AD10,"LAST_PRICE",StaticData.Today,StaticData.Today)))</f>
        <v>28.875</v>
      </c>
      <c r="AG10" s="27">
        <f t="shared" ca="1" si="4"/>
        <v>2.8874999999999999E-3</v>
      </c>
    </row>
    <row r="11" spans="2:38" x14ac:dyDescent="0.25">
      <c r="B11" s="21" t="s">
        <v>284</v>
      </c>
      <c r="C11" s="22">
        <f>COUNTA(Y7:Y48)</f>
        <v>15</v>
      </c>
      <c r="D11" s="22">
        <f ca="1">COUNT(AA7:AA48)</f>
        <v>15</v>
      </c>
      <c r="E11" s="23">
        <f t="shared" ca="1" si="0"/>
        <v>0</v>
      </c>
      <c r="G11" s="24" t="s">
        <v>327</v>
      </c>
      <c r="H11" s="25" t="s">
        <v>300</v>
      </c>
      <c r="I11" s="26">
        <f ca="1">IF(G11="","",IF(StaticData.Today=TODAY(),_xll.BDP(G11,"LAST_PRICE"),_xll.BDH(G11,"LAST_PRICE",StaticData.Today,StaticData.Today)))</f>
        <v>8.6999999999999994E-2</v>
      </c>
      <c r="J11" s="17">
        <f t="shared" ca="1" si="1"/>
        <v>8.699999999999999E-4</v>
      </c>
      <c r="L11" s="24" t="s">
        <v>328</v>
      </c>
      <c r="M11" s="25" t="s">
        <v>329</v>
      </c>
      <c r="N11" s="31" t="str">
        <f ca="1">IF(StaticData.Today=TODAY(),$M11,_xll.BDH(L11,"FUT_CUR_GEN_TICKER",StaticData.Today,StaticData.Today))</f>
        <v>ED1</v>
      </c>
      <c r="O11" s="32">
        <f ca="1">DATEVALUE(_xll.BDP($N11&amp;" Comdty","INT_RATE_FUT_START_DT"))</f>
        <v>44090</v>
      </c>
      <c r="P11" s="32">
        <f ca="1">DATEVALUE(_xll.BDP($N11&amp;" Comdty","INT_RATE_FUT_END_DT"))</f>
        <v>44181</v>
      </c>
      <c r="Q11" s="30">
        <f ca="1">IF(L11="","",IF(StaticData.Today=TODAY(),_xll.BDP(L11,"LAST_PRICE"),_xll.BDH(L11,"LAST_PRICE",StaticData.Today,StaticData.Today)))</f>
        <v>99.754999999999995</v>
      </c>
      <c r="R11" s="33">
        <f ca="1">Q11</f>
        <v>99.754999999999995</v>
      </c>
      <c r="T11" s="24" t="s">
        <v>330</v>
      </c>
      <c r="U11" s="25" t="s">
        <v>331</v>
      </c>
      <c r="V11" s="26">
        <f ca="1">IF(T11="","",IF(StaticData.Today=TODAY(),_xll.BDP(T11,"LAST_PRICE"),_xll.BDH(T11,"LAST_PRICE",StaticData.Today,StaticData.Today)))</f>
        <v>10.625</v>
      </c>
      <c r="W11" s="27">
        <f t="shared" ca="1" si="2"/>
        <v>1.0625000000000001E-3</v>
      </c>
      <c r="Y11" s="24" t="s">
        <v>332</v>
      </c>
      <c r="Z11" s="25" t="s">
        <v>331</v>
      </c>
      <c r="AA11" s="26">
        <f ca="1">IF(Y11="","",IF(StaticData.Today=TODAY(),_xll.BDP(Y11,"LAST_PRICE"),_xll.BDH(Y11,"LAST_PRICE",StaticData.Today,StaticData.Today)))</f>
        <v>9.75</v>
      </c>
      <c r="AB11" s="27">
        <f t="shared" ca="1" si="3"/>
        <v>9.7499999999999996E-4</v>
      </c>
      <c r="AD11" s="24" t="s">
        <v>333</v>
      </c>
      <c r="AE11" s="25" t="s">
        <v>331</v>
      </c>
      <c r="AF11" s="26">
        <f ca="1">IF(AD11="","",IF(StaticData.Today=TODAY(),_xll.BDP(AD11,"LAST_PRICE"),_xll.BDH(AD11,"LAST_PRICE",StaticData.Today,StaticData.Today)))</f>
        <v>30.125</v>
      </c>
      <c r="AG11" s="27">
        <f t="shared" ca="1" si="4"/>
        <v>3.0125E-3</v>
      </c>
    </row>
    <row r="12" spans="2:38" x14ac:dyDescent="0.25">
      <c r="B12" s="21" t="s">
        <v>285</v>
      </c>
      <c r="C12" s="22">
        <f>COUNTA(AD7:AD48)</f>
        <v>12</v>
      </c>
      <c r="D12" s="22">
        <f ca="1">COUNT(AF7:AF48)</f>
        <v>12</v>
      </c>
      <c r="E12" s="23">
        <f t="shared" ca="1" si="0"/>
        <v>0</v>
      </c>
      <c r="G12" s="24" t="s">
        <v>334</v>
      </c>
      <c r="H12" s="25" t="s">
        <v>335</v>
      </c>
      <c r="I12" s="26">
        <f ca="1">IF(G12="","",IF(StaticData.Today=TODAY(),_xll.BDP(G12,"LAST_PRICE"),_xll.BDH(G12,"LAST_PRICE",StaticData.Today,StaticData.Today)))</f>
        <v>8.2799999999999999E-2</v>
      </c>
      <c r="J12" s="17">
        <f t="shared" ca="1" si="1"/>
        <v>8.2799999999999996E-4</v>
      </c>
      <c r="L12" s="24" t="s">
        <v>336</v>
      </c>
      <c r="M12" s="25" t="s">
        <v>337</v>
      </c>
      <c r="N12" s="31" t="str">
        <f ca="1">IF(StaticData.Today=TODAY(),$M12,_xll.BDH(L12,"FUT_CUR_GEN_TICKER",StaticData.Today,StaticData.Today))</f>
        <v>ED2</v>
      </c>
      <c r="O12" s="32">
        <f ca="1">DATEVALUE(_xll.BDP($N12&amp;" Comdty","INT_RATE_FUT_START_DT"))</f>
        <v>44181</v>
      </c>
      <c r="P12" s="32">
        <f ca="1">DATEVALUE(_xll.BDP($N12&amp;" Comdty","INT_RATE_FUT_END_DT"))</f>
        <v>44272</v>
      </c>
      <c r="Q12" s="30">
        <f ca="1">IF(L12="","",IF(StaticData.Today=TODAY(),_xll.BDP(L12,"LAST_PRICE"),_xll.BDH(L12,"LAST_PRICE",StaticData.Today,StaticData.Today)))</f>
        <v>99.694999999999993</v>
      </c>
      <c r="R12" s="33">
        <f t="shared" ref="R12:R17" ca="1" si="5">Q12</f>
        <v>99.694999999999993</v>
      </c>
      <c r="T12" s="24" t="s">
        <v>338</v>
      </c>
      <c r="U12" s="25" t="s">
        <v>339</v>
      </c>
      <c r="V12" s="26">
        <f ca="1">IF(T12="","",IF(StaticData.Today=TODAY(),_xll.BDP(T12,"LAST_PRICE"),_xll.BDH(T12,"LAST_PRICE",StaticData.Today,StaticData.Today)))</f>
        <v>11.125</v>
      </c>
      <c r="W12" s="27">
        <f t="shared" ca="1" si="2"/>
        <v>1.1125E-3</v>
      </c>
      <c r="Y12" s="24" t="s">
        <v>340</v>
      </c>
      <c r="Z12" s="25" t="s">
        <v>339</v>
      </c>
      <c r="AA12" s="26">
        <f ca="1">IF(Y12="","",IF(StaticData.Today=TODAY(),_xll.BDP(Y12,"LAST_PRICE"),_xll.BDH(Y12,"LAST_PRICE",StaticData.Today,StaticData.Today)))</f>
        <v>9.875</v>
      </c>
      <c r="AB12" s="27">
        <f t="shared" ca="1" si="3"/>
        <v>9.875000000000001E-4</v>
      </c>
      <c r="AD12" s="24" t="s">
        <v>341</v>
      </c>
      <c r="AE12" s="25" t="s">
        <v>342</v>
      </c>
      <c r="AF12" s="26">
        <f ca="1">IF(AD12="","",IF(StaticData.Today=TODAY(),_xll.BDP(AD12,"LAST_PRICE"),_xll.BDH(AD12,"LAST_PRICE",StaticData.Today,StaticData.Today)))</f>
        <v>31.625</v>
      </c>
      <c r="AG12" s="27">
        <f t="shared" ca="1" si="4"/>
        <v>3.1624999999999999E-3</v>
      </c>
    </row>
    <row r="13" spans="2:38" x14ac:dyDescent="0.25">
      <c r="B13" s="21"/>
      <c r="C13" s="22"/>
      <c r="D13" s="22"/>
      <c r="E13" s="22"/>
      <c r="G13" s="24" t="s">
        <v>343</v>
      </c>
      <c r="H13" s="25" t="s">
        <v>49</v>
      </c>
      <c r="I13" s="26">
        <f ca="1">IF(G13="","",IF(StaticData.Today=TODAY(),_xll.BDP(G13,"LAST_PRICE"),_xll.BDH(G13,"LAST_PRICE",StaticData.Today,StaticData.Today)))</f>
        <v>7.9799999999999996E-2</v>
      </c>
      <c r="J13" s="17">
        <f t="shared" ca="1" si="1"/>
        <v>7.9799999999999999E-4</v>
      </c>
      <c r="L13" s="24" t="s">
        <v>344</v>
      </c>
      <c r="M13" s="25" t="s">
        <v>345</v>
      </c>
      <c r="N13" s="31" t="str">
        <f ca="1">IF(StaticData.Today=TODAY(),$M13,_xll.BDH(L13,"FUT_CUR_GEN_TICKER",StaticData.Today,StaticData.Today))</f>
        <v>ED3</v>
      </c>
      <c r="O13" s="32">
        <f ca="1">DATEVALUE(_xll.BDP($N13&amp;" Comdty","INT_RATE_FUT_START_DT"))</f>
        <v>44272</v>
      </c>
      <c r="P13" s="32">
        <f ca="1">DATEVALUE(_xll.BDP($N13&amp;" Comdty","INT_RATE_FUT_END_DT"))</f>
        <v>44363</v>
      </c>
      <c r="Q13" s="30">
        <f ca="1">IF(L13="","",IF(StaticData.Today=TODAY(),_xll.BDP(L13,"LAST_PRICE"),_xll.BDH(L13,"LAST_PRICE",StaticData.Today,StaticData.Today)))</f>
        <v>99.79</v>
      </c>
      <c r="R13" s="33">
        <f t="shared" ca="1" si="5"/>
        <v>99.79</v>
      </c>
      <c r="T13" s="24" t="s">
        <v>346</v>
      </c>
      <c r="U13" s="25" t="s">
        <v>342</v>
      </c>
      <c r="V13" s="26">
        <f ca="1">IF(T13="","",IF(StaticData.Today=TODAY(),_xll.BDP(T13,"LAST_PRICE"),_xll.BDH(T13,"LAST_PRICE",StaticData.Today,StaticData.Today)))</f>
        <v>11.625</v>
      </c>
      <c r="W13" s="27">
        <f t="shared" ca="1" si="2"/>
        <v>1.1624999999999999E-3</v>
      </c>
      <c r="Y13" s="24" t="s">
        <v>347</v>
      </c>
      <c r="Z13" s="25" t="s">
        <v>342</v>
      </c>
      <c r="AA13" s="26">
        <f ca="1">IF(Y13="","",IF(StaticData.Today=TODAY(),_xll.BDP(Y13,"LAST_PRICE"),_xll.BDH(Y13,"LAST_PRICE",StaticData.Today,StaticData.Today)))</f>
        <v>10</v>
      </c>
      <c r="AB13" s="27">
        <f t="shared" ca="1" si="3"/>
        <v>1E-3</v>
      </c>
      <c r="AD13" s="24" t="s">
        <v>348</v>
      </c>
      <c r="AE13" s="25" t="s">
        <v>349</v>
      </c>
      <c r="AF13" s="26">
        <f ca="1">IF(AD13="","",IF(StaticData.Today=TODAY(),_xll.BDP(AD13,"LAST_PRICE"),_xll.BDH(AD13,"LAST_PRICE",StaticData.Today,StaticData.Today)))</f>
        <v>32.75</v>
      </c>
      <c r="AG13" s="27">
        <f t="shared" ca="1" si="4"/>
        <v>3.2750000000000001E-3</v>
      </c>
    </row>
    <row r="14" spans="2:38" x14ac:dyDescent="0.25">
      <c r="B14" s="21"/>
      <c r="C14" s="22"/>
      <c r="D14" s="22"/>
      <c r="E14" s="22"/>
      <c r="G14" s="24" t="s">
        <v>350</v>
      </c>
      <c r="H14" s="25" t="s">
        <v>351</v>
      </c>
      <c r="I14" s="26">
        <f ca="1">IF(G14="","",IF(StaticData.Today=TODAY(),_xll.BDP(G14,"LAST_PRICE"),_xll.BDH(G14,"LAST_PRICE",StaticData.Today,StaticData.Today)))</f>
        <v>7.5700000000000003E-2</v>
      </c>
      <c r="J14" s="17">
        <f t="shared" ca="1" si="1"/>
        <v>7.5700000000000008E-4</v>
      </c>
      <c r="L14" s="24" t="s">
        <v>352</v>
      </c>
      <c r="M14" s="25" t="s">
        <v>353</v>
      </c>
      <c r="N14" s="31" t="str">
        <f ca="1">IF(StaticData.Today=TODAY(),$M14,_xll.BDH(L14,"FUT_CUR_GEN_TICKER",StaticData.Today,StaticData.Today))</f>
        <v>ED4</v>
      </c>
      <c r="O14" s="32">
        <f ca="1">DATEVALUE(_xll.BDP($N14&amp;" Comdty","INT_RATE_FUT_START_DT"))</f>
        <v>44363</v>
      </c>
      <c r="P14" s="32">
        <f ca="1">DATEVALUE(_xll.BDP($N14&amp;" Comdty","INT_RATE_FUT_END_DT"))</f>
        <v>44454</v>
      </c>
      <c r="Q14" s="30">
        <f ca="1">IF(L14="","",IF(StaticData.Today=TODAY(),_xll.BDP(L14,"LAST_PRICE"),_xll.BDH(L14,"LAST_PRICE",StaticData.Today,StaticData.Today)))</f>
        <v>99.805000000000007</v>
      </c>
      <c r="R14" s="33">
        <f t="shared" ca="1" si="5"/>
        <v>99.805000000000007</v>
      </c>
      <c r="T14" s="24" t="s">
        <v>354</v>
      </c>
      <c r="U14" s="25" t="s">
        <v>355</v>
      </c>
      <c r="V14" s="26">
        <f ca="1">IF(T14="","",IF(StaticData.Today=TODAY(),_xll.BDP(T14,"LAST_PRICE"),_xll.BDH(T14,"LAST_PRICE",StaticData.Today,StaticData.Today)))</f>
        <v>12</v>
      </c>
      <c r="W14" s="27">
        <f t="shared" ca="1" si="2"/>
        <v>1.1999999999999999E-3</v>
      </c>
      <c r="Y14" s="24" t="s">
        <v>356</v>
      </c>
      <c r="Z14" s="25" t="s">
        <v>355</v>
      </c>
      <c r="AA14" s="26">
        <f ca="1">IF(Y14="","",IF(StaticData.Today=TODAY(),_xll.BDP(Y14,"LAST_PRICE"),_xll.BDH(Y14,"LAST_PRICE",StaticData.Today,StaticData.Today)))</f>
        <v>10.125</v>
      </c>
      <c r="AB14" s="27">
        <f t="shared" ca="1" si="3"/>
        <v>1.0124999999999999E-3</v>
      </c>
      <c r="AD14" s="24" t="s">
        <v>357</v>
      </c>
      <c r="AE14" s="25" t="s">
        <v>358</v>
      </c>
      <c r="AF14" s="26">
        <f ca="1">IF(AD14="","",IF(StaticData.Today=TODAY(),_xll.BDP(AD14,"LAST_PRICE"),_xll.BDH(AD14,"LAST_PRICE",StaticData.Today,StaticData.Today)))</f>
        <v>33.125</v>
      </c>
      <c r="AG14" s="27">
        <f t="shared" ca="1" si="4"/>
        <v>3.3124999999999999E-3</v>
      </c>
    </row>
    <row r="15" spans="2:38" x14ac:dyDescent="0.25">
      <c r="B15" s="21"/>
      <c r="C15" s="22"/>
      <c r="D15" s="22"/>
      <c r="E15" s="22"/>
      <c r="G15" s="24" t="s">
        <v>359</v>
      </c>
      <c r="H15" s="25" t="s">
        <v>360</v>
      </c>
      <c r="I15" s="26">
        <f ca="1">IF(G15="","",IF(StaticData.Today=TODAY(),_xll.BDP(G15,"LAST_PRICE"),_xll.BDH(G15,"LAST_PRICE",StaticData.Today,StaticData.Today)))</f>
        <v>7.2499999999999995E-2</v>
      </c>
      <c r="J15" s="17">
        <f t="shared" ca="1" si="1"/>
        <v>7.2499999999999995E-4</v>
      </c>
      <c r="L15" s="24" t="s">
        <v>361</v>
      </c>
      <c r="M15" s="25" t="s">
        <v>362</v>
      </c>
      <c r="N15" s="31" t="str">
        <f ca="1">IF(StaticData.Today=TODAY(),$M15,_xll.BDH(L15,"FUT_CUR_GEN_TICKER",StaticData.Today,StaticData.Today))</f>
        <v>ED5</v>
      </c>
      <c r="O15" s="32">
        <f ca="1">DATEVALUE(_xll.BDP($N15&amp;" Comdty","INT_RATE_FUT_START_DT"))</f>
        <v>44454</v>
      </c>
      <c r="P15" s="32">
        <f ca="1">DATEVALUE(_xll.BDP($N15&amp;" Comdty","INT_RATE_FUT_END_DT"))</f>
        <v>44545</v>
      </c>
      <c r="Q15" s="30">
        <f ca="1">IF(L15="","",IF(StaticData.Today=TODAY(),_xll.BDP(L15,"LAST_PRICE"),_xll.BDH(L15,"LAST_PRICE",StaticData.Today,StaticData.Today)))</f>
        <v>99.795000000000002</v>
      </c>
      <c r="R15" s="33">
        <f t="shared" ca="1" si="5"/>
        <v>99.795000000000002</v>
      </c>
      <c r="T15" s="24" t="s">
        <v>363</v>
      </c>
      <c r="U15" s="25" t="s">
        <v>364</v>
      </c>
      <c r="V15" s="26">
        <f ca="1">IF(T15="","",IF(StaticData.Today=TODAY(),_xll.BDP(T15,"LAST_PRICE"),_xll.BDH(T15,"LAST_PRICE",StaticData.Today,StaticData.Today)))</f>
        <v>12.25</v>
      </c>
      <c r="W15" s="27">
        <f t="shared" ca="1" si="2"/>
        <v>1.225E-3</v>
      </c>
      <c r="Y15" s="24" t="s">
        <v>365</v>
      </c>
      <c r="Z15" s="25" t="s">
        <v>364</v>
      </c>
      <c r="AA15" s="26">
        <f ca="1">IF(Y15="","",IF(StaticData.Today=TODAY(),_xll.BDP(Y15,"LAST_PRICE"),_xll.BDH(Y15,"LAST_PRICE",StaticData.Today,StaticData.Today)))</f>
        <v>10.25</v>
      </c>
      <c r="AB15" s="27">
        <f t="shared" ca="1" si="3"/>
        <v>1.0250000000000001E-3</v>
      </c>
      <c r="AD15" s="24" t="s">
        <v>366</v>
      </c>
      <c r="AE15" s="25" t="s">
        <v>367</v>
      </c>
      <c r="AF15" s="26">
        <f ca="1">IF(AD15="","",IF(StaticData.Today=TODAY(),_xll.BDP(AD15,"LAST_PRICE"),_xll.BDH(AD15,"LAST_PRICE",StaticData.Today,StaticData.Today)))</f>
        <v>33.375</v>
      </c>
      <c r="AG15" s="27">
        <f t="shared" ca="1" si="4"/>
        <v>3.3375000000000002E-3</v>
      </c>
    </row>
    <row r="16" spans="2:38" x14ac:dyDescent="0.25">
      <c r="B16" s="21"/>
      <c r="C16" s="22"/>
      <c r="D16" s="22"/>
      <c r="E16" s="22"/>
      <c r="G16" s="24" t="s">
        <v>368</v>
      </c>
      <c r="H16" s="25" t="s">
        <v>46</v>
      </c>
      <c r="I16" s="26">
        <f ca="1">IF(G16="","",IF(StaticData.Today=TODAY(),_xll.BDP(G16,"LAST_PRICE"),_xll.BDH(G16,"LAST_PRICE",StaticData.Today,StaticData.Today)))</f>
        <v>6.9000000000000006E-2</v>
      </c>
      <c r="J16" s="17">
        <f t="shared" ca="1" si="1"/>
        <v>6.9000000000000008E-4</v>
      </c>
      <c r="L16" s="24" t="s">
        <v>369</v>
      </c>
      <c r="M16" s="25" t="s">
        <v>370</v>
      </c>
      <c r="N16" s="31" t="str">
        <f ca="1">IF(StaticData.Today=TODAY(),$M16,_xll.BDH(L16,"FUT_CUR_GEN_TICKER",StaticData.Today,StaticData.Today))</f>
        <v>ED6</v>
      </c>
      <c r="O16" s="32">
        <f ca="1">DATEVALUE(_xll.BDP($N16&amp;" Comdty","INT_RATE_FUT_START_DT"))</f>
        <v>44545</v>
      </c>
      <c r="P16" s="32">
        <f ca="1">DATEVALUE(_xll.BDP($N16&amp;" Comdty","INT_RATE_FUT_END_DT"))</f>
        <v>44636</v>
      </c>
      <c r="Q16" s="30">
        <f ca="1">IF(L16="","",IF(StaticData.Today=TODAY(),_xll.BDP(L16,"LAST_PRICE"),_xll.BDH(L16,"LAST_PRICE",StaticData.Today,StaticData.Today)))</f>
        <v>99.77</v>
      </c>
      <c r="R16" s="33">
        <f t="shared" ca="1" si="5"/>
        <v>99.77</v>
      </c>
      <c r="T16" s="24" t="s">
        <v>371</v>
      </c>
      <c r="U16" s="25" t="s">
        <v>349</v>
      </c>
      <c r="V16" s="26">
        <f ca="1">IF(T16="","",IF(StaticData.Today=TODAY(),_xll.BDP(T16,"LAST_PRICE"),_xll.BDH(T16,"LAST_PRICE",StaticData.Today,StaticData.Today)))</f>
        <v>12.5</v>
      </c>
      <c r="W16" s="27">
        <f t="shared" ca="1" si="2"/>
        <v>1.25E-3</v>
      </c>
      <c r="Y16" s="24" t="s">
        <v>372</v>
      </c>
      <c r="Z16" s="25" t="s">
        <v>349</v>
      </c>
      <c r="AA16" s="26">
        <f ca="1">IF(Y16="","",IF(StaticData.Today=TODAY(),_xll.BDP(Y16,"LAST_PRICE"),_xll.BDH(Y16,"LAST_PRICE",StaticData.Today,StaticData.Today)))</f>
        <v>10.25</v>
      </c>
      <c r="AB16" s="27">
        <f t="shared" ca="1" si="3"/>
        <v>1.0250000000000001E-3</v>
      </c>
      <c r="AD16" s="24" t="s">
        <v>373</v>
      </c>
      <c r="AE16" s="25" t="s">
        <v>374</v>
      </c>
      <c r="AF16" s="26">
        <f ca="1">IF(AD16="","",IF(StaticData.Today=TODAY(),_xll.BDP(AD16,"LAST_PRICE"),_xll.BDH(AD16,"LAST_PRICE",StaticData.Today,StaticData.Today)))</f>
        <v>33.625</v>
      </c>
      <c r="AG16" s="27">
        <f t="shared" ca="1" si="4"/>
        <v>3.3625E-3</v>
      </c>
    </row>
    <row r="17" spans="2:33" x14ac:dyDescent="0.25">
      <c r="B17" s="34"/>
      <c r="C17" s="35"/>
      <c r="D17" s="35"/>
      <c r="E17" s="35"/>
      <c r="G17" s="24" t="s">
        <v>375</v>
      </c>
      <c r="H17" s="25" t="s">
        <v>376</v>
      </c>
      <c r="I17" s="26">
        <f ca="1">IF(G17="","",IF(StaticData.Today=TODAY(),_xll.BDP(G17,"LAST_PRICE"),_xll.BDH(G17,"LAST_PRICE",StaticData.Today,StaticData.Today)))</f>
        <v>6.0999999999999999E-2</v>
      </c>
      <c r="J17" s="17">
        <f t="shared" ca="1" si="1"/>
        <v>6.0999999999999997E-4</v>
      </c>
      <c r="L17" s="24" t="s">
        <v>377</v>
      </c>
      <c r="M17" s="25" t="s">
        <v>378</v>
      </c>
      <c r="N17" s="31" t="str">
        <f ca="1">IF(StaticData.Today=TODAY(),$M17,_xll.BDH(L17,"FUT_CUR_GEN_TICKER",StaticData.Today,StaticData.Today))</f>
        <v>ED7</v>
      </c>
      <c r="O17" s="32">
        <f ca="1">DATEVALUE(_xll.BDP($N17&amp;" Comdty","INT_RATE_FUT_START_DT"))</f>
        <v>44636</v>
      </c>
      <c r="P17" s="32">
        <f ca="1">DATEVALUE(_xll.BDP($N17&amp;" Comdty","INT_RATE_FUT_END_DT"))</f>
        <v>44727</v>
      </c>
      <c r="Q17" s="30">
        <f ca="1">IF(L17="","",IF(StaticData.Today=TODAY(),_xll.BDP(L17,"LAST_PRICE"),_xll.BDH(L17,"LAST_PRICE",StaticData.Today,StaticData.Today)))</f>
        <v>99.79</v>
      </c>
      <c r="R17" s="33">
        <f t="shared" ca="1" si="5"/>
        <v>99.79</v>
      </c>
      <c r="T17" s="24" t="s">
        <v>379</v>
      </c>
      <c r="U17" s="25" t="s">
        <v>358</v>
      </c>
      <c r="V17" s="26">
        <f ca="1">IF(T17="","",IF(StaticData.Today=TODAY(),_xll.BDP(T17,"LAST_PRICE"),_xll.BDH(T17,"LAST_PRICE",StaticData.Today,StaticData.Today)))</f>
        <v>13</v>
      </c>
      <c r="W17" s="27">
        <f t="shared" ca="1" si="2"/>
        <v>1.2999999999999999E-3</v>
      </c>
      <c r="Y17" s="24" t="s">
        <v>380</v>
      </c>
      <c r="Z17" s="25" t="s">
        <v>358</v>
      </c>
      <c r="AA17" s="26">
        <f ca="1">IF(Y17="","",IF(StaticData.Today=TODAY(),_xll.BDP(Y17,"LAST_PRICE"),_xll.BDH(Y17,"LAST_PRICE",StaticData.Today,StaticData.Today)))</f>
        <v>10.375</v>
      </c>
      <c r="AB17" s="27">
        <f t="shared" ca="1" si="3"/>
        <v>1.0375E-3</v>
      </c>
      <c r="AD17" s="24" t="s">
        <v>381</v>
      </c>
      <c r="AE17" s="25" t="s">
        <v>382</v>
      </c>
      <c r="AF17" s="26">
        <f ca="1">IF(AD17="","",IF(StaticData.Today=TODAY(),_xll.BDP(AD17,"LAST_PRICE"),_xll.BDH(AD17,"LAST_PRICE",StaticData.Today,StaticData.Today)))</f>
        <v>33.75</v>
      </c>
      <c r="AG17" s="27">
        <f t="shared" ca="1" si="4"/>
        <v>3.375E-3</v>
      </c>
    </row>
    <row r="18" spans="2:33" x14ac:dyDescent="0.25">
      <c r="B18" s="36"/>
      <c r="C18" s="36"/>
      <c r="D18" s="36"/>
      <c r="E18" s="36"/>
      <c r="G18" s="24" t="s">
        <v>383</v>
      </c>
      <c r="H18" s="25" t="s">
        <v>47</v>
      </c>
      <c r="I18" s="26">
        <f ca="1">IF(G18="","",IF(StaticData.Today=TODAY(),_xll.BDP(G18,"LAST_PRICE"),_xll.BDH(G18,"LAST_PRICE",StaticData.Today,StaticData.Today)))</f>
        <v>5.2999999999999999E-2</v>
      </c>
      <c r="J18" s="17">
        <f t="shared" ca="1" si="1"/>
        <v>5.2999999999999998E-4</v>
      </c>
      <c r="L18" s="24" t="s">
        <v>384</v>
      </c>
      <c r="M18" s="25" t="s">
        <v>385</v>
      </c>
      <c r="N18" s="31" t="str">
        <f ca="1">IF(StaticData.Today=TODAY(),$M18,_xll.BDH(L18,"FUT_CUR_GEN_TICKER",StaticData.Today,StaticData.Today))</f>
        <v>ED8</v>
      </c>
      <c r="O18" s="32">
        <f ca="1">DATEVALUE(_xll.BDP($N18&amp;" Comdty","INT_RATE_FUT_START_DT"))</f>
        <v>44727</v>
      </c>
      <c r="P18" s="32">
        <f ca="1">DATEVALUE(_xll.BDP($N18&amp;" Comdty","INT_RATE_FUT_END_DT"))</f>
        <v>44825</v>
      </c>
      <c r="Q18" s="30">
        <f ca="1">IF(L18="","",IF(StaticData.Today=TODAY(),_xll.BDP(L18,"LAST_PRICE"),_xll.BDH(L18,"LAST_PRICE",StaticData.Today,StaticData.Today)))</f>
        <v>99.784999999999997</v>
      </c>
      <c r="R18" s="33">
        <f ca="1">Q18</f>
        <v>99.784999999999997</v>
      </c>
      <c r="T18" s="24" t="s">
        <v>386</v>
      </c>
      <c r="U18" s="25" t="s">
        <v>367</v>
      </c>
      <c r="V18" s="26">
        <f ca="1">IF(T18="","",IF(StaticData.Today=TODAY(),_xll.BDP(T18,"LAST_PRICE"),_xll.BDH(T18,"LAST_PRICE",StaticData.Today,StaticData.Today)))</f>
        <v>13.375</v>
      </c>
      <c r="W18" s="27">
        <f ca="1">V18/10000</f>
        <v>1.3374999999999999E-3</v>
      </c>
      <c r="Y18" s="24" t="s">
        <v>387</v>
      </c>
      <c r="Z18" s="25" t="s">
        <v>367</v>
      </c>
      <c r="AA18" s="26">
        <f ca="1">IF(Y18="","",IF(StaticData.Today=TODAY(),_xll.BDP(Y18,"LAST_PRICE"),_xll.BDH(Y18,"LAST_PRICE",StaticData.Today,StaticData.Today)))</f>
        <v>10.5</v>
      </c>
      <c r="AB18" s="27">
        <f ca="1">AA18/10000</f>
        <v>1.0499999999999999E-3</v>
      </c>
      <c r="AD18" s="24" t="s">
        <v>388</v>
      </c>
      <c r="AE18" s="25" t="s">
        <v>389</v>
      </c>
      <c r="AF18" s="26">
        <f ca="1">IF(AD18="","",IF(StaticData.Today=TODAY(),_xll.BDP(AD18,"LAST_PRICE"),_xll.BDH(AD18,"LAST_PRICE",StaticData.Today,StaticData.Today)))</f>
        <v>33.75</v>
      </c>
      <c r="AG18" s="27">
        <f ca="1">AF18/10000</f>
        <v>3.375E-3</v>
      </c>
    </row>
    <row r="19" spans="2:33" x14ac:dyDescent="0.25">
      <c r="B19" s="36"/>
      <c r="C19" s="36"/>
      <c r="D19" s="36"/>
      <c r="E19" s="36"/>
      <c r="G19" s="24" t="s">
        <v>390</v>
      </c>
      <c r="H19" s="25" t="s">
        <v>308</v>
      </c>
      <c r="I19" s="26">
        <f ca="1">IF(G19="","",IF(StaticData.Today=TODAY(),_xll.BDP(G19,"LAST_PRICE"),_xll.BDH(G19,"LAST_PRICE",StaticData.Today,StaticData.Today)))</f>
        <v>3.5000000000000003E-2</v>
      </c>
      <c r="J19" s="17">
        <f t="shared" ca="1" si="1"/>
        <v>3.5000000000000005E-4</v>
      </c>
      <c r="L19" s="24" t="str">
        <f>"USSWAP2"&amp;$L$2&amp;" Curncy"</f>
        <v>USSWAP2 PREB Curncy</v>
      </c>
      <c r="M19" s="25" t="s">
        <v>308</v>
      </c>
      <c r="N19" s="31"/>
      <c r="O19" s="32"/>
      <c r="P19" s="32"/>
      <c r="Q19" s="30">
        <f ca="1">IF(L19="","",IF(StaticData.Today=TODAY(),_xll.BDP(L19,"LAST_PRICE"),_xll.BDH(L19,"LAST_PRICE",StaticData.Today,StaticData.Today)))</f>
        <v>0.2276</v>
      </c>
      <c r="R19" s="27">
        <f t="shared" ref="R19" ca="1" si="6">Q19/100</f>
        <v>2.2759999999999998E-3</v>
      </c>
      <c r="T19" s="24" t="s">
        <v>392</v>
      </c>
      <c r="U19" s="25" t="s">
        <v>374</v>
      </c>
      <c r="V19" s="26">
        <f ca="1">IF(T19="","",IF(StaticData.Today=TODAY(),_xll.BDP(T19,"LAST_PRICE"),_xll.BDH(T19,"LAST_PRICE",StaticData.Today,StaticData.Today)))</f>
        <v>13.75</v>
      </c>
      <c r="W19" s="27">
        <f ca="1">V19/10000</f>
        <v>1.3749999999999999E-3</v>
      </c>
      <c r="Y19" s="24" t="s">
        <v>393</v>
      </c>
      <c r="Z19" s="25" t="s">
        <v>374</v>
      </c>
      <c r="AA19" s="26">
        <f ca="1">IF(Y19="","",IF(StaticData.Today=TODAY(),_xll.BDP(Y19,"LAST_PRICE"),_xll.BDH(Y19,"LAST_PRICE",StaticData.Today,StaticData.Today)))</f>
        <v>10.875</v>
      </c>
      <c r="AB19" s="27">
        <f ca="1">AA19/10000</f>
        <v>1.0874999999999999E-3</v>
      </c>
      <c r="AD19" s="24"/>
      <c r="AE19" s="25"/>
      <c r="AF19" s="26" t="str">
        <f ca="1">IF(AD19="","",IF(StaticData.Today=TODAY(),_xll.BDP(AD19,"LAST_PRICE"),_xll.BDH(AD19,"LAST_PRICE",StaticData.Today,StaticData.Today)))</f>
        <v/>
      </c>
      <c r="AG19" s="27"/>
    </row>
    <row r="20" spans="2:33" x14ac:dyDescent="0.25">
      <c r="B20" s="36"/>
      <c r="C20" s="36"/>
      <c r="D20" s="36"/>
      <c r="E20" s="36"/>
      <c r="G20" s="24" t="s">
        <v>394</v>
      </c>
      <c r="H20" s="25" t="s">
        <v>316</v>
      </c>
      <c r="I20" s="26">
        <f ca="1">IF(G20="","",IF(StaticData.Today=TODAY(),_xll.BDP(G20,"LAST_PRICE"),_xll.BDH(G20,"LAST_PRICE",StaticData.Today,StaticData.Today)))</f>
        <v>3.9E-2</v>
      </c>
      <c r="J20" s="17">
        <f t="shared" ca="1" si="1"/>
        <v>3.8999999999999999E-4</v>
      </c>
      <c r="K20" s="37"/>
      <c r="L20" s="24" t="str">
        <f>"USSWAP3"&amp;$L$2&amp;" Curncy"</f>
        <v>USSWAP3 PREB Curncy</v>
      </c>
      <c r="M20" s="25" t="s">
        <v>316</v>
      </c>
      <c r="N20" s="28"/>
      <c r="O20" s="185" t="str">
        <f>"UDSW3"&amp;$O$2&amp;" Curncy"</f>
        <v>UDSW3 Curncy</v>
      </c>
      <c r="P20" s="185"/>
      <c r="Q20" s="30">
        <f ca="1">IF(L20="","",IF(StaticData.Today=TODAY(),_xll.BDP(L20,"LAST_PRICE"),_xll.BDH(L20,"LAST_PRICE",StaticData.Today,StaticData.Today)))</f>
        <v>0.23749999999999999</v>
      </c>
      <c r="R20" s="27">
        <f t="shared" ref="R20:R31" ca="1" si="7">Q20/100</f>
        <v>2.3749999999999999E-3</v>
      </c>
      <c r="T20" s="24" t="s">
        <v>396</v>
      </c>
      <c r="U20" s="25" t="s">
        <v>382</v>
      </c>
      <c r="V20" s="26">
        <f ca="1">IF(T20="","",IF(StaticData.Today=TODAY(),_xll.BDP(T20,"LAST_PRICE"),_xll.BDH(T20,"LAST_PRICE",StaticData.Today,StaticData.Today)))</f>
        <v>13.75</v>
      </c>
      <c r="W20" s="27">
        <f ca="1">V20/10000</f>
        <v>1.3749999999999999E-3</v>
      </c>
      <c r="Y20" s="24" t="s">
        <v>397</v>
      </c>
      <c r="Z20" s="25" t="s">
        <v>382</v>
      </c>
      <c r="AA20" s="26">
        <f ca="1">IF(Y20="","",IF(StaticData.Today=TODAY(),_xll.BDP(Y20,"LAST_PRICE"),_xll.BDH(Y20,"LAST_PRICE",StaticData.Today,StaticData.Today)))</f>
        <v>11.125</v>
      </c>
      <c r="AB20" s="27">
        <f ca="1">AA20/10000</f>
        <v>1.1125E-3</v>
      </c>
      <c r="AD20" s="24"/>
      <c r="AE20" s="25"/>
      <c r="AF20" s="26" t="str">
        <f ca="1">IF(AD20="","",IF(StaticData.Today=TODAY(),_xll.BDP(AD20,"LAST_PRICE"),_xll.BDH(AD20,"LAST_PRICE",StaticData.Today,StaticData.Today)))</f>
        <v/>
      </c>
      <c r="AG20" s="27"/>
    </row>
    <row r="21" spans="2:33" x14ac:dyDescent="0.25">
      <c r="B21" s="36"/>
      <c r="C21" s="36"/>
      <c r="D21" s="36"/>
      <c r="E21" s="36"/>
      <c r="G21" s="24" t="s">
        <v>398</v>
      </c>
      <c r="H21" s="25" t="s">
        <v>324</v>
      </c>
      <c r="I21" s="26">
        <f ca="1">IF(G21="","",IF(StaticData.Today=TODAY(),_xll.BDP(G21,"LAST_PRICE"),_xll.BDH(G21,"LAST_PRICE",StaticData.Today,StaticData.Today)))</f>
        <v>7.0000000000000007E-2</v>
      </c>
      <c r="J21" s="17">
        <f t="shared" ca="1" si="1"/>
        <v>7.000000000000001E-4</v>
      </c>
      <c r="L21" s="24" t="str">
        <f>"USSWAP4"&amp;$L$2&amp;" Curncy"</f>
        <v>USSWAP4 PREB Curncy</v>
      </c>
      <c r="M21" s="25" t="s">
        <v>324</v>
      </c>
      <c r="N21" s="28"/>
      <c r="O21" s="185"/>
      <c r="P21" s="185"/>
      <c r="Q21" s="30">
        <f ca="1">IF(L21="","",IF(StaticData.Today=TODAY(),_xll.BDP(L21,"LAST_PRICE"),_xll.BDH(L21,"LAST_PRICE",StaticData.Today,StaticData.Today)))</f>
        <v>0.26869999999999999</v>
      </c>
      <c r="R21" s="27">
        <f t="shared" ca="1" si="7"/>
        <v>2.6870000000000002E-3</v>
      </c>
      <c r="T21" s="24" t="s">
        <v>400</v>
      </c>
      <c r="U21" s="25" t="s">
        <v>389</v>
      </c>
      <c r="V21" s="26">
        <f ca="1">IF(T21="","",IF(StaticData.Today=TODAY(),_xll.BDP(T21,"LAST_PRICE"),_xll.BDH(T21,"LAST_PRICE",StaticData.Today,StaticData.Today)))</f>
        <v>13.875</v>
      </c>
      <c r="W21" s="27">
        <f ca="1">V21/10000</f>
        <v>1.3875000000000001E-3</v>
      </c>
      <c r="Y21" s="24" t="s">
        <v>401</v>
      </c>
      <c r="Z21" s="25" t="s">
        <v>389</v>
      </c>
      <c r="AA21" s="26">
        <f ca="1">IF(Y21="","",IF(StaticData.Today=TODAY(),_xll.BDP(Y21,"LAST_PRICE"),_xll.BDH(Y21,"LAST_PRICE",StaticData.Today,StaticData.Today)))</f>
        <v>11.125</v>
      </c>
      <c r="AB21" s="27">
        <f ca="1">AA21/10000</f>
        <v>1.1125E-3</v>
      </c>
      <c r="AD21" s="24"/>
      <c r="AE21" s="25"/>
      <c r="AF21" s="26" t="str">
        <f ca="1">IF(AD21="","",IF(StaticData.Today=TODAY(),_xll.BDP(AD21,"LAST_PRICE"),_xll.BDH(AD21,"LAST_PRICE",StaticData.Today,StaticData.Today)))</f>
        <v/>
      </c>
      <c r="AG21" s="27"/>
    </row>
    <row r="22" spans="2:33" x14ac:dyDescent="0.25">
      <c r="B22" s="36"/>
      <c r="C22" s="36"/>
      <c r="D22" s="36"/>
      <c r="E22" s="36"/>
      <c r="G22" s="24" t="s">
        <v>402</v>
      </c>
      <c r="H22" s="25" t="s">
        <v>331</v>
      </c>
      <c r="I22" s="26">
        <f ca="1">IF(G22="","",IF(StaticData.Today=TODAY(),_xll.BDP(G22,"LAST_PRICE"),_xll.BDH(G22,"LAST_PRICE",StaticData.Today,StaticData.Today)))</f>
        <v>0.128</v>
      </c>
      <c r="J22" s="17">
        <f t="shared" ca="1" si="1"/>
        <v>1.2800000000000001E-3</v>
      </c>
      <c r="L22" s="24" t="str">
        <f>"USSWAP5"&amp;$L$2&amp;" Curncy"</f>
        <v>USSWAP5 PREB Curncy</v>
      </c>
      <c r="M22" s="25" t="s">
        <v>331</v>
      </c>
      <c r="N22" s="28"/>
      <c r="O22" s="185"/>
      <c r="P22" s="185"/>
      <c r="Q22" s="30">
        <f ca="1">IF(L22="","",IF(StaticData.Today=TODAY(),_xll.BDP(L22,"LAST_PRICE"),_xll.BDH(L22,"LAST_PRICE",StaticData.Today,StaticData.Today)))</f>
        <v>0.32979999999999998</v>
      </c>
      <c r="R22" s="27">
        <f t="shared" ca="1" si="7"/>
        <v>3.2979999999999997E-3</v>
      </c>
      <c r="T22" s="24"/>
      <c r="U22" s="25"/>
      <c r="V22" s="26" t="str">
        <f ca="1">IF(T22="","",IF(StaticData.Today=TODAY(),_xll.BDP(T22,"LAST_PRICE"),_xll.BDH(T22,"LAST_PRICE",StaticData.Today,StaticData.Today)))</f>
        <v/>
      </c>
      <c r="W22" s="27"/>
      <c r="Y22" s="24"/>
      <c r="Z22" s="25"/>
      <c r="AA22" s="26" t="str">
        <f ca="1">IF(Y22="","",IF(StaticData.Today=TODAY(),_xll.BDP(Y22,"LAST_PRICE"),_xll.BDH(Y22,"LAST_PRICE",StaticData.Today,StaticData.Today)))</f>
        <v/>
      </c>
      <c r="AB22" s="27"/>
      <c r="AD22" s="24"/>
      <c r="AE22" s="25"/>
      <c r="AF22" s="26" t="str">
        <f ca="1">IF(AD22="","",IF(StaticData.Today=TODAY(),_xll.BDP(AD22,"LAST_PRICE"),_xll.BDH(AD22,"LAST_PRICE",StaticData.Today,StaticData.Today)))</f>
        <v/>
      </c>
      <c r="AG22" s="27"/>
    </row>
    <row r="23" spans="2:33" x14ac:dyDescent="0.25">
      <c r="B23" s="36"/>
      <c r="C23" s="36"/>
      <c r="D23" s="36"/>
      <c r="E23" s="36"/>
      <c r="G23" s="24" t="s">
        <v>486</v>
      </c>
      <c r="H23" s="25" t="s">
        <v>342</v>
      </c>
      <c r="I23" s="26">
        <f ca="1">IF(G23="","",IF(StaticData.Today=TODAY(),_xll.BDP(G23,"LAST_PRICE"),_xll.BDH(G23,"LAST_PRICE",StaticData.Today,StaticData.Today)))</f>
        <v>0.27100000000000002</v>
      </c>
      <c r="J23" s="17">
        <f t="shared" ca="1" si="1"/>
        <v>2.7100000000000002E-3</v>
      </c>
      <c r="L23" s="24" t="str">
        <f>"USSWAP6"&amp;$L$2&amp;" Curncy"</f>
        <v>USSWAP6 PREB Curncy</v>
      </c>
      <c r="M23" s="25" t="s">
        <v>339</v>
      </c>
      <c r="N23" s="28"/>
      <c r="O23" s="185"/>
      <c r="P23" s="185"/>
      <c r="Q23" s="30">
        <f ca="1">IF(L23="","",IF(StaticData.Today=TODAY(),_xll.BDP(L23,"LAST_PRICE"),_xll.BDH(L23,"LAST_PRICE",StaticData.Today,StaticData.Today)))</f>
        <v>0.4017</v>
      </c>
      <c r="R23" s="27">
        <f t="shared" ca="1" si="7"/>
        <v>4.0169999999999997E-3</v>
      </c>
      <c r="T23" s="24"/>
      <c r="U23" s="25"/>
      <c r="V23" s="26" t="str">
        <f ca="1">IF(T23="","",IF(StaticData.Today=TODAY(),_xll.BDP(T23,"LAST_PRICE"),_xll.BDH(T23,"LAST_PRICE",StaticData.Today,StaticData.Today)))</f>
        <v/>
      </c>
      <c r="W23" s="27"/>
      <c r="Y23" s="24"/>
      <c r="Z23" s="25"/>
      <c r="AA23" s="26" t="str">
        <f ca="1">IF(Y23="","",IF(StaticData.Today=TODAY(),_xll.BDP(Y23,"LAST_PRICE"),_xll.BDH(Y23,"LAST_PRICE",StaticData.Today,StaticData.Today)))</f>
        <v/>
      </c>
      <c r="AB23" s="27"/>
      <c r="AD23" s="24"/>
      <c r="AE23" s="25"/>
      <c r="AF23" s="26" t="str">
        <f ca="1">IF(AD23="","",IF(StaticData.Today=TODAY(),_xll.BDP(AD23,"LAST_PRICE"),_xll.BDH(AD23,"LAST_PRICE",StaticData.Today,StaticData.Today)))</f>
        <v/>
      </c>
      <c r="AG23" s="27"/>
    </row>
    <row r="24" spans="2:33" x14ac:dyDescent="0.25">
      <c r="G24" s="24" t="s">
        <v>484</v>
      </c>
      <c r="H24" s="25" t="s">
        <v>349</v>
      </c>
      <c r="I24" s="26">
        <f ca="1">IF(G24="","",IF(StaticData.Today=TODAY(),_xll.BDP(G24,"LAST_PRICE"),_xll.BDH(G24,"LAST_PRICE",StaticData.Today,StaticData.Today)))</f>
        <v>0.47</v>
      </c>
      <c r="J24" s="17">
        <f t="shared" ca="1" si="1"/>
        <v>4.6999999999999993E-3</v>
      </c>
      <c r="L24" s="24" t="str">
        <f>"USSWAP7"&amp;$L$2&amp;" Curncy"</f>
        <v>USSWAP7 PREB Curncy</v>
      </c>
      <c r="M24" s="25" t="s">
        <v>342</v>
      </c>
      <c r="N24" s="28"/>
      <c r="O24" s="185"/>
      <c r="P24" s="185"/>
      <c r="Q24" s="30">
        <f ca="1">IF(L24="","",IF(StaticData.Today=TODAY(),_xll.BDP(L24,"LAST_PRICE"),_xll.BDH(L24,"LAST_PRICE",StaticData.Today,StaticData.Today)))</f>
        <v>0.47539999999999999</v>
      </c>
      <c r="R24" s="27">
        <f t="shared" ca="1" si="7"/>
        <v>4.7539999999999995E-3</v>
      </c>
      <c r="T24" s="24"/>
      <c r="U24" s="25"/>
      <c r="V24" s="26" t="str">
        <f ca="1">IF(T24="","",IF(StaticData.Today=TODAY(),_xll.BDP(T24,"LAST_PRICE"),_xll.BDH(T24,"LAST_PRICE",StaticData.Today,StaticData.Today)))</f>
        <v/>
      </c>
      <c r="W24" s="27"/>
      <c r="Y24" s="24"/>
      <c r="Z24" s="25"/>
      <c r="AA24" s="26" t="str">
        <f ca="1">IF(Y24="","",IF(StaticData.Today=TODAY(),_xll.BDP(Y24,"LAST_PRICE"),_xll.BDH(Y24,"LAST_PRICE",StaticData.Today,StaticData.Today)))</f>
        <v/>
      </c>
      <c r="AB24" s="27"/>
      <c r="AD24" s="24"/>
      <c r="AE24" s="25"/>
      <c r="AF24" s="26" t="str">
        <f ca="1">IF(AD24="","",IF(StaticData.Today=TODAY(),_xll.BDP(AD24,"LAST_PRICE"),_xll.BDH(AD24,"LAST_PRICE",StaticData.Today,StaticData.Today)))</f>
        <v/>
      </c>
      <c r="AG24" s="27"/>
    </row>
    <row r="25" spans="2:33" x14ac:dyDescent="0.25">
      <c r="G25" s="24" t="s">
        <v>487</v>
      </c>
      <c r="H25" s="25" t="s">
        <v>374</v>
      </c>
      <c r="I25" s="26">
        <f ca="1">IF(G25="","",IF(StaticData.Today=TODAY(),_xll.BDP(G25,"LAST_PRICE"),_xll.BDH(G25,"LAST_PRICE",StaticData.Today,StaticData.Today)))</f>
        <v>0.77800000000000002</v>
      </c>
      <c r="J25" s="17">
        <f t="shared" ca="1" si="1"/>
        <v>7.7800000000000005E-3</v>
      </c>
      <c r="L25" s="24" t="str">
        <f>"USSWAP8"&amp;$L$2&amp;" Curncy"</f>
        <v>USSWAP8 PREB Curncy</v>
      </c>
      <c r="M25" s="25" t="s">
        <v>355</v>
      </c>
      <c r="N25" s="28"/>
      <c r="O25" s="185"/>
      <c r="P25" s="185"/>
      <c r="Q25" s="30">
        <f ca="1">IF(L25="","",IF(StaticData.Today=TODAY(),_xll.BDP(L25,"LAST_PRICE"),_xll.BDH(L25,"LAST_PRICE",StaticData.Today,StaticData.Today)))</f>
        <v>0.54549999999999998</v>
      </c>
      <c r="R25" s="27">
        <f t="shared" ca="1" si="7"/>
        <v>5.4549999999999998E-3</v>
      </c>
      <c r="T25" s="24"/>
      <c r="U25" s="25"/>
      <c r="V25" s="26" t="str">
        <f ca="1">IF(T25="","",IF(StaticData.Today=TODAY(),_xll.BDP(T25,"LAST_PRICE"),_xll.BDH(T25,"LAST_PRICE",StaticData.Today,StaticData.Today)))</f>
        <v/>
      </c>
      <c r="W25" s="27"/>
      <c r="Y25" s="24"/>
      <c r="Z25" s="25"/>
      <c r="AA25" s="26" t="str">
        <f ca="1">IF(Y25="","",IF(StaticData.Today=TODAY(),_xll.BDP(Y25,"LAST_PRICE"),_xll.BDH(Y25,"LAST_PRICE",StaticData.Today,StaticData.Today)))</f>
        <v/>
      </c>
      <c r="AB25" s="27"/>
      <c r="AD25" s="24"/>
      <c r="AE25" s="25"/>
      <c r="AF25" s="26" t="str">
        <f ca="1">IF(AD25="","",IF(StaticData.Today=TODAY(),_xll.BDP(AD25,"LAST_PRICE"),_xll.BDH(AD25,"LAST_PRICE",StaticData.Today,StaticData.Today)))</f>
        <v/>
      </c>
      <c r="AG25" s="27"/>
    </row>
    <row r="26" spans="2:33" x14ac:dyDescent="0.25">
      <c r="G26" s="24" t="s">
        <v>485</v>
      </c>
      <c r="H26" s="25" t="s">
        <v>389</v>
      </c>
      <c r="I26" s="26">
        <f ca="1">IF(G26="","",IF(StaticData.Today=TODAY(),_xll.BDP(G26,"LAST_PRICE"),_xll.BDH(G26,"LAST_PRICE",StaticData.Today,StaticData.Today)))</f>
        <v>0.82899999999999996</v>
      </c>
      <c r="J26" s="17">
        <f t="shared" ca="1" si="1"/>
        <v>8.2899999999999988E-3</v>
      </c>
      <c r="L26" s="24" t="str">
        <f>"USSWAP9"&amp;$L$2&amp;" Curncy"</f>
        <v>USSWAP9 PREB Curncy</v>
      </c>
      <c r="M26" s="25" t="s">
        <v>364</v>
      </c>
      <c r="N26" s="28"/>
      <c r="O26" s="185"/>
      <c r="P26" s="185"/>
      <c r="Q26" s="30">
        <f ca="1">IF(L26="","",IF(StaticData.Today=TODAY(),_xll.BDP(L26,"LAST_PRICE"),_xll.BDH(L26,"LAST_PRICE",StaticData.Today,StaticData.Today)))</f>
        <v>0.61370000000000002</v>
      </c>
      <c r="R26" s="27">
        <f t="shared" ca="1" si="7"/>
        <v>6.1370000000000001E-3</v>
      </c>
      <c r="T26" s="24"/>
      <c r="U26" s="25"/>
      <c r="V26" s="26" t="str">
        <f ca="1">IF(T26="","",IF(StaticData.Today=TODAY(),_xll.BDP(T26,"LAST_PRICE"),_xll.BDH(T26,"LAST_PRICE",StaticData.Today,StaticData.Today)))</f>
        <v/>
      </c>
      <c r="W26" s="27"/>
      <c r="Y26" s="24"/>
      <c r="Z26" s="25"/>
      <c r="AA26" s="26" t="str">
        <f ca="1">IF(Y26="","",IF(StaticData.Today=TODAY(),_xll.BDP(Y26,"LAST_PRICE"),_xll.BDH(Y26,"LAST_PRICE",StaticData.Today,StaticData.Today)))</f>
        <v/>
      </c>
      <c r="AB26" s="27"/>
      <c r="AD26" s="24"/>
      <c r="AE26" s="25"/>
      <c r="AF26" s="26" t="str">
        <f ca="1">IF(AD26="","",IF(StaticData.Today=TODAY(),_xll.BDP(AD26,"LAST_PRICE"),_xll.BDH(AD26,"LAST_PRICE",StaticData.Today,StaticData.Today)))</f>
        <v/>
      </c>
      <c r="AG26" s="27"/>
    </row>
    <row r="27" spans="2:33" x14ac:dyDescent="0.25">
      <c r="G27" s="24" t="s">
        <v>404</v>
      </c>
      <c r="H27" s="25" t="s">
        <v>47</v>
      </c>
      <c r="I27" s="26">
        <f ca="1">IF(G27="","",IF(StaticData.Today=TODAY(),_xll.BDP(G27,"LAST_PRICE"),_xll.BDH(G27,"LAST_PRICE",StaticData.Today,StaticData.Today)))</f>
        <v>18.4375</v>
      </c>
      <c r="J27" s="27">
        <f ca="1">I27/10000</f>
        <v>1.8437499999999999E-3</v>
      </c>
      <c r="L27" s="24" t="str">
        <f>"USSWAP10"&amp;$L$2&amp;" Curncy"</f>
        <v>USSWAP10 PREB Curncy</v>
      </c>
      <c r="M27" s="25" t="s">
        <v>349</v>
      </c>
      <c r="N27" s="28"/>
      <c r="O27" s="185"/>
      <c r="P27" s="185"/>
      <c r="Q27" s="30">
        <f ca="1">IF(L27="","",IF(StaticData.Today=TODAY(),_xll.BDP(L27,"LAST_PRICE"),_xll.BDH(L27,"LAST_PRICE",StaticData.Today,StaticData.Today)))</f>
        <v>0.67469999999999997</v>
      </c>
      <c r="R27" s="27">
        <f t="shared" ca="1" si="7"/>
        <v>6.7469999999999995E-3</v>
      </c>
      <c r="T27" s="24"/>
      <c r="U27" s="25"/>
      <c r="V27" s="26" t="str">
        <f ca="1">IF(T27="","",IF(StaticData.Today=TODAY(),_xll.BDP(T27,"LAST_PRICE"),_xll.BDH(T27,"LAST_PRICE",StaticData.Today,StaticData.Today)))</f>
        <v/>
      </c>
      <c r="W27" s="27"/>
      <c r="Y27" s="24"/>
      <c r="Z27" s="25"/>
      <c r="AA27" s="26" t="str">
        <f ca="1">IF(Y27="","",IF(StaticData.Today=TODAY(),_xll.BDP(Y27,"LAST_PRICE"),_xll.BDH(Y27,"LAST_PRICE",StaticData.Today,StaticData.Today)))</f>
        <v/>
      </c>
      <c r="AB27" s="27"/>
      <c r="AD27" s="24"/>
      <c r="AE27" s="25"/>
      <c r="AF27" s="26" t="str">
        <f ca="1">IF(AD27="","",IF(StaticData.Today=TODAY(),_xll.BDP(AD27,"LAST_PRICE"),_xll.BDH(AD27,"LAST_PRICE",StaticData.Today,StaticData.Today)))</f>
        <v/>
      </c>
      <c r="AG27" s="27"/>
    </row>
    <row r="28" spans="2:33" x14ac:dyDescent="0.25">
      <c r="G28" s="24" t="s">
        <v>405</v>
      </c>
      <c r="H28" s="25" t="s">
        <v>308</v>
      </c>
      <c r="I28" s="26">
        <f ca="1">IF(G28="","",IF(StaticData.Today=TODAY(),_xll.BDP(G28,"LAST_PRICE"),_xll.BDH(G28,"LAST_PRICE",StaticData.Today,StaticData.Today)))</f>
        <v>19.0625</v>
      </c>
      <c r="J28" s="27">
        <f t="shared" ref="J28:J38" ca="1" si="8">I28/10000</f>
        <v>1.90625E-3</v>
      </c>
      <c r="L28" s="24" t="str">
        <f>"USSWAP12"&amp;$L$2&amp;" Curncy"</f>
        <v>USSWAP12 PREB Curncy</v>
      </c>
      <c r="M28" s="25" t="s">
        <v>358</v>
      </c>
      <c r="N28" s="28"/>
      <c r="O28" s="185"/>
      <c r="P28" s="185"/>
      <c r="Q28" s="30">
        <f ca="1">IF(L28="","",IF(StaticData.Today=TODAY(),_xll.BDP(L28,"LAST_PRICE"),_xll.BDH(L28,"LAST_PRICE",StaticData.Today,StaticData.Today)))</f>
        <v>0.77480000000000004</v>
      </c>
      <c r="R28" s="27">
        <f t="shared" ca="1" si="7"/>
        <v>7.7480000000000005E-3</v>
      </c>
      <c r="T28" s="24"/>
      <c r="U28" s="25"/>
      <c r="V28" s="26" t="str">
        <f ca="1">IF(T28="","",IF(StaticData.Today=TODAY(),_xll.BDP(T28,"LAST_PRICE"),_xll.BDH(T28,"LAST_PRICE",StaticData.Today,StaticData.Today)))</f>
        <v/>
      </c>
      <c r="W28" s="27"/>
      <c r="Y28" s="24"/>
      <c r="Z28" s="25"/>
      <c r="AA28" s="26" t="str">
        <f ca="1">IF(Y28="","",IF(StaticData.Today=TODAY(),_xll.BDP(Y28,"LAST_PRICE"),_xll.BDH(Y28,"LAST_PRICE",StaticData.Today,StaticData.Today)))</f>
        <v/>
      </c>
      <c r="AB28" s="27"/>
      <c r="AD28" s="24"/>
      <c r="AE28" s="25"/>
      <c r="AF28" s="26" t="str">
        <f ca="1">IF(AD28="","",IF(StaticData.Today=TODAY(),_xll.BDP(AD28,"LAST_PRICE"),_xll.BDH(AD28,"LAST_PRICE",StaticData.Today,StaticData.Today)))</f>
        <v/>
      </c>
      <c r="AG28" s="27"/>
    </row>
    <row r="29" spans="2:33" x14ac:dyDescent="0.25">
      <c r="G29" s="24" t="s">
        <v>406</v>
      </c>
      <c r="H29" s="25" t="s">
        <v>316</v>
      </c>
      <c r="I29" s="26">
        <f ca="1">IF(G29="","",IF(StaticData.Today=TODAY(),_xll.BDP(G29,"LAST_PRICE"),_xll.BDH(G29,"LAST_PRICE",StaticData.Today,StaticData.Today)))</f>
        <v>19.625</v>
      </c>
      <c r="J29" s="27">
        <f t="shared" ca="1" si="8"/>
        <v>1.9624999999999998E-3</v>
      </c>
      <c r="L29" s="24" t="str">
        <f>"USSWAP15"&amp;$L$2&amp;" Curncy"</f>
        <v>USSWAP15 PREB Curncy</v>
      </c>
      <c r="M29" s="25" t="s">
        <v>367</v>
      </c>
      <c r="N29" s="28"/>
      <c r="O29" s="185"/>
      <c r="P29" s="185"/>
      <c r="Q29" s="30">
        <f ca="1">IF(L29="","",IF(StaticData.Today=TODAY(),_xll.BDP(L29,"LAST_PRICE"),_xll.BDH(L29,"LAST_PRICE",StaticData.Today,StaticData.Today)))</f>
        <v>0.87619999999999998</v>
      </c>
      <c r="R29" s="27">
        <f t="shared" ca="1" si="7"/>
        <v>8.761999999999999E-3</v>
      </c>
      <c r="T29" s="24"/>
      <c r="U29" s="25"/>
      <c r="V29" s="26" t="str">
        <f ca="1">IF(T29="","",IF(StaticData.Today=TODAY(),_xll.BDP(T29,"LAST_PRICE"),_xll.BDH(T29,"LAST_PRICE",StaticData.Today,StaticData.Today)))</f>
        <v/>
      </c>
      <c r="W29" s="27"/>
      <c r="Y29" s="24"/>
      <c r="Z29" s="25"/>
      <c r="AA29" s="26" t="str">
        <f ca="1">IF(Y29="","",IF(StaticData.Today=TODAY(),_xll.BDP(Y29,"LAST_PRICE"),_xll.BDH(Y29,"LAST_PRICE",StaticData.Today,StaticData.Today)))</f>
        <v/>
      </c>
      <c r="AB29" s="27"/>
      <c r="AD29" s="24"/>
      <c r="AE29" s="25"/>
      <c r="AF29" s="26" t="str">
        <f ca="1">IF(AD29="","",IF(StaticData.Today=TODAY(),_xll.BDP(AD29,"LAST_PRICE"),_xll.BDH(AD29,"LAST_PRICE",StaticData.Today,StaticData.Today)))</f>
        <v/>
      </c>
      <c r="AG29" s="27"/>
    </row>
    <row r="30" spans="2:33" x14ac:dyDescent="0.25">
      <c r="G30" s="24" t="s">
        <v>408</v>
      </c>
      <c r="H30" s="25" t="s">
        <v>324</v>
      </c>
      <c r="I30" s="26">
        <f ca="1">IF(G30="","",IF(StaticData.Today=TODAY(),_xll.BDP(G30,"LAST_PRICE"),_xll.BDH(G30,"LAST_PRICE",StaticData.Today,StaticData.Today)))</f>
        <v>19.75</v>
      </c>
      <c r="J30" s="27">
        <f t="shared" ca="1" si="8"/>
        <v>1.9750000000000002E-3</v>
      </c>
      <c r="L30" s="24" t="str">
        <f>"USSWAP20"&amp;$L$2&amp;" Curncy"</f>
        <v>USSWAP20 PREB Curncy</v>
      </c>
      <c r="M30" s="25" t="s">
        <v>374</v>
      </c>
      <c r="N30" s="28"/>
      <c r="O30" s="185"/>
      <c r="P30" s="185"/>
      <c r="Q30" s="30">
        <f ca="1">IF(L30="","",IF(StaticData.Today=TODAY(),_xll.BDP(L30,"LAST_PRICE"),_xll.BDH(L30,"LAST_PRICE",StaticData.Today,StaticData.Today)))</f>
        <v>0.97819999999999996</v>
      </c>
      <c r="R30" s="27">
        <f t="shared" ca="1" si="7"/>
        <v>9.781999999999999E-3</v>
      </c>
      <c r="T30" s="24"/>
      <c r="U30" s="25"/>
      <c r="V30" s="26" t="str">
        <f ca="1">IF(T30="","",IF(StaticData.Today=TODAY(),_xll.BDP(T30,"LAST_PRICE"),_xll.BDH(T30,"LAST_PRICE",StaticData.Today,StaticData.Today)))</f>
        <v/>
      </c>
      <c r="W30" s="27"/>
      <c r="Y30" s="24"/>
      <c r="Z30" s="25"/>
      <c r="AA30" s="26" t="str">
        <f ca="1">IF(Y30="","",IF(StaticData.Today=TODAY(),_xll.BDP(Y30,"LAST_PRICE"),_xll.BDH(Y30,"LAST_PRICE",StaticData.Today,StaticData.Today)))</f>
        <v/>
      </c>
      <c r="AB30" s="27"/>
      <c r="AD30" s="24"/>
      <c r="AE30" s="25"/>
      <c r="AF30" s="26" t="str">
        <f ca="1">IF(AD30="","",IF(StaticData.Today=TODAY(),_xll.BDP(AD30,"LAST_PRICE"),_xll.BDH(AD30,"LAST_PRICE",StaticData.Today,StaticData.Today)))</f>
        <v/>
      </c>
      <c r="AG30" s="27"/>
    </row>
    <row r="31" spans="2:33" x14ac:dyDescent="0.25">
      <c r="G31" s="24" t="s">
        <v>410</v>
      </c>
      <c r="H31" s="25" t="s">
        <v>331</v>
      </c>
      <c r="I31" s="26">
        <f ca="1">IF(G31="","",IF(StaticData.Today=TODAY(),_xll.BDP(G31,"LAST_PRICE"),_xll.BDH(G31,"LAST_PRICE",StaticData.Today,StaticData.Today)))</f>
        <v>19.5</v>
      </c>
      <c r="J31" s="27">
        <f t="shared" ca="1" si="8"/>
        <v>1.9499999999999999E-3</v>
      </c>
      <c r="L31" s="24" t="str">
        <f>"USSWAP30"&amp;$L$2&amp;" Curncy"</f>
        <v>USSWAP30 PREB Curncy</v>
      </c>
      <c r="M31" s="25" t="s">
        <v>389</v>
      </c>
      <c r="N31" s="28"/>
      <c r="O31" s="185"/>
      <c r="P31" s="185"/>
      <c r="Q31" s="30">
        <f ca="1">IF(L31="","",IF(StaticData.Today=TODAY(),_xll.BDP(L31,"LAST_PRICE"),_xll.BDH(L31,"LAST_PRICE",StaticData.Today,StaticData.Today)))</f>
        <v>1.0302</v>
      </c>
      <c r="R31" s="27">
        <f t="shared" ca="1" si="7"/>
        <v>1.0302E-2</v>
      </c>
      <c r="T31" s="24"/>
      <c r="U31" s="25"/>
      <c r="V31" s="26" t="str">
        <f ca="1">IF(T31="","",IF(StaticData.Today=TODAY(),_xll.BDP(T31,"LAST_PRICE"),_xll.BDH(T31,"LAST_PRICE",StaticData.Today,StaticData.Today)))</f>
        <v/>
      </c>
      <c r="W31" s="27"/>
      <c r="Y31" s="24"/>
      <c r="Z31" s="25"/>
      <c r="AA31" s="26" t="str">
        <f ca="1">IF(Y31="","",IF(StaticData.Today=TODAY(),_xll.BDP(Y31,"LAST_PRICE"),_xll.BDH(Y31,"LAST_PRICE",StaticData.Today,StaticData.Today)))</f>
        <v/>
      </c>
      <c r="AB31" s="27"/>
      <c r="AD31" s="24"/>
      <c r="AE31" s="25"/>
      <c r="AF31" s="26" t="str">
        <f ca="1">IF(AD31="","",IF(StaticData.Today=TODAY(),_xll.BDP(AD31,"LAST_PRICE"),_xll.BDH(AD31,"LAST_PRICE",StaticData.Today,StaticData.Today)))</f>
        <v/>
      </c>
      <c r="AG31" s="27"/>
    </row>
    <row r="32" spans="2:33" x14ac:dyDescent="0.25">
      <c r="G32" s="24" t="s">
        <v>412</v>
      </c>
      <c r="H32" s="25" t="s">
        <v>342</v>
      </c>
      <c r="I32" s="26">
        <f ca="1">IF(G32="","",IF(StaticData.Today=TODAY(),_xll.BDP(G32,"LAST_PRICE"),_xll.BDH(G32,"LAST_PRICE",StaticData.Today,StaticData.Today)))</f>
        <v>19.75</v>
      </c>
      <c r="J32" s="27">
        <f t="shared" ca="1" si="8"/>
        <v>1.9750000000000002E-3</v>
      </c>
      <c r="L32" s="24"/>
      <c r="M32" s="25"/>
      <c r="N32" s="28"/>
      <c r="O32" s="29"/>
      <c r="P32" s="29"/>
      <c r="Q32" s="30"/>
      <c r="R32" s="27"/>
      <c r="T32" s="24"/>
      <c r="U32" s="25"/>
      <c r="V32" s="26" t="str">
        <f ca="1">IF(T32="","",IF(StaticData.Today=TODAY(),_xll.BDP(T32,"LAST_PRICE"),_xll.BDH(T32,"LAST_PRICE",StaticData.Today,StaticData.Today)))</f>
        <v/>
      </c>
      <c r="W32" s="27"/>
      <c r="Y32" s="24"/>
      <c r="Z32" s="25"/>
      <c r="AA32" s="26" t="str">
        <f ca="1">IF(Y32="","",IF(StaticData.Today=TODAY(),_xll.BDP(Y32,"LAST_PRICE"),_xll.BDH(Y32,"LAST_PRICE",StaticData.Today,StaticData.Today)))</f>
        <v/>
      </c>
      <c r="AB32" s="27"/>
      <c r="AD32" s="24"/>
      <c r="AE32" s="25"/>
      <c r="AF32" s="26" t="str">
        <f ca="1">IF(AD32="","",IF(StaticData.Today=TODAY(),_xll.BDP(AD32,"LAST_PRICE"),_xll.BDH(AD32,"LAST_PRICE",StaticData.Today,StaticData.Today)))</f>
        <v/>
      </c>
      <c r="AG32" s="27"/>
    </row>
    <row r="33" spans="7:33" x14ac:dyDescent="0.25">
      <c r="G33" s="24" t="s">
        <v>414</v>
      </c>
      <c r="H33" s="25" t="s">
        <v>349</v>
      </c>
      <c r="I33" s="26">
        <f ca="1">IF(G33="","",IF(StaticData.Today=TODAY(),_xll.BDP(G33,"LAST_PRICE"),_xll.BDH(G33,"LAST_PRICE",StaticData.Today,StaticData.Today)))</f>
        <v>19.75</v>
      </c>
      <c r="J33" s="27">
        <f t="shared" ca="1" si="8"/>
        <v>1.9750000000000002E-3</v>
      </c>
      <c r="L33" s="24"/>
      <c r="M33" s="25"/>
      <c r="N33" s="28"/>
      <c r="O33" s="29"/>
      <c r="P33" s="29"/>
      <c r="Q33" s="30"/>
      <c r="R33" s="27"/>
      <c r="T33" s="24"/>
      <c r="U33" s="25"/>
      <c r="V33" s="26" t="str">
        <f ca="1">IF(T33="","",IF(StaticData.Today=TODAY(),_xll.BDP(T33,"LAST_PRICE"),_xll.BDH(T33,"LAST_PRICE",StaticData.Today,StaticData.Today)))</f>
        <v/>
      </c>
      <c r="W33" s="27"/>
      <c r="Y33" s="24"/>
      <c r="Z33" s="25"/>
      <c r="AA33" s="26" t="str">
        <f ca="1">IF(Y33="","",IF(StaticData.Today=TODAY(),_xll.BDP(Y33,"LAST_PRICE"),_xll.BDH(Y33,"LAST_PRICE",StaticData.Today,StaticData.Today)))</f>
        <v/>
      </c>
      <c r="AB33" s="27"/>
      <c r="AD33" s="24"/>
      <c r="AE33" s="25"/>
      <c r="AF33" s="26" t="str">
        <f ca="1">IF(AD33="","",IF(StaticData.Today=TODAY(),_xll.BDP(AD33,"LAST_PRICE"),_xll.BDH(AD33,"LAST_PRICE",StaticData.Today,StaticData.Today)))</f>
        <v/>
      </c>
      <c r="AG33" s="27"/>
    </row>
    <row r="34" spans="7:33" x14ac:dyDescent="0.25">
      <c r="G34" s="24" t="s">
        <v>416</v>
      </c>
      <c r="H34" s="25" t="s">
        <v>358</v>
      </c>
      <c r="I34" s="26">
        <f ca="1">IF(G34="","",IF(StaticData.Today=TODAY(),_xll.BDP(G34,"LAST_PRICE"),_xll.BDH(G34,"LAST_PRICE",StaticData.Today,StaticData.Today)))</f>
        <v>19.625</v>
      </c>
      <c r="J34" s="27">
        <f t="shared" ca="1" si="8"/>
        <v>1.9624999999999998E-3</v>
      </c>
      <c r="L34" s="24"/>
      <c r="M34" s="25"/>
      <c r="N34" s="28"/>
      <c r="O34" s="29"/>
      <c r="P34" s="29"/>
      <c r="Q34" s="30"/>
      <c r="R34" s="27"/>
      <c r="T34" s="24"/>
      <c r="U34" s="25"/>
      <c r="V34" s="26" t="str">
        <f ca="1">IF(T34="","",IF(StaticData.Today=TODAY(),_xll.BDP(T34,"LAST_PRICE"),_xll.BDH(T34,"LAST_PRICE",StaticData.Today,StaticData.Today)))</f>
        <v/>
      </c>
      <c r="W34" s="27"/>
      <c r="Y34" s="24"/>
      <c r="Z34" s="25"/>
      <c r="AA34" s="26" t="str">
        <f ca="1">IF(Y34="","",IF(StaticData.Today=TODAY(),_xll.BDP(Y34,"LAST_PRICE"),_xll.BDH(Y34,"LAST_PRICE",StaticData.Today,StaticData.Today)))</f>
        <v/>
      </c>
      <c r="AB34" s="27"/>
      <c r="AD34" s="24"/>
      <c r="AE34" s="25"/>
      <c r="AF34" s="26" t="str">
        <f ca="1">IF(AD34="","",IF(StaticData.Today=TODAY(),_xll.BDP(AD34,"LAST_PRICE"),_xll.BDH(AD34,"LAST_PRICE",StaticData.Today,StaticData.Today)))</f>
        <v/>
      </c>
      <c r="AG34" s="27"/>
    </row>
    <row r="35" spans="7:33" x14ac:dyDescent="0.25">
      <c r="G35" s="24" t="s">
        <v>418</v>
      </c>
      <c r="H35" s="25" t="s">
        <v>367</v>
      </c>
      <c r="I35" s="26">
        <f ca="1">IF(G35="","",IF(StaticData.Today=TODAY(),_xll.BDP(G35,"LAST_PRICE"),_xll.BDH(G35,"LAST_PRICE",StaticData.Today,StaticData.Today)))</f>
        <v>19.375</v>
      </c>
      <c r="J35" s="27">
        <f t="shared" ca="1" si="8"/>
        <v>1.9375E-3</v>
      </c>
      <c r="L35" s="24"/>
      <c r="M35" s="25"/>
      <c r="N35" s="28"/>
      <c r="O35" s="29"/>
      <c r="P35" s="29"/>
      <c r="Q35" s="30"/>
      <c r="R35" s="27"/>
      <c r="T35" s="24"/>
      <c r="U35" s="25"/>
      <c r="V35" s="26" t="str">
        <f ca="1">IF(T35="","",IF(StaticData.Today=TODAY(),_xll.BDP(T35,"LAST_PRICE"),_xll.BDH(T35,"LAST_PRICE",StaticData.Today,StaticData.Today)))</f>
        <v/>
      </c>
      <c r="W35" s="27"/>
      <c r="Y35" s="24"/>
      <c r="Z35" s="25"/>
      <c r="AA35" s="26" t="str">
        <f ca="1">IF(Y35="","",IF(StaticData.Today=TODAY(),_xll.BDP(Y35,"LAST_PRICE"),_xll.BDH(Y35,"LAST_PRICE",StaticData.Today,StaticData.Today)))</f>
        <v/>
      </c>
      <c r="AB35" s="27"/>
      <c r="AD35" s="24"/>
      <c r="AE35" s="25"/>
      <c r="AF35" s="26" t="str">
        <f ca="1">IF(AD35="","",IF(StaticData.Today=TODAY(),_xll.BDP(AD35,"LAST_PRICE"),_xll.BDH(AD35,"LAST_PRICE",StaticData.Today,StaticData.Today)))</f>
        <v/>
      </c>
      <c r="AG35" s="27"/>
    </row>
    <row r="36" spans="7:33" x14ac:dyDescent="0.25">
      <c r="G36" s="24" t="s">
        <v>419</v>
      </c>
      <c r="H36" s="25" t="s">
        <v>374</v>
      </c>
      <c r="I36" s="26">
        <f ca="1">IF(G36="","",IF(StaticData.Today=TODAY(),_xll.BDP(G36,"LAST_PRICE"),_xll.BDH(G36,"LAST_PRICE",StaticData.Today,StaticData.Today)))</f>
        <v>19.1875</v>
      </c>
      <c r="J36" s="27">
        <f t="shared" ca="1" si="8"/>
        <v>1.9187500000000001E-3</v>
      </c>
      <c r="L36" s="24"/>
      <c r="M36" s="25"/>
      <c r="N36" s="28"/>
      <c r="O36" s="29"/>
      <c r="P36" s="29"/>
      <c r="Q36" s="30"/>
      <c r="R36" s="27"/>
      <c r="T36" s="24"/>
      <c r="U36" s="25"/>
      <c r="V36" s="26" t="str">
        <f ca="1">IF(T36="","",IF(StaticData.Today=TODAY(),_xll.BDP(T36,"LAST_PRICE"),_xll.BDH(T36,"LAST_PRICE",StaticData.Today,StaticData.Today)))</f>
        <v/>
      </c>
      <c r="W36" s="27"/>
      <c r="Y36" s="24"/>
      <c r="Z36" s="25"/>
      <c r="AA36" s="26" t="str">
        <f ca="1">IF(Y36="","",IF(StaticData.Today=TODAY(),_xll.BDP(Y36,"LAST_PRICE"),_xll.BDH(Y36,"LAST_PRICE",StaticData.Today,StaticData.Today)))</f>
        <v/>
      </c>
      <c r="AB36" s="27"/>
      <c r="AD36" s="24"/>
      <c r="AE36" s="25"/>
      <c r="AF36" s="26" t="str">
        <f ca="1">IF(AD36="","",IF(StaticData.Today=TODAY(),_xll.BDP(AD36,"LAST_PRICE"),_xll.BDH(AD36,"LAST_PRICE",StaticData.Today,StaticData.Today)))</f>
        <v/>
      </c>
      <c r="AG36" s="27"/>
    </row>
    <row r="37" spans="7:33" x14ac:dyDescent="0.25">
      <c r="G37" s="24" t="s">
        <v>420</v>
      </c>
      <c r="H37" s="25" t="s">
        <v>382</v>
      </c>
      <c r="I37" s="26">
        <f ca="1">IF(G37="","",IF(StaticData.Today=TODAY(),_xll.BDP(G37,"LAST_PRICE"),_xll.BDH(G37,"LAST_PRICE",StaticData.Today,StaticData.Today)))</f>
        <v>18.920000000000002</v>
      </c>
      <c r="J37" s="27">
        <f t="shared" ca="1" si="8"/>
        <v>1.8920000000000002E-3</v>
      </c>
      <c r="K37" s="37"/>
      <c r="L37" s="24"/>
      <c r="M37" s="25"/>
      <c r="N37" s="28"/>
      <c r="O37" s="29"/>
      <c r="P37" s="29"/>
      <c r="Q37" s="30"/>
      <c r="R37" s="27"/>
      <c r="T37" s="24"/>
      <c r="U37" s="25"/>
      <c r="V37" s="26" t="str">
        <f ca="1">IF(T37="","",IF(StaticData.Today=TODAY(),_xll.BDP(T37,"LAST_PRICE"),_xll.BDH(T37,"LAST_PRICE",StaticData.Today,StaticData.Today)))</f>
        <v/>
      </c>
      <c r="W37" s="27"/>
      <c r="Y37" s="24"/>
      <c r="Z37" s="25"/>
      <c r="AA37" s="26" t="str">
        <f ca="1">IF(Y37="","",IF(StaticData.Today=TODAY(),_xll.BDP(Y37,"LAST_PRICE"),_xll.BDH(Y37,"LAST_PRICE",StaticData.Today,StaticData.Today)))</f>
        <v/>
      </c>
      <c r="AB37" s="27"/>
      <c r="AD37" s="24"/>
      <c r="AE37" s="25"/>
      <c r="AF37" s="26" t="str">
        <f ca="1">IF(AD37="","",IF(StaticData.Today=TODAY(),_xll.BDP(AD37,"LAST_PRICE"),_xll.BDH(AD37,"LAST_PRICE",StaticData.Today,StaticData.Today)))</f>
        <v/>
      </c>
      <c r="AG37" s="27"/>
    </row>
    <row r="38" spans="7:33" x14ac:dyDescent="0.25">
      <c r="G38" s="24" t="s">
        <v>421</v>
      </c>
      <c r="H38" s="25" t="s">
        <v>389</v>
      </c>
      <c r="I38" s="26">
        <f ca="1">IF(G38="","",IF(StaticData.Today=TODAY(),_xll.BDP(G38,"LAST_PRICE"),_xll.BDH(G38,"LAST_PRICE",StaticData.Today,StaticData.Today)))</f>
        <v>19</v>
      </c>
      <c r="J38" s="27">
        <f t="shared" ca="1" si="8"/>
        <v>1.9E-3</v>
      </c>
      <c r="K38" s="37"/>
      <c r="L38" s="24"/>
      <c r="M38" s="25"/>
      <c r="N38" s="28"/>
      <c r="O38" s="29"/>
      <c r="P38" s="29"/>
      <c r="Q38" s="30"/>
      <c r="R38" s="27"/>
      <c r="T38" s="24"/>
      <c r="U38" s="25"/>
      <c r="V38" s="26" t="str">
        <f ca="1">IF(T38="","",IF(StaticData.Today=TODAY(),_xll.BDP(T38,"LAST_PRICE"),_xll.BDH(T38,"LAST_PRICE",StaticData.Today,StaticData.Today)))</f>
        <v/>
      </c>
      <c r="W38" s="27"/>
      <c r="Y38" s="24"/>
      <c r="Z38" s="25"/>
      <c r="AA38" s="26" t="str">
        <f ca="1">IF(Y38="","",IF(StaticData.Today=TODAY(),_xll.BDP(Y38,"LAST_PRICE"),_xll.BDH(Y38,"LAST_PRICE",StaticData.Today,StaticData.Today)))</f>
        <v/>
      </c>
      <c r="AB38" s="27"/>
      <c r="AD38" s="24"/>
      <c r="AE38" s="25"/>
      <c r="AF38" s="26" t="str">
        <f ca="1">IF(AD38="","",IF(StaticData.Today=TODAY(),_xll.BDP(AD38,"LAST_PRICE"),_xll.BDH(AD38,"LAST_PRICE",StaticData.Today,StaticData.Today)))</f>
        <v/>
      </c>
      <c r="AG38" s="27"/>
    </row>
    <row r="39" spans="7:33" x14ac:dyDescent="0.25">
      <c r="G39" s="24" t="s">
        <v>422</v>
      </c>
      <c r="H39" s="25" t="s">
        <v>47</v>
      </c>
      <c r="I39" s="26">
        <f ca="1">IF(G39="","",IF(StaticData.Today=TODAY(),_xll.BDP(G39,"LAST_PRICE"),_xll.BDH(G39,"LAST_PRICE",StaticData.Today,StaticData.Today)))</f>
        <v>0.24129999999999999</v>
      </c>
      <c r="J39" s="27">
        <f ca="1">I39/100</f>
        <v>2.4129999999999998E-3</v>
      </c>
      <c r="L39" s="24"/>
      <c r="M39" s="25"/>
      <c r="N39" s="28"/>
      <c r="O39" s="29"/>
      <c r="P39" s="29"/>
      <c r="Q39" s="30"/>
      <c r="R39" s="27"/>
      <c r="T39" s="24"/>
      <c r="U39" s="25"/>
      <c r="V39" s="26" t="str">
        <f ca="1">IF(T39="","",IF(StaticData.Today=TODAY(),_xll.BDP(T39,"LAST_PRICE"),_xll.BDH(T39,"LAST_PRICE",StaticData.Today,StaticData.Today)))</f>
        <v/>
      </c>
      <c r="W39" s="27"/>
      <c r="Y39" s="24"/>
      <c r="Z39" s="25"/>
      <c r="AA39" s="26" t="str">
        <f ca="1">IF(Y39="","",IF(StaticData.Today=TODAY(),_xll.BDP(Y39,"LAST_PRICE"),_xll.BDH(Y39,"LAST_PRICE",StaticData.Today,StaticData.Today)))</f>
        <v/>
      </c>
      <c r="AB39" s="27"/>
      <c r="AD39" s="24"/>
      <c r="AE39" s="25"/>
      <c r="AF39" s="26" t="str">
        <f ca="1">IF(AD39="","",IF(StaticData.Today=TODAY(),_xll.BDP(AD39,"LAST_PRICE"),_xll.BDH(AD39,"LAST_PRICE",StaticData.Today,StaticData.Today)))</f>
        <v/>
      </c>
      <c r="AG39" s="27"/>
    </row>
    <row r="40" spans="7:33" x14ac:dyDescent="0.25">
      <c r="G40" s="24" t="s">
        <v>423</v>
      </c>
      <c r="H40" s="25" t="s">
        <v>308</v>
      </c>
      <c r="I40" s="26">
        <f ca="1">IF(G40="","",IF(StaticData.Today=TODAY(),_xll.BDP(G40,"LAST_PRICE"),_xll.BDH(G40,"LAST_PRICE",StaticData.Today,StaticData.Today)))</f>
        <v>0.2286</v>
      </c>
      <c r="J40" s="27">
        <f t="shared" ref="J40:J49" ca="1" si="9">I40/100</f>
        <v>2.2859999999999998E-3</v>
      </c>
      <c r="L40" s="24"/>
      <c r="M40" s="25"/>
      <c r="N40" s="28"/>
      <c r="O40" s="29"/>
      <c r="P40" s="29"/>
      <c r="Q40" s="30"/>
      <c r="R40" s="27"/>
      <c r="T40" s="24"/>
      <c r="U40" s="25"/>
      <c r="V40" s="26" t="str">
        <f ca="1">IF(T40="","",IF(StaticData.Today=TODAY(),_xll.BDP(T40,"LAST_PRICE"),_xll.BDH(T40,"LAST_PRICE",StaticData.Today,StaticData.Today)))</f>
        <v/>
      </c>
      <c r="W40" s="27"/>
      <c r="Y40" s="24"/>
      <c r="Z40" s="25"/>
      <c r="AA40" s="26" t="str">
        <f ca="1">IF(Y40="","",IF(StaticData.Today=TODAY(),_xll.BDP(Y40,"LAST_PRICE"),_xll.BDH(Y40,"LAST_PRICE",StaticData.Today,StaticData.Today)))</f>
        <v/>
      </c>
      <c r="AB40" s="27"/>
      <c r="AD40" s="24"/>
      <c r="AE40" s="25"/>
      <c r="AF40" s="26" t="str">
        <f ca="1">IF(AD40="","",IF(StaticData.Today=TODAY(),_xll.BDP(AD40,"LAST_PRICE"),_xll.BDH(AD40,"LAST_PRICE",StaticData.Today,StaticData.Today)))</f>
        <v/>
      </c>
      <c r="AG40" s="27"/>
    </row>
    <row r="41" spans="7:33" x14ac:dyDescent="0.25">
      <c r="G41" s="24" t="s">
        <v>391</v>
      </c>
      <c r="H41" s="25" t="s">
        <v>316</v>
      </c>
      <c r="I41" s="26">
        <f ca="1">IF(G41="","",IF(StaticData.Today=TODAY(),_xll.BDP(G41,"LAST_PRICE"),_xll.BDH(G41,"LAST_PRICE",StaticData.Today,StaticData.Today)))</f>
        <v>0.2404</v>
      </c>
      <c r="J41" s="27">
        <f t="shared" ca="1" si="9"/>
        <v>2.4039999999999999E-3</v>
      </c>
      <c r="L41" s="24"/>
      <c r="M41" s="25"/>
      <c r="N41" s="28"/>
      <c r="O41" s="29"/>
      <c r="P41" s="29"/>
      <c r="Q41" s="30"/>
      <c r="R41" s="27"/>
      <c r="T41" s="24"/>
      <c r="U41" s="25"/>
      <c r="V41" s="26" t="str">
        <f ca="1">IF(T41="","",IF(StaticData.Today=TODAY(),_xll.BDP(T41,"LAST_PRICE"),_xll.BDH(T41,"LAST_PRICE",StaticData.Today,StaticData.Today)))</f>
        <v/>
      </c>
      <c r="W41" s="27"/>
      <c r="Y41" s="24"/>
      <c r="Z41" s="25"/>
      <c r="AA41" s="26" t="str">
        <f ca="1">IF(Y41="","",IF(StaticData.Today=TODAY(),_xll.BDP(Y41,"LAST_PRICE"),_xll.BDH(Y41,"LAST_PRICE",StaticData.Today,StaticData.Today)))</f>
        <v/>
      </c>
      <c r="AB41" s="27"/>
      <c r="AD41" s="24"/>
      <c r="AE41" s="25"/>
      <c r="AF41" s="26" t="str">
        <f ca="1">IF(AD41="","",IF(StaticData.Today=TODAY(),_xll.BDP(AD41,"LAST_PRICE"),_xll.BDH(AD41,"LAST_PRICE",StaticData.Today,StaticData.Today)))</f>
        <v/>
      </c>
      <c r="AG41" s="27"/>
    </row>
    <row r="42" spans="7:33" x14ac:dyDescent="0.25">
      <c r="G42" s="24" t="s">
        <v>395</v>
      </c>
      <c r="H42" s="25" t="s">
        <v>324</v>
      </c>
      <c r="I42" s="26">
        <f ca="1">IF(G42="","",IF(StaticData.Today=TODAY(),_xll.BDP(G42,"LAST_PRICE"),_xll.BDH(G42,"LAST_PRICE",StaticData.Today,StaticData.Today)))</f>
        <v>0.27360000000000001</v>
      </c>
      <c r="J42" s="27">
        <f t="shared" ca="1" si="9"/>
        <v>2.7360000000000002E-3</v>
      </c>
      <c r="L42" s="24"/>
      <c r="M42" s="25"/>
      <c r="N42" s="28"/>
      <c r="O42" s="29"/>
      <c r="P42" s="29"/>
      <c r="Q42" s="30"/>
      <c r="R42" s="27"/>
      <c r="T42" s="24"/>
      <c r="U42" s="25"/>
      <c r="V42" s="26" t="str">
        <f ca="1">IF(T42="","",IF(StaticData.Today=TODAY(),_xll.BDP(T42,"LAST_PRICE"),_xll.BDH(T42,"LAST_PRICE",StaticData.Today,StaticData.Today)))</f>
        <v/>
      </c>
      <c r="W42" s="27"/>
      <c r="Y42" s="24"/>
      <c r="Z42" s="25"/>
      <c r="AA42" s="26" t="str">
        <f ca="1">IF(Y42="","",IF(StaticData.Today=TODAY(),_xll.BDP(Y42,"LAST_PRICE"),_xll.BDH(Y42,"LAST_PRICE",StaticData.Today,StaticData.Today)))</f>
        <v/>
      </c>
      <c r="AB42" s="27"/>
      <c r="AD42" s="24"/>
      <c r="AE42" s="25"/>
      <c r="AF42" s="26" t="str">
        <f ca="1">IF(AD42="","",IF(StaticData.Today=TODAY(),_xll.BDP(AD42,"LAST_PRICE"),_xll.BDH(AD42,"LAST_PRICE",StaticData.Today,StaticData.Today)))</f>
        <v/>
      </c>
      <c r="AG42" s="27"/>
    </row>
    <row r="43" spans="7:33" x14ac:dyDescent="0.25">
      <c r="G43" s="24" t="s">
        <v>399</v>
      </c>
      <c r="H43" s="25" t="s">
        <v>331</v>
      </c>
      <c r="I43" s="26">
        <f ca="1">IF(G43="","",IF(StaticData.Today=TODAY(),_xll.BDP(G43,"LAST_PRICE"),_xll.BDH(G43,"LAST_PRICE",StaticData.Today,StaticData.Today)))</f>
        <v>0.33</v>
      </c>
      <c r="J43" s="27">
        <f t="shared" ca="1" si="9"/>
        <v>3.3E-3</v>
      </c>
      <c r="L43" s="24"/>
      <c r="M43" s="25"/>
      <c r="N43" s="28"/>
      <c r="O43" s="29"/>
      <c r="P43" s="29"/>
      <c r="Q43" s="30"/>
      <c r="R43" s="27"/>
      <c r="T43" s="24"/>
      <c r="U43" s="25"/>
      <c r="V43" s="26" t="str">
        <f ca="1">IF(T43="","",IF(StaticData.Today=TODAY(),_xll.BDP(T43,"LAST_PRICE"),_xll.BDH(T43,"LAST_PRICE",StaticData.Today,StaticData.Today)))</f>
        <v/>
      </c>
      <c r="W43" s="27"/>
      <c r="Y43" s="24"/>
      <c r="Z43" s="25"/>
      <c r="AA43" s="26" t="str">
        <f ca="1">IF(Y43="","",IF(StaticData.Today=TODAY(),_xll.BDP(Y43,"LAST_PRICE"),_xll.BDH(Y43,"LAST_PRICE",StaticData.Today,StaticData.Today)))</f>
        <v/>
      </c>
      <c r="AB43" s="27"/>
      <c r="AD43" s="24"/>
      <c r="AE43" s="25"/>
      <c r="AF43" s="26" t="str">
        <f ca="1">IF(AD43="","",IF(StaticData.Today=TODAY(),_xll.BDP(AD43,"LAST_PRICE"),_xll.BDH(AD43,"LAST_PRICE",StaticData.Today,StaticData.Today)))</f>
        <v/>
      </c>
      <c r="AG43" s="27"/>
    </row>
    <row r="44" spans="7:33" x14ac:dyDescent="0.25">
      <c r="G44" s="24" t="s">
        <v>403</v>
      </c>
      <c r="H44" s="25" t="s">
        <v>342</v>
      </c>
      <c r="I44" s="26">
        <f ca="1">IF(G44="","",IF(StaticData.Today=TODAY(),_xll.BDP(G44,"LAST_PRICE"),_xll.BDH(G44,"LAST_PRICE",StaticData.Today,StaticData.Today)))</f>
        <v>0.4743</v>
      </c>
      <c r="J44" s="27">
        <f t="shared" ca="1" si="9"/>
        <v>4.7429999999999998E-3</v>
      </c>
      <c r="L44" s="24"/>
      <c r="M44" s="25"/>
      <c r="N44" s="28"/>
      <c r="O44" s="29"/>
      <c r="P44" s="29"/>
      <c r="Q44" s="30"/>
      <c r="R44" s="27"/>
      <c r="T44" s="24"/>
      <c r="U44" s="25"/>
      <c r="V44" s="26" t="str">
        <f ca="1">IF(T44="","",IF(StaticData.Today=TODAY(),_xll.BDP(T44,"LAST_PRICE"),_xll.BDH(T44,"LAST_PRICE",StaticData.Today,StaticData.Today)))</f>
        <v/>
      </c>
      <c r="W44" s="27"/>
      <c r="Y44" s="24"/>
      <c r="Z44" s="25"/>
      <c r="AA44" s="26" t="str">
        <f ca="1">IF(Y44="","",IF(StaticData.Today=TODAY(),_xll.BDP(Y44,"LAST_PRICE"),_xll.BDH(Y44,"LAST_PRICE",StaticData.Today,StaticData.Today)))</f>
        <v/>
      </c>
      <c r="AB44" s="27"/>
      <c r="AD44" s="24"/>
      <c r="AE44" s="25"/>
      <c r="AF44" s="26" t="str">
        <f ca="1">IF(AD44="","",IF(StaticData.Today=TODAY(),_xll.BDP(AD44,"LAST_PRICE"),_xll.BDH(AD44,"LAST_PRICE",StaticData.Today,StaticData.Today)))</f>
        <v/>
      </c>
      <c r="AG44" s="27"/>
    </row>
    <row r="45" spans="7:33" x14ac:dyDescent="0.25">
      <c r="G45" s="24" t="s">
        <v>407</v>
      </c>
      <c r="H45" s="25" t="s">
        <v>349</v>
      </c>
      <c r="I45" s="26">
        <f ca="1">IF(G45="","",IF(StaticData.Today=TODAY(),_xll.BDP(G45,"LAST_PRICE"),_xll.BDH(G45,"LAST_PRICE",StaticData.Today,StaticData.Today)))</f>
        <v>0.67520000000000002</v>
      </c>
      <c r="J45" s="27">
        <f t="shared" ca="1" si="9"/>
        <v>6.7520000000000002E-3</v>
      </c>
      <c r="L45" s="24"/>
      <c r="M45" s="25"/>
      <c r="N45" s="28"/>
      <c r="O45" s="29"/>
      <c r="P45" s="29"/>
      <c r="Q45" s="30"/>
      <c r="R45" s="27"/>
      <c r="T45" s="24"/>
      <c r="U45" s="25"/>
      <c r="V45" s="26" t="str">
        <f ca="1">IF(T45="","",IF(StaticData.Today=TODAY(),_xll.BDP(T45,"LAST_PRICE"),_xll.BDH(T45,"LAST_PRICE",StaticData.Today,StaticData.Today)))</f>
        <v/>
      </c>
      <c r="W45" s="27"/>
      <c r="Y45" s="24"/>
      <c r="Z45" s="25"/>
      <c r="AA45" s="26" t="str">
        <f ca="1">IF(Y45="","",IF(StaticData.Today=TODAY(),_xll.BDP(Y45,"LAST_PRICE"),_xll.BDH(Y45,"LAST_PRICE",StaticData.Today,StaticData.Today)))</f>
        <v/>
      </c>
      <c r="AB45" s="27"/>
      <c r="AD45" s="24"/>
      <c r="AE45" s="25"/>
      <c r="AF45" s="26" t="str">
        <f ca="1">IF(AD45="","",IF(StaticData.Today=TODAY(),_xll.BDP(AD45,"LAST_PRICE"),_xll.BDH(AD45,"LAST_PRICE",StaticData.Today,StaticData.Today)))</f>
        <v/>
      </c>
      <c r="AG45" s="27"/>
    </row>
    <row r="46" spans="7:33" x14ac:dyDescent="0.25">
      <c r="G46" s="24" t="s">
        <v>409</v>
      </c>
      <c r="H46" s="25" t="s">
        <v>358</v>
      </c>
      <c r="I46" s="26">
        <f ca="1">IF(G46="","",IF(StaticData.Today=TODAY(),_xll.BDP(G46,"LAST_PRICE"),_xll.BDH(G46,"LAST_PRICE",StaticData.Today,StaticData.Today)))</f>
        <v>0.77400000000000002</v>
      </c>
      <c r="J46" s="27">
        <f t="shared" ca="1" si="9"/>
        <v>7.7400000000000004E-3</v>
      </c>
      <c r="L46" s="24"/>
      <c r="M46" s="25"/>
      <c r="N46" s="28"/>
      <c r="O46" s="29"/>
      <c r="P46" s="29"/>
      <c r="Q46" s="30"/>
      <c r="R46" s="27"/>
      <c r="T46" s="24"/>
      <c r="U46" s="25"/>
      <c r="V46" s="26" t="str">
        <f ca="1">IF(T46="","",IF(StaticData.Today=TODAY(),_xll.BDP(T46,"LAST_PRICE"),_xll.BDH(T46,"LAST_PRICE",StaticData.Today,StaticData.Today)))</f>
        <v/>
      </c>
      <c r="W46" s="27"/>
      <c r="Y46" s="24"/>
      <c r="Z46" s="25"/>
      <c r="AA46" s="26" t="str">
        <f ca="1">IF(Y46="","",IF(StaticData.Today=TODAY(),_xll.BDP(Y46,"LAST_PRICE"),_xll.BDH(Y46,"LAST_PRICE",StaticData.Today,StaticData.Today)))</f>
        <v/>
      </c>
      <c r="AB46" s="27"/>
      <c r="AD46" s="24"/>
      <c r="AE46" s="25"/>
      <c r="AF46" s="26" t="str">
        <f ca="1">IF(AD46="","",IF(StaticData.Today=TODAY(),_xll.BDP(AD46,"LAST_PRICE"),_xll.BDH(AD46,"LAST_PRICE",StaticData.Today,StaticData.Today)))</f>
        <v/>
      </c>
      <c r="AG46" s="27"/>
    </row>
    <row r="47" spans="7:33" x14ac:dyDescent="0.25">
      <c r="G47" s="24" t="s">
        <v>411</v>
      </c>
      <c r="H47" s="25" t="s">
        <v>367</v>
      </c>
      <c r="I47" s="26">
        <f ca="1">IF(G47="","",IF(StaticData.Today=TODAY(),_xll.BDP(G47,"LAST_PRICE"),_xll.BDH(G47,"LAST_PRICE",StaticData.Today,StaticData.Today)))</f>
        <v>0.87529999999999997</v>
      </c>
      <c r="J47" s="27">
        <f t="shared" ca="1" si="9"/>
        <v>8.7530000000000004E-3</v>
      </c>
      <c r="L47" s="24"/>
      <c r="M47" s="25"/>
      <c r="N47" s="28"/>
      <c r="O47" s="29"/>
      <c r="P47" s="29"/>
      <c r="Q47" s="30"/>
      <c r="R47" s="27"/>
      <c r="T47" s="24"/>
      <c r="U47" s="25"/>
      <c r="V47" s="26" t="str">
        <f ca="1">IF(T47="","",IF(StaticData.Today=TODAY(),_xll.BDP(T47,"LAST_PRICE"),_xll.BDH(T47,"LAST_PRICE",StaticData.Today,StaticData.Today)))</f>
        <v/>
      </c>
      <c r="W47" s="27"/>
      <c r="Y47" s="24"/>
      <c r="Z47" s="25"/>
      <c r="AA47" s="26" t="str">
        <f ca="1">IF(Y47="","",IF(StaticData.Today=TODAY(),_xll.BDP(Y47,"LAST_PRICE"),_xll.BDH(Y47,"LAST_PRICE",StaticData.Today,StaticData.Today)))</f>
        <v/>
      </c>
      <c r="AB47" s="27"/>
      <c r="AD47" s="24"/>
      <c r="AE47" s="25"/>
      <c r="AF47" s="26" t="str">
        <f ca="1">IF(AD47="","",IF(StaticData.Today=TODAY(),_xll.BDP(AD47,"LAST_PRICE"),_xll.BDH(AD47,"LAST_PRICE",StaticData.Today,StaticData.Today)))</f>
        <v/>
      </c>
      <c r="AG47" s="27"/>
    </row>
    <row r="48" spans="7:33" x14ac:dyDescent="0.25">
      <c r="G48" s="24" t="s">
        <v>413</v>
      </c>
      <c r="H48" s="25" t="s">
        <v>374</v>
      </c>
      <c r="I48" s="26">
        <f ca="1">IF(G48="","",IF(StaticData.Today=TODAY(),_xll.BDP(G48,"LAST_PRICE"),_xll.BDH(G48,"LAST_PRICE",StaticData.Today,StaticData.Today)))</f>
        <v>0.97570000000000001</v>
      </c>
      <c r="J48" s="27">
        <f t="shared" ca="1" si="9"/>
        <v>9.757E-3</v>
      </c>
      <c r="L48" s="24"/>
      <c r="M48" s="25"/>
      <c r="N48" s="28"/>
      <c r="O48" s="29"/>
      <c r="P48" s="29"/>
      <c r="Q48" s="30"/>
      <c r="R48" s="27"/>
      <c r="T48" s="38"/>
      <c r="U48" s="39"/>
      <c r="V48" s="40" t="str">
        <f ca="1">IF(T48="","",IF(StaticData.Today=TODAY(),_xll.BDP(T48,"LAST_PRICE"),_xll.BDH(T48,"LAST_PRICE",StaticData.Today,StaticData.Today)))</f>
        <v/>
      </c>
      <c r="W48" s="41"/>
      <c r="Y48" s="38"/>
      <c r="Z48" s="39"/>
      <c r="AA48" s="40" t="str">
        <f ca="1">IF(Y48="","",IF(StaticData.Today=TODAY(),_xll.BDP(Y48,"LAST_PRICE"),_xll.BDH(Y48,"LAST_PRICE",StaticData.Today,StaticData.Today)))</f>
        <v/>
      </c>
      <c r="AB48" s="41"/>
      <c r="AD48" s="38"/>
      <c r="AE48" s="39"/>
      <c r="AF48" s="40" t="str">
        <f ca="1">IF(AD48="","",IF(StaticData.Today=TODAY(),_xll.BDP(AD48,"LAST_PRICE"),_xll.BDH(AD48,"LAST_PRICE",StaticData.Today,StaticData.Today)))</f>
        <v/>
      </c>
      <c r="AG48" s="41"/>
    </row>
    <row r="49" spans="7:18" x14ac:dyDescent="0.25">
      <c r="G49" s="24" t="s">
        <v>415</v>
      </c>
      <c r="H49" s="25" t="s">
        <v>382</v>
      </c>
      <c r="I49" s="26">
        <f ca="1">IF(G49="","",IF(StaticData.Today=TODAY(),_xll.BDP(G49,"LAST_PRICE"),_xll.BDH(G49,"LAST_PRICE",StaticData.Today,StaticData.Today)))</f>
        <v>1.0141</v>
      </c>
      <c r="J49" s="27">
        <f t="shared" ca="1" si="9"/>
        <v>1.0141000000000001E-2</v>
      </c>
      <c r="L49" s="38"/>
      <c r="M49" s="39"/>
      <c r="N49" s="42"/>
      <c r="O49" s="43"/>
      <c r="P49" s="43"/>
      <c r="Q49" s="44"/>
      <c r="R49" s="41"/>
    </row>
    <row r="50" spans="7:18" x14ac:dyDescent="0.25">
      <c r="G50" s="24" t="s">
        <v>417</v>
      </c>
      <c r="H50" s="25" t="s">
        <v>389</v>
      </c>
      <c r="I50" s="26">
        <f ca="1">IF(G50="","",IF(StaticData.Today=TODAY(),_xll.BDP(G50,"LAST_PRICE"),_xll.BDH(G50,"LAST_PRICE",StaticData.Today,StaticData.Today)))</f>
        <v>1.0302</v>
      </c>
      <c r="J50" s="27">
        <f ca="1">I50/100</f>
        <v>1.0302E-2</v>
      </c>
    </row>
    <row r="51" spans="7:18" x14ac:dyDescent="0.25">
      <c r="G51" s="24" t="s">
        <v>538</v>
      </c>
      <c r="H51" s="39" t="s">
        <v>49</v>
      </c>
      <c r="I51" s="26">
        <f ca="1">IF(G51="","",IF(StaticData.Today=TODAY(),_xll.BDP(G51,"LAST_PRICE"),_xll.BDH(G51,"LAST_PRICE",StaticData.Today,StaticData.Today)))</f>
        <v>17</v>
      </c>
      <c r="J51" s="27">
        <f t="shared" ref="J51:J53" ca="1" si="10">I51/100</f>
        <v>0.17</v>
      </c>
    </row>
    <row r="52" spans="7:18" x14ac:dyDescent="0.25">
      <c r="G52" s="24" t="s">
        <v>540</v>
      </c>
      <c r="H52" s="39" t="s">
        <v>46</v>
      </c>
      <c r="I52" s="26">
        <f ca="1">IF(G52="","",IF(StaticData.Today=TODAY(),_xll.BDP(G52,"LAST_PRICE"),_xll.BDH(G52,"LAST_PRICE",StaticData.Today,StaticData.Today)))</f>
        <v>20.375</v>
      </c>
      <c r="J52" s="27">
        <f t="shared" ca="1" si="10"/>
        <v>0.20374999999999999</v>
      </c>
    </row>
    <row r="53" spans="7:18" x14ac:dyDescent="0.25">
      <c r="G53" s="24" t="s">
        <v>539</v>
      </c>
      <c r="H53" s="25" t="s">
        <v>376</v>
      </c>
      <c r="I53" s="26">
        <f ca="1">IF(G53="","",IF(StaticData.Today=TODAY(),_xll.BDP(G53,"LAST_PRICE"),_xll.BDH(G53,"LAST_PRICE",StaticData.Today,StaticData.Today)))</f>
        <v>19.25</v>
      </c>
      <c r="J53" s="27">
        <f t="shared" ca="1" si="10"/>
        <v>0.1925</v>
      </c>
    </row>
    <row r="97" spans="27:27" x14ac:dyDescent="0.25">
      <c r="AA97" s="6" t="s">
        <v>505</v>
      </c>
    </row>
    <row r="98" spans="27:27" x14ac:dyDescent="0.25">
      <c r="AA98" s="6" t="s">
        <v>510</v>
      </c>
    </row>
    <row r="99" spans="27:27" x14ac:dyDescent="0.25">
      <c r="AA99" s="6" t="s">
        <v>529</v>
      </c>
    </row>
    <row r="100" spans="27:27" x14ac:dyDescent="0.25">
      <c r="AA100" s="6" t="s">
        <v>508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'STATIC DATA'!$C$97:$C$100</xm:f>
          </x14:formula1>
          <xm:sqref>L2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A1:BC100"/>
  <sheetViews>
    <sheetView showGridLines="0" workbookViewId="0"/>
  </sheetViews>
  <sheetFormatPr defaultRowHeight="15" x14ac:dyDescent="0.25"/>
  <cols>
    <col min="1" max="1" width="9.140625" style="6"/>
    <col min="2" max="2" width="15.140625" style="6" bestFit="1" customWidth="1"/>
    <col min="3" max="5" width="12.7109375" style="6" customWidth="1"/>
    <col min="6" max="6" width="9.140625" style="6"/>
    <col min="7" max="7" width="22.7109375" style="6" customWidth="1"/>
    <col min="8" max="8" width="9.140625" style="6"/>
    <col min="9" max="9" width="10.85546875" style="461" bestFit="1" customWidth="1"/>
    <col min="10" max="10" width="10.140625" style="6" bestFit="1" customWidth="1"/>
    <col min="11" max="11" width="62.42578125" style="6" bestFit="1" customWidth="1"/>
    <col min="12" max="13" width="12.7109375" style="6" customWidth="1"/>
    <col min="14" max="14" width="9.140625" style="6"/>
    <col min="15" max="15" width="22.7109375" style="6" customWidth="1"/>
    <col min="16" max="16" width="9.140625" style="6"/>
    <col min="17" max="21" width="12.7109375" style="6" customWidth="1"/>
    <col min="22" max="22" width="9.140625" style="6"/>
    <col min="23" max="23" width="20.140625" style="6" bestFit="1" customWidth="1"/>
    <col min="24" max="24" width="12.7109375" style="6" customWidth="1"/>
    <col min="25" max="25" width="9.28515625" style="6" bestFit="1" customWidth="1"/>
    <col min="26" max="26" width="12.7109375" style="6" customWidth="1"/>
    <col min="27" max="27" width="9.140625" style="6"/>
    <col min="28" max="28" width="20.28515625" style="6" bestFit="1" customWidth="1"/>
    <col min="29" max="31" width="12.7109375" style="6" customWidth="1"/>
    <col min="32" max="32" width="9.140625" style="6"/>
    <col min="33" max="33" width="18.85546875" style="6" bestFit="1" customWidth="1"/>
    <col min="34" max="36" width="12.7109375" style="6" customWidth="1"/>
    <col min="37" max="40" width="9.140625" style="6"/>
    <col min="41" max="41" width="18.28515625" style="6" bestFit="1" customWidth="1"/>
    <col min="42" max="48" width="9.140625" style="6"/>
    <col min="49" max="49" width="22.7109375" style="6" customWidth="1"/>
    <col min="50" max="50" width="9.140625" style="6"/>
    <col min="51" max="53" width="12.7109375" style="6" customWidth="1"/>
    <col min="54" max="54" width="13.28515625" style="6" bestFit="1" customWidth="1"/>
    <col min="55" max="55" width="12.7109375" style="6" customWidth="1"/>
    <col min="56" max="16384" width="9.140625" style="6"/>
  </cols>
  <sheetData>
    <row r="1" spans="1:55" x14ac:dyDescent="0.25">
      <c r="A1" s="6" t="s">
        <v>3</v>
      </c>
      <c r="G1" s="6" t="s">
        <v>528</v>
      </c>
      <c r="AW1" s="6" t="s">
        <v>528</v>
      </c>
    </row>
    <row r="2" spans="1:55" x14ac:dyDescent="0.25">
      <c r="G2" s="7"/>
      <c r="O2" s="6" t="s">
        <v>849</v>
      </c>
      <c r="W2" s="6" t="s">
        <v>528</v>
      </c>
      <c r="AB2" s="6" t="s">
        <v>528</v>
      </c>
      <c r="AG2" s="6" t="s">
        <v>544</v>
      </c>
      <c r="AW2" s="6" t="s">
        <v>510</v>
      </c>
    </row>
    <row r="3" spans="1:55" x14ac:dyDescent="0.25">
      <c r="B3" s="7" t="s">
        <v>278</v>
      </c>
      <c r="C3" s="7"/>
      <c r="D3" s="7"/>
      <c r="E3" s="8" t="s">
        <v>279</v>
      </c>
      <c r="G3" s="2" t="s">
        <v>80</v>
      </c>
      <c r="L3" s="8"/>
      <c r="O3" s="2" t="s">
        <v>850</v>
      </c>
      <c r="T3" s="8" t="s">
        <v>282</v>
      </c>
      <c r="W3" s="2" t="s">
        <v>871</v>
      </c>
      <c r="AB3" s="2" t="s">
        <v>1044</v>
      </c>
      <c r="AG3" s="2" t="s">
        <v>1560</v>
      </c>
      <c r="AO3" s="2" t="s">
        <v>1043</v>
      </c>
      <c r="AW3" s="2" t="s">
        <v>1045</v>
      </c>
      <c r="BB3" s="8" t="s">
        <v>282</v>
      </c>
    </row>
    <row r="4" spans="1:55" x14ac:dyDescent="0.25">
      <c r="B4" s="9" t="b">
        <f ca="1">SUM(C7:C17)=SUM(D7:D17)</f>
        <v>0</v>
      </c>
      <c r="E4" s="10">
        <f ca="1">SUM(E7:E17)</f>
        <v>3</v>
      </c>
    </row>
    <row r="6" spans="1:55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462" t="s">
        <v>1161</v>
      </c>
      <c r="J6" s="8" t="s">
        <v>1162</v>
      </c>
      <c r="K6" s="8" t="s">
        <v>1163</v>
      </c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8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O6" s="8" t="s">
        <v>290</v>
      </c>
      <c r="AP6" s="8" t="s">
        <v>291</v>
      </c>
      <c r="AQ6" s="8" t="s">
        <v>290</v>
      </c>
      <c r="AR6" s="8" t="s">
        <v>502</v>
      </c>
      <c r="AS6" s="8" t="s">
        <v>503</v>
      </c>
      <c r="AT6" s="8" t="s">
        <v>292</v>
      </c>
      <c r="AU6" s="8" t="s">
        <v>293</v>
      </c>
      <c r="AW6" s="8" t="s">
        <v>290</v>
      </c>
      <c r="AX6" s="8" t="s">
        <v>291</v>
      </c>
      <c r="AY6" s="8" t="s">
        <v>290</v>
      </c>
      <c r="AZ6" s="8" t="s">
        <v>502</v>
      </c>
      <c r="BA6" s="8" t="s">
        <v>503</v>
      </c>
      <c r="BB6" s="8" t="s">
        <v>507</v>
      </c>
      <c r="BC6" s="8" t="s">
        <v>293</v>
      </c>
    </row>
    <row r="7" spans="1:55" x14ac:dyDescent="0.25">
      <c r="B7" s="11" t="s">
        <v>296</v>
      </c>
      <c r="C7" s="12">
        <f>COUNTA(G7:G52)</f>
        <v>46</v>
      </c>
      <c r="D7" s="12">
        <f ca="1">COUNT(L7:L52)</f>
        <v>46</v>
      </c>
      <c r="E7" s="13">
        <f t="shared" ref="E7:E12" ca="1" si="0">C7-D7</f>
        <v>0</v>
      </c>
      <c r="G7" s="14" t="str">
        <f>"EONIA"&amp;G1&amp;" Index"</f>
        <v>EONIA ICPL Index</v>
      </c>
      <c r="H7" s="15" t="s">
        <v>298</v>
      </c>
      <c r="I7" s="463"/>
      <c r="J7" s="15"/>
      <c r="K7" s="15"/>
      <c r="L7" s="16">
        <f ca="1">IF(G7="","",IF(StaticData.Today=TODAY(),_xll.BDP(G7,"LAST_PRICE"),_xll.BDH(G7,"LAST_PRICE",'STATIC DATA'!B1)))</f>
        <v>-0.46800000000000003</v>
      </c>
      <c r="M7" s="17">
        <f ca="1">L7/100</f>
        <v>-4.6800000000000001E-3</v>
      </c>
      <c r="O7" s="14" t="s">
        <v>851</v>
      </c>
      <c r="P7" s="15" t="s">
        <v>300</v>
      </c>
      <c r="Q7" s="18"/>
      <c r="R7" s="19"/>
      <c r="S7" s="19"/>
      <c r="T7" s="19">
        <f ca="1">IF(O7="","",IF(StaticData.Today=TODAY(),_xll.BDP(O7,"PX_LAST"),_xll.BDH(O7,"LAST_PRICE",StaticData.Today,StaticData.Today)))</f>
        <v>-0.55228999999999995</v>
      </c>
      <c r="U7" s="17">
        <f ca="1">T7/100</f>
        <v>-5.5228999999999999E-3</v>
      </c>
      <c r="W7" s="14" t="s">
        <v>851</v>
      </c>
      <c r="X7" s="15" t="s">
        <v>300</v>
      </c>
      <c r="Y7" s="341">
        <f ca="1">IF(W7="","",IF(StaticData.Today=TODAY(),_xll.BDP(W7,"PX_LAST"),$L$7+Q48/100))</f>
        <v>-0.55228999999999995</v>
      </c>
      <c r="Z7" s="17">
        <f ca="1">Y7/100</f>
        <v>-5.5228999999999999E-3</v>
      </c>
      <c r="AB7" s="14" t="str">
        <f>W7</f>
        <v>EE0001M Index</v>
      </c>
      <c r="AC7" s="15" t="s">
        <v>300</v>
      </c>
      <c r="AD7" s="16">
        <f ca="1">T7</f>
        <v>-0.55228999999999995</v>
      </c>
      <c r="AE7" s="17">
        <f ca="1">AD7/100</f>
        <v>-5.5228999999999999E-3</v>
      </c>
      <c r="AG7" s="14" t="s">
        <v>1545</v>
      </c>
      <c r="AH7" s="15" t="s">
        <v>47</v>
      </c>
      <c r="AI7" s="26">
        <f ca="1">IF(AG7="","",IF(StaticData.Today=TODAY(),_xll.BDP(AG7,"LAST_PRICE"),_xll.BDH(AG7,"LAST_PRICE",StaticData.Today,StaticData.Today)))</f>
        <v>3.9</v>
      </c>
      <c r="AJ7" s="17">
        <f ca="1">AI7/10000</f>
        <v>3.8999999999999999E-4</v>
      </c>
      <c r="AO7" s="24" t="s">
        <v>900</v>
      </c>
      <c r="AP7" s="25" t="s">
        <v>49</v>
      </c>
      <c r="AQ7" s="25"/>
      <c r="AR7" s="29">
        <f ca="1">IF(AO7="","",IF(StaticData.Today=TODAY(),_xll.BDP(AO7,"BID"),_xll.BDH(AO7,"BID",StaticData.Today,StaticData.Today)))</f>
        <v>-11.75</v>
      </c>
      <c r="AS7" s="29">
        <f ca="1">IF(AO7="","",IF(StaticData.Today=TODAY(),_xll.BDP(AO7,"ASK"),_xll.BDH(AO7,"ASK",StaticData.Today,StaticData.Today)))</f>
        <v>-1.75</v>
      </c>
      <c r="AT7" s="6">
        <f ca="1">IF(AO7="","",IF(StaticData.Today=TODAY(),_xll.BDP(AO7,"LAST_PRICE"),_xll.BDH(AO7,"LAST_PRICE",StaticData.Today,StaticData.Today)))</f>
        <v>-6.75</v>
      </c>
      <c r="AU7" s="6">
        <f ca="1">AT7</f>
        <v>-6.75</v>
      </c>
      <c r="AW7" s="24" t="s">
        <v>918</v>
      </c>
      <c r="AX7" s="15"/>
      <c r="AY7" s="18"/>
      <c r="AZ7" s="19">
        <f ca="1">IF(AW7="","",IF(StaticData.Today=TODAY(),_xll.BDP(AW7,"BID"),_xll.BDH(AW7,"BID",StaticData.Today,StaticData.Today)))</f>
        <v>1.1760999999999999</v>
      </c>
      <c r="BA7" s="19">
        <f ca="1">IF(AW7="","",IF(StaticData.Today=TODAY(),_xll.BDP(AW7,"ASK"),_xll.BDH(AW7,"ASK",StaticData.Today,StaticData.Today)))</f>
        <v>1.1760999999999999</v>
      </c>
      <c r="BB7" s="179"/>
      <c r="BC7" s="180"/>
    </row>
    <row r="8" spans="1:55" x14ac:dyDescent="0.25">
      <c r="B8" s="21" t="s">
        <v>281</v>
      </c>
      <c r="C8" s="22">
        <f>COUNTA(O7:O48)</f>
        <v>28</v>
      </c>
      <c r="D8" s="22">
        <f ca="1">COUNT(T7:T48)</f>
        <v>28</v>
      </c>
      <c r="E8" s="23">
        <f t="shared" ca="1" si="0"/>
        <v>0</v>
      </c>
      <c r="G8" s="24" t="str">
        <f>"EUSF1A"&amp;$G$1&amp;" Curncy"</f>
        <v>EUSF1A ICPL Curncy</v>
      </c>
      <c r="H8" s="25" t="s">
        <v>844</v>
      </c>
      <c r="I8" s="505">
        <f ca="1">_xll.meDateECB(StaticData.Today,TRUE)</f>
        <v>44084</v>
      </c>
      <c r="J8" s="465">
        <f ca="1">_xll.meDateECBSwapStart(I8)</f>
        <v>44090</v>
      </c>
      <c r="K8" s="465">
        <f ca="1">_xll.meDateECBSwapEnd(I8)</f>
        <v>44138</v>
      </c>
      <c r="L8" s="26">
        <f ca="1">IF(G8="","",IF(StaticData.Today=TODAY(),_xll.BDP(G8,"LAST_PRICE"),_xll.BDH(G8,"LAST_PRICE",StaticData.Today,StaticData.Today)))</f>
        <v>-0.47699999999999998</v>
      </c>
      <c r="M8" s="27">
        <f t="shared" ref="M8:M43" ca="1" si="1">L8/100</f>
        <v>-4.7699999999999999E-3</v>
      </c>
      <c r="O8" s="24" t="s">
        <v>852</v>
      </c>
      <c r="P8" s="25" t="s">
        <v>49</v>
      </c>
      <c r="Q8" s="28"/>
      <c r="R8" s="29"/>
      <c r="S8" s="29"/>
      <c r="T8" s="29">
        <f ca="1">IF(O8="","",IF(StaticData.Today=TODAY(),_xll.BDP(O8,"PX_LAST"),_xll.BDH(O8,"LAST_PRICE",StaticData.Today,StaticData.Today)))</f>
        <v>-0.51614000000000004</v>
      </c>
      <c r="U8" s="27">
        <f ca="1">T8/100</f>
        <v>-5.1614E-3</v>
      </c>
      <c r="W8" s="24" t="s">
        <v>852</v>
      </c>
      <c r="X8" s="25" t="s">
        <v>49</v>
      </c>
      <c r="Y8" s="341">
        <f ca="1">IF(W8="","",IF(StaticData.Today=TODAY(),_xll.BDP(W8,"PX_LAST"),$L$7+Q49/100))</f>
        <v>-0.51614000000000004</v>
      </c>
      <c r="Z8" s="27">
        <f t="shared" ref="Z8:Z37" ca="1" si="2">Y8/100</f>
        <v>-5.1614E-3</v>
      </c>
      <c r="AB8" s="24" t="s">
        <v>1521</v>
      </c>
      <c r="AC8" s="25" t="s">
        <v>49</v>
      </c>
      <c r="AD8" s="26" t="str">
        <f ca="1">IF(AB8="","",IF(StaticData.Today=TODAY(),_xll.BDP(AB8,"LAST_PRICE"),_xll.BDH(AB8,"LAST_PRICE",StaticData.Today,StaticData.Today)))</f>
        <v>#N/A Invalid Security</v>
      </c>
      <c r="AE8" s="27"/>
      <c r="AG8" s="14" t="s">
        <v>1546</v>
      </c>
      <c r="AH8" s="25" t="s">
        <v>308</v>
      </c>
      <c r="AI8" s="26">
        <f ca="1">IF(AG8="","",IF(StaticData.Today=TODAY(),_xll.BDP(AG8,"LAST_PRICE"),_xll.BDH(AG8,"LAST_PRICE",StaticData.Today,StaticData.Today)))</f>
        <v>4.7249999999999996</v>
      </c>
      <c r="AJ8" s="17">
        <f t="shared" ref="AJ8:AJ21" ca="1" si="3">AI8/10000</f>
        <v>4.7249999999999994E-4</v>
      </c>
      <c r="AO8" s="24" t="s">
        <v>901</v>
      </c>
      <c r="AP8" s="25" t="s">
        <v>46</v>
      </c>
      <c r="AQ8" s="25"/>
      <c r="AR8" s="29">
        <f ca="1">IF(AO8="","",IF(StaticData.Today=TODAY(),_xll.BDP(AO8,"BID"),_xll.BDH(AO8,"BID",StaticData.Today,StaticData.Today)))</f>
        <v>-17.75</v>
      </c>
      <c r="AS8" s="29">
        <f ca="1">IF(AO8="","",IF(StaticData.Today=TODAY(),_xll.BDP(AO8,"ASK"),_xll.BDH(AO8,"ASK",StaticData.Today,StaticData.Today)))</f>
        <v>-7.75</v>
      </c>
      <c r="AT8" s="6">
        <f ca="1">IF(AO8="","",IF(StaticData.Today=TODAY(),_xll.BDP(AO8,"LAST_PRICE"),_xll.BDH(AO8,"LAST_PRICE",StaticData.Today,StaticData.Today)))</f>
        <v>-12.75</v>
      </c>
      <c r="AU8" s="6">
        <f t="shared" ref="AU8:AU25" ca="1" si="4">AT8</f>
        <v>-12.75</v>
      </c>
      <c r="AW8" s="24" t="s">
        <v>888</v>
      </c>
      <c r="AX8" s="25" t="s">
        <v>298</v>
      </c>
      <c r="AY8" s="28"/>
      <c r="AZ8" s="29">
        <f ca="1">IF(AW8="","",IF(StaticData.Today=TODAY(),_xll.BDP(AW8,"BID"),_xll.BDH(AW8,"BID",StaticData.Today,StaticData.Today)))</f>
        <v>0.20100000000000001</v>
      </c>
      <c r="BA8" s="29">
        <f ca="1">IF(AW8="","",IF(StaticData.Today=TODAY(),_xll.BDP(AW8,"ASK"),_xll.BDH(AW8,"ASK",StaticData.Today,StaticData.Today)))</f>
        <v>0.26</v>
      </c>
      <c r="BB8" s="178">
        <f ca="1">IF(AW8="","",IF(StaticData.Today=TODAY(),_xll.BDP(AW8,"PX_LAST"),_xll.BDH(AW8,"PX_LAST",StaticData.Today,StaticData.Today)))</f>
        <v>0.23400000000000001</v>
      </c>
      <c r="BC8" s="33">
        <f ca="1">BB8</f>
        <v>0.23400000000000001</v>
      </c>
    </row>
    <row r="9" spans="1:55" x14ac:dyDescent="0.25">
      <c r="B9" s="21" t="s">
        <v>311</v>
      </c>
      <c r="C9" s="22">
        <f>COUNTA(O11:O18)*2</f>
        <v>16</v>
      </c>
      <c r="D9" s="22">
        <f>COUNT(R11:S18)</f>
        <v>16</v>
      </c>
      <c r="E9" s="23">
        <f t="shared" si="0"/>
        <v>0</v>
      </c>
      <c r="G9" s="24" t="str">
        <f>"EUSF2A"&amp;$G$1&amp;" Curncy"</f>
        <v>EUSF2A ICPL Curncy</v>
      </c>
      <c r="H9" s="25" t="s">
        <v>845</v>
      </c>
      <c r="I9" s="465">
        <f ca="1">_xll.meDateECB(I8,TRUE)</f>
        <v>44133</v>
      </c>
      <c r="J9" s="465">
        <f ca="1">_xll.meDateECBSwapStart(I9)</f>
        <v>44139</v>
      </c>
      <c r="K9" s="465">
        <f ca="1">_xll.meDateECBSwapEnd(I9)</f>
        <v>44180</v>
      </c>
      <c r="L9" s="26">
        <f ca="1">IF(G9="","",IF(StaticData.Today=TODAY(),_xll.BDP(G9,"LAST_PRICE"),_xll.BDH(G9,"LAST_PRICE",StaticData.Today,StaticData.Today)))</f>
        <v>-0.48299999999999998</v>
      </c>
      <c r="M9" s="27">
        <f t="shared" ca="1" si="1"/>
        <v>-4.8300000000000001E-3</v>
      </c>
      <c r="O9" s="24" t="s">
        <v>853</v>
      </c>
      <c r="P9" s="25" t="s">
        <v>46</v>
      </c>
      <c r="Q9" s="28"/>
      <c r="R9" s="29"/>
      <c r="S9" s="29"/>
      <c r="T9" s="29">
        <f ca="1">IF(O9="","",IF(StaticData.Today=TODAY(),_xll.BDP(O9,"PX_LAST"),_xll.BDH(O9,"LAST_PRICE",StaticData.Today,StaticData.Today)))</f>
        <v>-0.49770999999999999</v>
      </c>
      <c r="U9" s="27">
        <f ca="1">T9/100</f>
        <v>-4.9770999999999999E-3</v>
      </c>
      <c r="W9" s="24" t="s">
        <v>853</v>
      </c>
      <c r="X9" s="25" t="s">
        <v>46</v>
      </c>
      <c r="Y9" s="341">
        <f ca="1">IF(W9="","",IF(StaticData.Today=TODAY(),_xll.BDP(W9,"PX_LAST"),$L$7+Q50/100))</f>
        <v>-0.49770999999999999</v>
      </c>
      <c r="Z9" s="27">
        <f t="shared" ca="1" si="2"/>
        <v>-4.9770999999999999E-3</v>
      </c>
      <c r="AB9" s="24"/>
      <c r="AC9" s="25" t="s">
        <v>46</v>
      </c>
      <c r="AD9" s="26" t="str">
        <f ca="1">IF(AB9="","",IF(StaticData.Today=TODAY(),_xll.BDP(AB9,"LAST_PRICE"),_xll.BDH(AB9,"LAST_PRICE",StaticData.Today,StaticData.Today)))</f>
        <v/>
      </c>
      <c r="AE9" s="27"/>
      <c r="AG9" s="14" t="s">
        <v>1547</v>
      </c>
      <c r="AH9" s="25" t="s">
        <v>316</v>
      </c>
      <c r="AI9" s="26">
        <f ca="1">IF(AG9="","",IF(StaticData.Today=TODAY(),_xll.BDP(AG9,"LAST_PRICE"),_xll.BDH(AG9,"LAST_PRICE",StaticData.Today,StaticData.Today)))</f>
        <v>5.15</v>
      </c>
      <c r="AJ9" s="17">
        <f t="shared" ca="1" si="3"/>
        <v>5.1500000000000005E-4</v>
      </c>
      <c r="AO9" s="24" t="s">
        <v>902</v>
      </c>
      <c r="AP9" s="25" t="s">
        <v>376</v>
      </c>
      <c r="AQ9" s="25"/>
      <c r="AR9" s="29">
        <f ca="1">IF(AO9="","",IF(StaticData.Today=TODAY(),_xll.BDP(AO9,"BID"),_xll.BDH(AO9,"BID",StaticData.Today,StaticData.Today)))</f>
        <v>-16.125</v>
      </c>
      <c r="AS9" s="29">
        <f ca="1">IF(AO9="","",IF(StaticData.Today=TODAY(),_xll.BDP(AO9,"ASK"),_xll.BDH(AO9,"ASK",StaticData.Today,StaticData.Today)))</f>
        <v>-6.125</v>
      </c>
      <c r="AT9" s="6">
        <f ca="1">IF(AO9="","",IF(StaticData.Today=TODAY(),_xll.BDP(AO9,"LAST_PRICE"),_xll.BDH(AO9,"LAST_PRICE",StaticData.Today,StaticData.Today)))</f>
        <v>-11.125</v>
      </c>
      <c r="AU9" s="6">
        <f t="shared" ca="1" si="4"/>
        <v>-11.125</v>
      </c>
      <c r="AW9" s="24" t="s">
        <v>889</v>
      </c>
      <c r="AX9" s="25" t="s">
        <v>506</v>
      </c>
      <c r="AY9" s="28"/>
      <c r="AZ9" s="29">
        <f ca="1">IF(AW9="","",IF(StaticData.Today=TODAY(),_xll.BDP(AW9,"BID"),_xll.BDH(AW9,"BID",StaticData.Today,StaticData.Today)))</f>
        <v>0.22</v>
      </c>
      <c r="BA9" s="29">
        <f ca="1">IF(AW9="","",IF(StaticData.Today=TODAY(),_xll.BDP(AW9,"ASK"),_xll.BDH(AW9,"ASK",StaticData.Today,StaticData.Today)))</f>
        <v>0.24</v>
      </c>
      <c r="BB9" s="178">
        <f ca="1">IF(AW9="","",IF(StaticData.Today=TODAY(),_xll.BDP(AW9,"PX_LAST"),_xll.BDH(AW9,"PX_LAST",StaticData.Today,StaticData.Today)))</f>
        <v>0.23799999999999999</v>
      </c>
      <c r="BC9" s="33">
        <f ca="1">BB9</f>
        <v>0.23799999999999999</v>
      </c>
    </row>
    <row r="10" spans="1:55" x14ac:dyDescent="0.25">
      <c r="B10" s="21" t="s">
        <v>283</v>
      </c>
      <c r="C10" s="22">
        <f>COUNTA(W7:W47)</f>
        <v>31</v>
      </c>
      <c r="D10" s="22">
        <f ca="1">COUNT(Y7:Y47)</f>
        <v>31</v>
      </c>
      <c r="E10" s="23">
        <f t="shared" ca="1" si="0"/>
        <v>0</v>
      </c>
      <c r="G10" s="24" t="str">
        <f>"EUSF3A"&amp;$G$1&amp;" Curncy"</f>
        <v>EUSF3A ICPL Curncy</v>
      </c>
      <c r="H10" s="25" t="s">
        <v>846</v>
      </c>
      <c r="I10" s="465">
        <f ca="1">_xll.meDateECB(I9,TRUE)</f>
        <v>44175</v>
      </c>
      <c r="J10" s="465">
        <f ca="1">_xll.meDateECBSwapStart(I10)</f>
        <v>44181</v>
      </c>
      <c r="K10" s="465">
        <f ca="1">_xll.meDateECBSwapEnd(I10)</f>
        <v>44222</v>
      </c>
      <c r="L10" s="26">
        <f ca="1">IF(G10="","",IF(StaticData.Today=TODAY(),_xll.BDP(G10,"LAST_PRICE"),_xll.BDH(G10,"LAST_PRICE",StaticData.Today,StaticData.Today)))</f>
        <v>-0.497</v>
      </c>
      <c r="M10" s="27">
        <f t="shared" ca="1" si="1"/>
        <v>-4.9699999999999996E-3</v>
      </c>
      <c r="O10" s="24" t="s">
        <v>854</v>
      </c>
      <c r="P10" s="25" t="s">
        <v>322</v>
      </c>
      <c r="Q10" s="28"/>
      <c r="R10" s="29"/>
      <c r="S10" s="29"/>
      <c r="T10" s="29">
        <f ca="1">IF(O10="","",IF(StaticData.Today=TODAY(),_xll.BDP(O10,"PX_LAST"),_xll.BDH(O10,"LAST_PRICE",StaticData.Today,StaticData.Today)))</f>
        <v>-0.40699999999999997</v>
      </c>
      <c r="U10" s="27">
        <f ca="1">T10/100</f>
        <v>-4.0699999999999998E-3</v>
      </c>
      <c r="W10" s="24" t="s">
        <v>854</v>
      </c>
      <c r="X10" s="25" t="s">
        <v>322</v>
      </c>
      <c r="Y10" s="341">
        <f ca="1">IF(W10="","",IF(StaticData.Today=TODAY(),_xll.BDP(W10,"PX_LAST"),$L$7+Q51/100))</f>
        <v>-0.40699999999999997</v>
      </c>
      <c r="Z10" s="27">
        <f t="shared" ca="1" si="2"/>
        <v>-4.0699999999999998E-3</v>
      </c>
      <c r="AB10" s="24"/>
      <c r="AC10" s="25" t="s">
        <v>376</v>
      </c>
      <c r="AD10" s="26" t="str">
        <f ca="1">IF(AB10="","",IF(StaticData.Today=TODAY(),_xll.BDP(AB10,"LAST_PRICE"),_xll.BDH(AB10,"LAST_PRICE",StaticData.Today,StaticData.Today)))</f>
        <v/>
      </c>
      <c r="AE10" s="27"/>
      <c r="AG10" s="14" t="s">
        <v>1548</v>
      </c>
      <c r="AH10" s="25" t="s">
        <v>324</v>
      </c>
      <c r="AI10" s="26">
        <f ca="1">IF(AG10="","",IF(StaticData.Today=TODAY(),_xll.BDP(AG10,"LAST_PRICE"),_xll.BDH(AG10,"LAST_PRICE",StaticData.Today,StaticData.Today)))</f>
        <v>5.4249999999999998</v>
      </c>
      <c r="AJ10" s="17">
        <f t="shared" ca="1" si="3"/>
        <v>5.4250000000000001E-4</v>
      </c>
      <c r="AO10" s="24" t="s">
        <v>903</v>
      </c>
      <c r="AP10" s="25" t="s">
        <v>47</v>
      </c>
      <c r="AQ10" s="25"/>
      <c r="AR10" s="29">
        <f ca="1">IF(AO10="","",IF(StaticData.Today=TODAY(),_xll.BDP(AO10,"BID"),_xll.BDH(AO10,"BID",StaticData.Today,StaticData.Today)))</f>
        <v>-13.5</v>
      </c>
      <c r="AS10" s="29">
        <f ca="1">IF(AO10="","",IF(StaticData.Today=TODAY(),_xll.BDP(AO10,"ASK"),_xll.BDH(AO10,"ASK",StaticData.Today,StaticData.Today)))</f>
        <v>-8.5</v>
      </c>
      <c r="AT10" s="6">
        <f ca="1">IF(AO10="","",IF(StaticData.Today=TODAY(),_xll.BDP(AO10,"LAST_PRICE"),_xll.BDH(AO10,"LAST_PRICE",StaticData.Today,StaticData.Today)))</f>
        <v>-11</v>
      </c>
      <c r="AU10" s="6">
        <f t="shared" ca="1" si="4"/>
        <v>-11</v>
      </c>
      <c r="AW10" s="24" t="s">
        <v>890</v>
      </c>
      <c r="AX10" s="25" t="s">
        <v>305</v>
      </c>
      <c r="AY10" s="28"/>
      <c r="AZ10" s="177">
        <f ca="1">IF(AW10="","",IF(StaticData.Today=TODAY(),_xll.BDP(AW10,"BID"),_xll.BDH(AW10,"BID",StaticData.Today,StaticData.Today)))</f>
        <v>1.66</v>
      </c>
      <c r="BA10" s="177">
        <f ca="1">IF(AW10="","",IF(StaticData.Today=TODAY(),_xll.BDP(AW10,"ASK"),_xll.BDH(AW10,"ASK",StaticData.Today,StaticData.Today)))</f>
        <v>1.75</v>
      </c>
      <c r="BB10" s="177">
        <f ca="1">IF(AW10="","",IF(StaticData.Today=TODAY(),_xll.BDP(AW10,"PX_LAST"),_xll.BDH(AW10,"PX_LAST",StaticData.Today,StaticData.Today)))</f>
        <v>1.71</v>
      </c>
      <c r="BC10" s="181">
        <f ca="1">BB10</f>
        <v>1.71</v>
      </c>
    </row>
    <row r="11" spans="1:55" x14ac:dyDescent="0.25">
      <c r="B11" s="21" t="s">
        <v>284</v>
      </c>
      <c r="C11" s="22">
        <f>COUNTA(AB7:AB48)</f>
        <v>19</v>
      </c>
      <c r="D11" s="22">
        <f ca="1">COUNT(AD7:AD48)</f>
        <v>16</v>
      </c>
      <c r="E11" s="23">
        <f t="shared" ca="1" si="0"/>
        <v>3</v>
      </c>
      <c r="G11" s="24" t="str">
        <f>"EUSF4A"&amp;$G$1&amp;" Curncy"</f>
        <v>EUSF4A ICPL Curncy</v>
      </c>
      <c r="H11" s="25" t="s">
        <v>847</v>
      </c>
      <c r="I11" s="465">
        <f ca="1">_xll.meDateECB(I10,TRUE)</f>
        <v>44217</v>
      </c>
      <c r="J11" s="465">
        <f ca="1">_xll.meDateECBSwapStart(I11)</f>
        <v>44223</v>
      </c>
      <c r="K11" s="465">
        <f ca="1">_xll.meDateECBSwapEnd(I11)</f>
        <v>44271</v>
      </c>
      <c r="L11" s="26">
        <f ca="1">IF(G11="","",IF(StaticData.Today=TODAY(),_xll.BDP(G11,"LAST_PRICE"),_xll.BDH(G11,"LAST_PRICE",StaticData.Today,StaticData.Today)))</f>
        <v>-0.501</v>
      </c>
      <c r="M11" s="27">
        <f t="shared" ca="1" si="1"/>
        <v>-5.0099999999999997E-3</v>
      </c>
      <c r="O11" s="24" t="s">
        <v>855</v>
      </c>
      <c r="P11" s="25" t="s">
        <v>863</v>
      </c>
      <c r="Q11" s="31" t="s">
        <v>919</v>
      </c>
      <c r="R11" s="32">
        <f>DATEVALUE(_xll.BDP($Q11&amp;" Comdty","INT_RATE_FUT_START_DT"))</f>
        <v>43999</v>
      </c>
      <c r="S11" s="32">
        <f>DATEVALUE(_xll.BDP($Q11&amp;" Comdty","INT_RATE_FUT_END_DT"))</f>
        <v>44090</v>
      </c>
      <c r="T11" s="30">
        <f ca="1">IF(O11="","",IF(StaticData.Today=TODAY(),_xll.BDP(O11,"LAST_PRICE"),_xll.BDH(O11,"LAST_PRICE",StaticData.Today,StaticData.Today)))</f>
        <v>100.495</v>
      </c>
      <c r="U11" s="33">
        <f ca="1">T11</f>
        <v>100.495</v>
      </c>
      <c r="W11" s="24" t="str">
        <f>"EUFR0AG"&amp;$W$2&amp;" Curncy"</f>
        <v>EUFR0AG ICPL Curncy</v>
      </c>
      <c r="X11" s="25" t="s">
        <v>872</v>
      </c>
      <c r="Y11" s="341">
        <f ca="1">IF(W11="","",IF(StaticData.Today=TODAY(),_xll.BDP(W11,"LAST_PRICE"),_xll.BDH(W11,"LAST_PRICE",StaticData.Today,StaticData.Today)))</f>
        <v>-0.45900000000000002</v>
      </c>
      <c r="Z11" s="338">
        <f t="shared" ca="1" si="2"/>
        <v>-4.5900000000000003E-3</v>
      </c>
      <c r="AB11" s="24" t="s">
        <v>1522</v>
      </c>
      <c r="AC11" s="25" t="s">
        <v>47</v>
      </c>
      <c r="AD11" s="26">
        <f ca="1">IF(AB11="","",IF(StaticData.Today=TODAY(),_xll.BDP(AB11,"LAST_PRICE"),_xll.BDH(AB11,"LAST_PRICE",StaticData.Today,StaticData.Today)))</f>
        <v>4.3</v>
      </c>
      <c r="AE11" s="27">
        <f ca="1">AD11/10000</f>
        <v>4.2999999999999999E-4</v>
      </c>
      <c r="AG11" s="14" t="s">
        <v>1549</v>
      </c>
      <c r="AH11" s="25" t="s">
        <v>331</v>
      </c>
      <c r="AI11" s="26">
        <f ca="1">IF(AG11="","",IF(StaticData.Today=TODAY(),_xll.BDP(AG11,"LAST_PRICE"),_xll.BDH(AG11,"LAST_PRICE",StaticData.Today,StaticData.Today)))</f>
        <v>5.5250000000000004</v>
      </c>
      <c r="AJ11" s="17">
        <f t="shared" ca="1" si="3"/>
        <v>5.5250000000000004E-4</v>
      </c>
      <c r="AO11" s="24" t="s">
        <v>1569</v>
      </c>
      <c r="AP11" s="25" t="s">
        <v>501</v>
      </c>
      <c r="AQ11" s="25"/>
      <c r="AR11" s="29">
        <f ca="1">IF(AO11="","",IF(StaticData.Today=TODAY(),_xll.BDP(AO11,"BID"),_xll.BDH(AO11,"BID",StaticData.Today,StaticData.Today)))</f>
        <v>-14.5</v>
      </c>
      <c r="AS11" s="29">
        <f ca="1">IF(AO11="","",IF(StaticData.Today=TODAY(),_xll.BDP(AO11,"ASK"),_xll.BDH(AO11,"ASK",StaticData.Today,StaticData.Today)))</f>
        <v>-9.5</v>
      </c>
      <c r="AT11" s="6">
        <f ca="1">IF(AO11="","",IF(StaticData.Today=TODAY(),_xll.BDP(AO11,"LAST_PRICE"),_xll.BDH(AO11,"LAST_PRICE",StaticData.Today,StaticData.Today)))</f>
        <v>-12</v>
      </c>
      <c r="AU11" s="6">
        <f t="shared" ref="AU11" ca="1" si="5">AT11</f>
        <v>-12</v>
      </c>
      <c r="AW11" s="24" t="s">
        <v>891</v>
      </c>
      <c r="AX11" s="25" t="s">
        <v>313</v>
      </c>
      <c r="AY11" s="28"/>
      <c r="AZ11" s="177">
        <f ca="1">IF(AW11="","",IF(StaticData.Today=TODAY(),_xll.BDP(AW11,"BID"),_xll.BDH(AW11,"BID",StaticData.Today,StaticData.Today)))</f>
        <v>3.4</v>
      </c>
      <c r="BA11" s="177">
        <f ca="1">IF(AW11="","",IF(StaticData.Today=TODAY(),_xll.BDP(AW11,"ASK"),_xll.BDH(AW11,"ASK",StaticData.Today,StaticData.Today)))</f>
        <v>3.49</v>
      </c>
      <c r="BB11" s="177">
        <f ca="1">IF(AW11="","",IF(StaticData.Today=TODAY(),_xll.BDP(AW11,"PX_LAST"),_xll.BDH(AW11,"PX_LAST",StaticData.Today,StaticData.Today)))</f>
        <v>3.45</v>
      </c>
      <c r="BC11" s="181">
        <f ca="1">BB11</f>
        <v>3.45</v>
      </c>
    </row>
    <row r="12" spans="1:55" x14ac:dyDescent="0.25">
      <c r="B12" s="21" t="s">
        <v>285</v>
      </c>
      <c r="C12" s="22">
        <f>COUNTA(AG7:AG48)</f>
        <v>15</v>
      </c>
      <c r="D12" s="22">
        <f ca="1">COUNT(AI7:AI48)</f>
        <v>15</v>
      </c>
      <c r="E12" s="23">
        <f t="shared" ca="1" si="0"/>
        <v>0</v>
      </c>
      <c r="G12" s="24" t="str">
        <f>"EUSF6A"&amp;$G$1&amp;" Curncy"</f>
        <v>EUSF6A ICPL Curncy</v>
      </c>
      <c r="H12" s="25" t="s">
        <v>1319</v>
      </c>
      <c r="I12" s="465">
        <f ca="1">_xll.meDateECB(I11,TRUE)</f>
        <v>44266</v>
      </c>
      <c r="J12" s="465">
        <f ca="1">_xll.meDateECBSwapStart(I12)</f>
        <v>44272</v>
      </c>
      <c r="K12" s="465">
        <f ca="1">_xll.meDateECBSwapEnd(I12)</f>
        <v>44313</v>
      </c>
      <c r="L12" s="26">
        <f ca="1">IF(G12="","",IF(StaticData.Today=TODAY(),_xll.BDP(G12,"LAST_PRICE"),_xll.BDH(G12,"LAST_PRICE",StaticData.Today,StaticData.Today)))</f>
        <v>-0.52900000000000003</v>
      </c>
      <c r="M12" s="27">
        <f t="shared" ref="M12" ca="1" si="6">L12/100</f>
        <v>-5.2900000000000004E-3</v>
      </c>
      <c r="O12" s="24" t="s">
        <v>856</v>
      </c>
      <c r="P12" s="25" t="s">
        <v>864</v>
      </c>
      <c r="Q12" s="31" t="s">
        <v>920</v>
      </c>
      <c r="R12" s="32">
        <f>DATEVALUE(_xll.BDP($Q12&amp;" Comdty","INT_RATE_FUT_START_DT"))</f>
        <v>44090</v>
      </c>
      <c r="S12" s="32">
        <f>DATEVALUE(_xll.BDP($Q12&amp;" Comdty","INT_RATE_FUT_END_DT"))</f>
        <v>44181</v>
      </c>
      <c r="T12" s="30">
        <f ca="1">IF(O12="","",IF(StaticData.Today=TODAY(),_xll.BDP(O12,"LAST_PRICE"),_xll.BDH(O12,"LAST_PRICE",StaticData.Today,StaticData.Today)))</f>
        <v>100.49</v>
      </c>
      <c r="U12" s="33">
        <f t="shared" ref="U12:U17" ca="1" si="7">T12</f>
        <v>100.49</v>
      </c>
      <c r="W12" s="24" t="str">
        <f>"EUFR0BH"&amp;$W$2&amp;" Curncy"</f>
        <v>EUFR0BH ICPL Curncy</v>
      </c>
      <c r="X12" s="25" t="s">
        <v>873</v>
      </c>
      <c r="Y12" s="341">
        <f ca="1">IF(W12="","",IF(StaticData.Today=TODAY(),_xll.BDP(W12,"LAST_PRICE"),_xll.BDH(W12,"LAST_PRICE",StaticData.Today,StaticData.Today)))</f>
        <v>-0.45700000000000002</v>
      </c>
      <c r="Z12" s="338">
        <f t="shared" ca="1" si="2"/>
        <v>-4.5700000000000003E-3</v>
      </c>
      <c r="AB12" s="24" t="s">
        <v>1523</v>
      </c>
      <c r="AC12" s="25" t="s">
        <v>308</v>
      </c>
      <c r="AD12" s="26">
        <f ca="1">IF(AB12="","",IF(StaticData.Today=TODAY(),_xll.BDP(AB12,"LAST_PRICE"),_xll.BDH(AB12,"LAST_PRICE",StaticData.Today,StaticData.Today)))</f>
        <v>4.4009</v>
      </c>
      <c r="AE12" s="27">
        <f t="shared" ref="AE12:AE27" ca="1" si="8">AD12/10000</f>
        <v>4.4009000000000002E-4</v>
      </c>
      <c r="AG12" s="14" t="s">
        <v>1550</v>
      </c>
      <c r="AH12" s="25" t="s">
        <v>339</v>
      </c>
      <c r="AI12" s="26">
        <f ca="1">IF(AG12="","",IF(StaticData.Today=TODAY(),_xll.BDP(AG12,"LAST_PRICE"),_xll.BDH(AG12,"LAST_PRICE",StaticData.Today,StaticData.Today)))</f>
        <v>5.4749999999999996</v>
      </c>
      <c r="AJ12" s="17">
        <f t="shared" ca="1" si="3"/>
        <v>5.4749999999999992E-4</v>
      </c>
      <c r="AO12" s="24" t="s">
        <v>904</v>
      </c>
      <c r="AP12" s="25" t="s">
        <v>308</v>
      </c>
      <c r="AQ12" s="25"/>
      <c r="AR12" s="29">
        <f ca="1">IF(AO12="","",IF(StaticData.Today=TODAY(),_xll.BDP(AO12,"BID"),_xll.BDH(AO12,"BID",StaticData.Today,StaticData.Today)))</f>
        <v>-14.125</v>
      </c>
      <c r="AS12" s="29">
        <f ca="1">IF(AO12="","",IF(StaticData.Today=TODAY(),_xll.BDP(AO12,"ASK"),_xll.BDH(AO12,"ASK",StaticData.Today,StaticData.Today)))</f>
        <v>-9.125</v>
      </c>
      <c r="AT12" s="6">
        <f ca="1">IF(AO12="","",IF(StaticData.Today=TODAY(),_xll.BDP(AO12,"LAST_PRICE"),_xll.BDH(AO12,"LAST_PRICE",StaticData.Today,StaticData.Today)))</f>
        <v>-11.625</v>
      </c>
      <c r="AU12" s="6">
        <f t="shared" ca="1" si="4"/>
        <v>-11.625</v>
      </c>
      <c r="AW12" s="24" t="s">
        <v>892</v>
      </c>
      <c r="AX12" s="25" t="s">
        <v>320</v>
      </c>
      <c r="AY12" s="31"/>
      <c r="AZ12" s="177">
        <f ca="1">IF(AW12="","",IF(StaticData.Today=TODAY(),_xll.BDP(AW12,"BID"),_xll.BDH(AW12,"BID",StaticData.Today,StaticData.Today)))</f>
        <v>5.95</v>
      </c>
      <c r="BA12" s="177">
        <f ca="1">IF(AW12="","",IF(StaticData.Today=TODAY(),_xll.BDP(AW12,"ASK"),_xll.BDH(AW12,"ASK",StaticData.Today,StaticData.Today)))</f>
        <v>6.05</v>
      </c>
      <c r="BB12" s="177">
        <f ca="1">IF(AW12="","",IF(StaticData.Today=TODAY(),_xll.BDP(AW12,"LAST_PRICE"),_xll.BDH(AW12,"LAST_PRICE",StaticData.Today,StaticData.Today)))</f>
        <v>6</v>
      </c>
      <c r="BC12" s="181">
        <f ca="1">BB12</f>
        <v>6</v>
      </c>
    </row>
    <row r="13" spans="1:55" x14ac:dyDescent="0.25">
      <c r="B13" s="21"/>
      <c r="C13" s="22"/>
      <c r="D13" s="22"/>
      <c r="E13" s="22"/>
      <c r="G13" s="24" t="str">
        <f>"EUSF7A"&amp;$G$1&amp;" Curncy"</f>
        <v>EUSF7A ICPL Curncy</v>
      </c>
      <c r="H13" s="25" t="s">
        <v>1320</v>
      </c>
      <c r="I13" s="465">
        <f ca="1">_xll.meDateECB(I12,TRUE)</f>
        <v>44308</v>
      </c>
      <c r="J13" s="465">
        <f ca="1">_xll.meDateECBSwapStart(I13)</f>
        <v>44314</v>
      </c>
      <c r="K13" s="465">
        <f ca="1">_xll.meDateECBSwapEnd(I13)</f>
        <v>44404</v>
      </c>
      <c r="L13" s="26">
        <f ca="1">IF(G13="","",IF(StaticData.Today=TODAY(),_xll.BDP(G13,"LAST_PRICE"),_xll.BDH(G13,"LAST_PRICE",StaticData.Today,StaticData.Today)))</f>
        <v>-0.54400000000000004</v>
      </c>
      <c r="M13" s="27">
        <f t="shared" ref="M13" ca="1" si="9">L13/100</f>
        <v>-5.4400000000000004E-3</v>
      </c>
      <c r="O13" s="24" t="s">
        <v>857</v>
      </c>
      <c r="P13" s="25" t="s">
        <v>865</v>
      </c>
      <c r="Q13" s="31" t="s">
        <v>921</v>
      </c>
      <c r="R13" s="32">
        <f>DATEVALUE(_xll.BDP($Q13&amp;" Comdty","INT_RATE_FUT_START_DT"))</f>
        <v>44181</v>
      </c>
      <c r="S13" s="32">
        <f>DATEVALUE(_xll.BDP($Q13&amp;" Comdty","INT_RATE_FUT_END_DT"))</f>
        <v>44272</v>
      </c>
      <c r="T13" s="30">
        <f ca="1">IF(O13="","",IF(StaticData.Today=TODAY(),_xll.BDP(O13,"LAST_PRICE"),_xll.BDH(O13,"LAST_PRICE",StaticData.Today,StaticData.Today)))</f>
        <v>100.505</v>
      </c>
      <c r="U13" s="33">
        <f t="shared" ca="1" si="7"/>
        <v>100.505</v>
      </c>
      <c r="W13" s="24" t="str">
        <f>"EUFR0CI"&amp;$W$2&amp;" Curncy"</f>
        <v>EUFR0CI ICPL Curncy</v>
      </c>
      <c r="X13" s="25" t="s">
        <v>874</v>
      </c>
      <c r="Y13" s="341">
        <f ca="1">IF(W13="","",IF(StaticData.Today=TODAY(),_xll.BDP(W13,"LAST_PRICE"),_xll.BDH(W13,"LAST_PRICE",StaticData.Today,StaticData.Today)))</f>
        <v>-0.45500000000000002</v>
      </c>
      <c r="Z13" s="338">
        <f t="shared" ca="1" si="2"/>
        <v>-4.5500000000000002E-3</v>
      </c>
      <c r="AB13" s="24" t="s">
        <v>1524</v>
      </c>
      <c r="AC13" s="25" t="s">
        <v>316</v>
      </c>
      <c r="AD13" s="26">
        <f ca="1">IF(AB13="","",IF(StaticData.Today=TODAY(),_xll.BDP(AB13,"LAST_PRICE"),_xll.BDH(AB13,"LAST_PRICE",StaticData.Today,StaticData.Today)))</f>
        <v>4.7</v>
      </c>
      <c r="AE13" s="27">
        <f t="shared" ca="1" si="8"/>
        <v>4.7000000000000004E-4</v>
      </c>
      <c r="AG13" s="14" t="s">
        <v>1551</v>
      </c>
      <c r="AH13" s="25" t="s">
        <v>342</v>
      </c>
      <c r="AI13" s="26">
        <f ca="1">IF(AG13="","",IF(StaticData.Today=TODAY(),_xll.BDP(AG13,"LAST_PRICE"),_xll.BDH(AG13,"LAST_PRICE",StaticData.Today,StaticData.Today)))</f>
        <v>5.375</v>
      </c>
      <c r="AJ13" s="17">
        <f t="shared" ca="1" si="3"/>
        <v>5.375E-4</v>
      </c>
      <c r="AO13" s="24" t="s">
        <v>905</v>
      </c>
      <c r="AP13" s="25" t="s">
        <v>316</v>
      </c>
      <c r="AQ13" s="25"/>
      <c r="AR13" s="29">
        <f ca="1">IF(AO13="","",IF(StaticData.Today=TODAY(),_xll.BDP(AO13,"BID"),_xll.BDH(AO13,"BID",StaticData.Today,StaticData.Today)))</f>
        <v>-15.25</v>
      </c>
      <c r="AS13" s="29">
        <f ca="1">IF(AO13="","",IF(StaticData.Today=TODAY(),_xll.BDP(AO13,"ASK"),_xll.BDH(AO13,"ASK",StaticData.Today,StaticData.Today)))</f>
        <v>-10.25</v>
      </c>
      <c r="AT13" s="6">
        <f ca="1">IF(AO13="","",IF(StaticData.Today=TODAY(),_xll.BDP(AO13,"LAST_PRICE"),_xll.BDH(AO13,"LAST_PRICE",StaticData.Today,StaticData.Today)))</f>
        <v>-12.75</v>
      </c>
      <c r="AU13" s="6">
        <f t="shared" ca="1" si="4"/>
        <v>-12.75</v>
      </c>
      <c r="AW13" s="24" t="s">
        <v>893</v>
      </c>
      <c r="AX13" s="25" t="s">
        <v>300</v>
      </c>
      <c r="AY13" s="31"/>
      <c r="AZ13" s="177">
        <f ca="1">IF(AW13="","",IF(StaticData.Today=TODAY(),_xll.BDP(AW13,"BID"),_xll.BDH(AW13,"BID",StaticData.Today,StaticData.Today)))</f>
        <v>8.8000000000000007</v>
      </c>
      <c r="BA13" s="177">
        <f ca="1">IF(AW13="","",IF(StaticData.Today=TODAY(),_xll.BDP(AW13,"ASK"),_xll.BDH(AW13,"ASK",StaticData.Today,StaticData.Today)))</f>
        <v>8.9</v>
      </c>
      <c r="BB13" s="177">
        <f ca="1">IF(AW13="","",IF(StaticData.Today=TODAY(),_xll.BDP(AW13,"LAST_PRICE"),_xll.BDH(AW13,"LAST_PRICE",StaticData.Today,StaticData.Today)))</f>
        <v>8.85</v>
      </c>
      <c r="BC13" s="181">
        <f t="shared" ref="BC13:BC21" ca="1" si="10">BB13</f>
        <v>8.85</v>
      </c>
    </row>
    <row r="14" spans="1:55" x14ac:dyDescent="0.25">
      <c r="B14" s="21"/>
      <c r="C14" s="22"/>
      <c r="D14" s="22"/>
      <c r="E14" s="22"/>
      <c r="G14" s="24" t="str">
        <f>"EUSF8A"&amp;$G$1&amp;" Curncy"</f>
        <v>EUSF8A ICPL Curncy</v>
      </c>
      <c r="H14" s="25" t="s">
        <v>1321</v>
      </c>
      <c r="I14" s="465">
        <f ca="1">_xll.meDateECB(I13,TRUE)</f>
        <v>44399</v>
      </c>
      <c r="J14" s="465">
        <f ca="1">_xll.meDateECBSwapStart(I14)</f>
        <v>44405</v>
      </c>
      <c r="K14" s="465">
        <f ca="1">_xll.meDateECBSwapEnd(I14)</f>
        <v>44453</v>
      </c>
      <c r="L14" s="26">
        <f ca="1">IF(G14="","",IF(StaticData.Today=TODAY(),_xll.BDP(G14,"LAST_PRICE"),_xll.BDH(G14,"LAST_PRICE",StaticData.Today,StaticData.Today)))</f>
        <v>-0.55300000000000005</v>
      </c>
      <c r="M14" s="27">
        <f t="shared" ref="M14" ca="1" si="11">L14/100</f>
        <v>-5.5300000000000002E-3</v>
      </c>
      <c r="O14" s="24" t="s">
        <v>858</v>
      </c>
      <c r="P14" s="25" t="s">
        <v>866</v>
      </c>
      <c r="Q14" s="31" t="s">
        <v>922</v>
      </c>
      <c r="R14" s="32">
        <f>DATEVALUE(_xll.BDP($Q14&amp;" Comdty","INT_RATE_FUT_START_DT"))</f>
        <v>44272</v>
      </c>
      <c r="S14" s="32">
        <f>DATEVALUE(_xll.BDP($Q14&amp;" Comdty","INT_RATE_FUT_END_DT"))</f>
        <v>44363</v>
      </c>
      <c r="T14" s="30">
        <f ca="1">IF(O14="","",IF(StaticData.Today=TODAY(),_xll.BDP(O14,"LAST_PRICE"),_xll.BDH(O14,"LAST_PRICE",StaticData.Today,StaticData.Today)))</f>
        <v>100.52500000000001</v>
      </c>
      <c r="U14" s="33">
        <f t="shared" ca="1" si="7"/>
        <v>100.52500000000001</v>
      </c>
      <c r="W14" s="24" t="str">
        <f>"EUFR0DJ"&amp;$W$2&amp;" Curncy"</f>
        <v>EUFR0DJ ICPL Curncy</v>
      </c>
      <c r="X14" s="25" t="s">
        <v>875</v>
      </c>
      <c r="Y14" s="340">
        <f ca="1">IF(W14="","",IF(StaticData.Today=TODAY(),_xll.BDP(W14,"LAST_PRICE"),_xll.BDH(W14,"LAST_PRICE",StaticData.Today,StaticData.Today)))</f>
        <v>-0.45800000000000002</v>
      </c>
      <c r="Z14" s="338">
        <f t="shared" ca="1" si="2"/>
        <v>-4.5799999999999999E-3</v>
      </c>
      <c r="AB14" s="24" t="s">
        <v>1525</v>
      </c>
      <c r="AC14" s="25" t="s">
        <v>324</v>
      </c>
      <c r="AD14" s="26">
        <f ca="1">IF(AB14="","",IF(StaticData.Today=TODAY(),_xll.BDP(AB14,"LAST_PRICE"),_xll.BDH(AB14,"LAST_PRICE",StaticData.Today,StaticData.Today)))</f>
        <v>4.8499999999999996</v>
      </c>
      <c r="AE14" s="27">
        <f t="shared" ca="1" si="8"/>
        <v>4.8499999999999997E-4</v>
      </c>
      <c r="AG14" s="14" t="s">
        <v>1552</v>
      </c>
      <c r="AH14" s="25" t="s">
        <v>355</v>
      </c>
      <c r="AI14" s="26">
        <f ca="1">IF(AG14="","",IF(StaticData.Today=TODAY(),_xll.BDP(AG14,"LAST_PRICE"),_xll.BDH(AG14,"LAST_PRICE",StaticData.Today,StaticData.Today)))</f>
        <v>5.125</v>
      </c>
      <c r="AJ14" s="17">
        <f t="shared" ca="1" si="3"/>
        <v>5.1250000000000004E-4</v>
      </c>
      <c r="AO14" s="24" t="s">
        <v>906</v>
      </c>
      <c r="AP14" s="25" t="s">
        <v>324</v>
      </c>
      <c r="AQ14" s="25"/>
      <c r="AR14" s="29">
        <f ca="1">IF(AO14="","",IF(StaticData.Today=TODAY(),_xll.BDP(AO14,"BID"),_xll.BDH(AO14,"BID",StaticData.Today,StaticData.Today)))</f>
        <v>-16.375</v>
      </c>
      <c r="AS14" s="29">
        <f ca="1">IF(AO14="","",IF(StaticData.Today=TODAY(),_xll.BDP(AO14,"ASK"),_xll.BDH(AO14,"ASK",StaticData.Today,StaticData.Today)))</f>
        <v>-11.375</v>
      </c>
      <c r="AT14" s="6">
        <f ca="1">IF(AO14="","",IF(StaticData.Today=TODAY(),_xll.BDP(AO14,"LAST_PRICE"),_xll.BDH(AO14,"LAST_PRICE",StaticData.Today,StaticData.Today)))</f>
        <v>-13.875</v>
      </c>
      <c r="AU14" s="6">
        <f t="shared" ca="1" si="4"/>
        <v>-13.875</v>
      </c>
      <c r="AW14" s="24" t="s">
        <v>894</v>
      </c>
      <c r="AX14" s="25" t="s">
        <v>335</v>
      </c>
      <c r="AY14" s="31"/>
      <c r="AZ14" s="177">
        <f ca="1">IF(AW14="","",IF(StaticData.Today=TODAY(),_xll.BDP(AW14,"BID"),_xll.BDH(AW14,"BID",StaticData.Today,StaticData.Today)))</f>
        <v>16.54</v>
      </c>
      <c r="BA14" s="177">
        <f ca="1">IF(AW14="","",IF(StaticData.Today=TODAY(),_xll.BDP(AW14,"ASK"),_xll.BDH(AW14,"ASK",StaticData.Today,StaticData.Today)))</f>
        <v>16.73</v>
      </c>
      <c r="BB14" s="177">
        <f ca="1">IF(AW14="","",IF(StaticData.Today=TODAY(),_xll.BDP(AW14,"LAST_PRICE"),_xll.BDH(AW14,"LAST_PRICE",StaticData.Today,StaticData.Today)))</f>
        <v>16.63</v>
      </c>
      <c r="BC14" s="181">
        <f t="shared" ca="1" si="10"/>
        <v>16.63</v>
      </c>
    </row>
    <row r="15" spans="1:55" x14ac:dyDescent="0.25">
      <c r="B15" s="21"/>
      <c r="C15" s="22"/>
      <c r="D15" s="22"/>
      <c r="E15" s="22"/>
      <c r="G15" s="24" t="str">
        <f>"EUSWE1"&amp;$G$1&amp;" Curncy"</f>
        <v>EUSWE1 ICPL Curncy</v>
      </c>
      <c r="H15" s="25" t="s">
        <v>47</v>
      </c>
      <c r="I15" s="464"/>
      <c r="J15" s="25"/>
      <c r="K15" s="25"/>
      <c r="L15" s="26">
        <f ca="1">IF(G15="","",IF(StaticData.Today=TODAY(),_xll.BDP(G15,"LAST_PRICE"),_xll.BDH(G15,"LAST_PRICE",StaticData.Today,StaticData.Today)))</f>
        <v>-0.51100000000000001</v>
      </c>
      <c r="M15" s="27">
        <f t="shared" ca="1" si="1"/>
        <v>-5.11E-3</v>
      </c>
      <c r="O15" s="24" t="s">
        <v>859</v>
      </c>
      <c r="P15" s="25" t="s">
        <v>867</v>
      </c>
      <c r="Q15" s="31" t="s">
        <v>923</v>
      </c>
      <c r="R15" s="32">
        <f>DATEVALUE(_xll.BDP($Q15&amp;" Comdty","INT_RATE_FUT_START_DT"))</f>
        <v>44363</v>
      </c>
      <c r="S15" s="32">
        <f>DATEVALUE(_xll.BDP($Q15&amp;" Comdty","INT_RATE_FUT_END_DT"))</f>
        <v>44454</v>
      </c>
      <c r="T15" s="30">
        <f ca="1">IF(O15="","",IF(StaticData.Today=TODAY(),_xll.BDP(O15,"LAST_PRICE"),_xll.BDH(O15,"LAST_PRICE",StaticData.Today,StaticData.Today)))</f>
        <v>100.53</v>
      </c>
      <c r="U15" s="33">
        <f t="shared" ca="1" si="7"/>
        <v>100.53</v>
      </c>
      <c r="W15" s="24" t="str">
        <f>"EUFR0EK"&amp;$W$2&amp;" Curncy"</f>
        <v>EUFR0EK ICPL Curncy</v>
      </c>
      <c r="X15" s="25" t="s">
        <v>876</v>
      </c>
      <c r="Y15" s="26">
        <f ca="1">IF(W15="","",IF(StaticData.Today=TODAY(),_xll.BDP(W15,"LAST_PRICE"),_xll.BDH(W15,"LAST_PRICE",StaticData.Today,StaticData.Today)))</f>
        <v>-0.46100000000000002</v>
      </c>
      <c r="Z15" s="338">
        <f t="shared" ca="1" si="2"/>
        <v>-4.6100000000000004E-3</v>
      </c>
      <c r="AB15" s="24" t="s">
        <v>1526</v>
      </c>
      <c r="AC15" s="25" t="s">
        <v>331</v>
      </c>
      <c r="AD15" s="26">
        <f ca="1">IF(AB15="","",IF(StaticData.Today=TODAY(),_xll.BDP(AB15,"LAST_PRICE"),_xll.BDH(AB15,"LAST_PRICE",StaticData.Today,StaticData.Today)))</f>
        <v>4.9000000000000004</v>
      </c>
      <c r="AE15" s="27">
        <f t="shared" ca="1" si="8"/>
        <v>4.8999999999999998E-4</v>
      </c>
      <c r="AG15" s="14" t="s">
        <v>1553</v>
      </c>
      <c r="AH15" s="25" t="s">
        <v>364</v>
      </c>
      <c r="AI15" s="26">
        <f ca="1">IF(AG15="","",IF(StaticData.Today=TODAY(),_xll.BDP(AG15,"LAST_PRICE"),_xll.BDH(AG15,"LAST_PRICE",StaticData.Today,StaticData.Today)))</f>
        <v>4.7750000000000004</v>
      </c>
      <c r="AJ15" s="17">
        <f t="shared" ca="1" si="3"/>
        <v>4.7750000000000006E-4</v>
      </c>
      <c r="AO15" s="24" t="s">
        <v>907</v>
      </c>
      <c r="AP15" s="25" t="s">
        <v>331</v>
      </c>
      <c r="AQ15" s="25"/>
      <c r="AR15" s="29">
        <f ca="1">IF(AO15="","",IF(StaticData.Today=TODAY(),_xll.BDP(AO15,"BID"),_xll.BDH(AO15,"BID",StaticData.Today,StaticData.Today)))</f>
        <v>-17.625</v>
      </c>
      <c r="AS15" s="29">
        <f ca="1">IF(AO15="","",IF(StaticData.Today=TODAY(),_xll.BDP(AO15,"ASK"),_xll.BDH(AO15,"ASK",StaticData.Today,StaticData.Today)))</f>
        <v>-12.625</v>
      </c>
      <c r="AT15" s="6">
        <f ca="1">IF(AO15="","",IF(StaticData.Today=TODAY(),_xll.BDP(AO15,"LAST_PRICE"),_xll.BDH(AO15,"LAST_PRICE",StaticData.Today,StaticData.Today)))</f>
        <v>-15.125</v>
      </c>
      <c r="AU15" s="6">
        <f t="shared" ca="1" si="4"/>
        <v>-15.125</v>
      </c>
      <c r="AW15" s="24" t="s">
        <v>895</v>
      </c>
      <c r="AX15" s="25" t="s">
        <v>49</v>
      </c>
      <c r="AY15" s="31"/>
      <c r="AZ15" s="177">
        <f ca="1">IF(AW15="","",IF(StaticData.Today=TODAY(),_xll.BDP(AW15,"BID"),_xll.BDH(AW15,"BID",StaticData.Today,StaticData.Today)))</f>
        <v>23.94</v>
      </c>
      <c r="BA15" s="177">
        <f ca="1">IF(AW15="","",IF(StaticData.Today=TODAY(),_xll.BDP(AW15,"ASK"),_xll.BDH(AW15,"ASK",StaticData.Today,StaticData.Today)))</f>
        <v>24.18</v>
      </c>
      <c r="BB15" s="177">
        <f ca="1">IF(AW15="","",IF(StaticData.Today=TODAY(),_xll.BDP(AW15,"LAST_PRICE"),_xll.BDH(AW15,"LAST_PRICE",StaticData.Today,StaticData.Today)))</f>
        <v>24.06</v>
      </c>
      <c r="BC15" s="181">
        <f t="shared" ca="1" si="10"/>
        <v>24.06</v>
      </c>
    </row>
    <row r="16" spans="1:55" x14ac:dyDescent="0.25">
      <c r="B16" s="21"/>
      <c r="C16" s="22"/>
      <c r="D16" s="22"/>
      <c r="E16" s="22"/>
      <c r="G16" s="24" t="str">
        <f>"EUSWE1F"&amp;$G$1&amp;" Curncy"</f>
        <v>EUSWE1F ICPL Curncy</v>
      </c>
      <c r="H16" s="25" t="s">
        <v>501</v>
      </c>
      <c r="I16" s="464"/>
      <c r="J16" s="25"/>
      <c r="K16" s="25"/>
      <c r="L16" s="26">
        <f ca="1">IF(G16="","",IF(StaticData.Today=TODAY(),_xll.BDP(G16,"LAST_PRICE"),_xll.BDH(G16,"LAST_PRICE",StaticData.Today,StaticData.Today)))</f>
        <v>-0.52900000000000003</v>
      </c>
      <c r="M16" s="27">
        <f t="shared" ca="1" si="1"/>
        <v>-5.2900000000000004E-3</v>
      </c>
      <c r="O16" s="24" t="s">
        <v>860</v>
      </c>
      <c r="P16" s="25" t="s">
        <v>868</v>
      </c>
      <c r="Q16" s="31" t="s">
        <v>924</v>
      </c>
      <c r="R16" s="32">
        <f>DATEVALUE(_xll.BDP($Q16&amp;" Comdty","INT_RATE_FUT_START_DT"))</f>
        <v>44454</v>
      </c>
      <c r="S16" s="32">
        <f>DATEVALUE(_xll.BDP($Q16&amp;" Comdty","INT_RATE_FUT_END_DT"))</f>
        <v>44545</v>
      </c>
      <c r="T16" s="30">
        <f ca="1">IF(O16="","",IF(StaticData.Today=TODAY(),_xll.BDP(O16,"LAST_PRICE"),_xll.BDH(O16,"LAST_PRICE",StaticData.Today,StaticData.Today)))</f>
        <v>100.54</v>
      </c>
      <c r="U16" s="33">
        <f t="shared" ca="1" si="7"/>
        <v>100.54</v>
      </c>
      <c r="W16" s="24" t="str">
        <f>"EUFR0F1"&amp;$W$2&amp;" Curncy"</f>
        <v>EUFR0F1 ICPL Curncy</v>
      </c>
      <c r="X16" s="25" t="s">
        <v>877</v>
      </c>
      <c r="Y16" s="26">
        <f ca="1">IF(W16="","",IF(StaticData.Today=TODAY(),_xll.BDP(W16,"LAST_PRICE"),_xll.BDH(W16,"LAST_PRICE",StaticData.Today,StaticData.Today)))</f>
        <v>-0.46400000000000002</v>
      </c>
      <c r="Z16" s="338">
        <f t="shared" ca="1" si="2"/>
        <v>-4.64E-3</v>
      </c>
      <c r="AB16" s="24" t="s">
        <v>1527</v>
      </c>
      <c r="AC16" s="25" t="s">
        <v>339</v>
      </c>
      <c r="AD16" s="26">
        <f ca="1">IF(AB16="","",IF(StaticData.Today=TODAY(),_xll.BDP(AB16,"LAST_PRICE"),_xll.BDH(AB16,"LAST_PRICE",StaticData.Today,StaticData.Today)))</f>
        <v>4.9000000000000004</v>
      </c>
      <c r="AE16" s="27">
        <f t="shared" ca="1" si="8"/>
        <v>4.8999999999999998E-4</v>
      </c>
      <c r="AG16" s="14" t="s">
        <v>1554</v>
      </c>
      <c r="AH16" s="25" t="s">
        <v>349</v>
      </c>
      <c r="AI16" s="26">
        <f ca="1">IF(AG16="","",IF(StaticData.Today=TODAY(),_xll.BDP(AG16,"LAST_PRICE"),_xll.BDH(AG16,"LAST_PRICE",StaticData.Today,StaticData.Today)))</f>
        <v>4.4749999999999996</v>
      </c>
      <c r="AJ16" s="17">
        <f t="shared" ca="1" si="3"/>
        <v>4.4749999999999998E-4</v>
      </c>
      <c r="AO16" s="24" t="s">
        <v>908</v>
      </c>
      <c r="AP16" s="25" t="s">
        <v>339</v>
      </c>
      <c r="AQ16" s="25"/>
      <c r="AR16" s="29">
        <f ca="1">IF(AO16="","",IF(StaticData.Today=TODAY(),_xll.BDP(AO16,"BID"),_xll.BDH(AO16,"BID",StaticData.Today,StaticData.Today)))</f>
        <v>-19</v>
      </c>
      <c r="AS16" s="29">
        <f ca="1">IF(AO16="","",IF(StaticData.Today=TODAY(),_xll.BDP(AO16,"ASK"),_xll.BDH(AO16,"ASK",StaticData.Today,StaticData.Today)))</f>
        <v>-14</v>
      </c>
      <c r="AT16" s="6">
        <f ca="1">IF(AO16="","",IF(StaticData.Today=TODAY(),_xll.BDP(AO16,"LAST_PRICE"),_xll.BDH(AO16,"LAST_PRICE",StaticData.Today,StaticData.Today)))</f>
        <v>-16.5</v>
      </c>
      <c r="AU16" s="6">
        <f t="shared" ca="1" si="4"/>
        <v>-16.5</v>
      </c>
      <c r="AW16" s="24" t="s">
        <v>896</v>
      </c>
      <c r="AX16" s="25" t="s">
        <v>351</v>
      </c>
      <c r="AY16" s="31"/>
      <c r="AZ16" s="177">
        <f ca="1">IF(AW16="","",IF(StaticData.Today=TODAY(),_xll.BDP(AW16,"BID"),_xll.BDH(AW16,"BID",StaticData.Today,StaticData.Today)))</f>
        <v>37.44</v>
      </c>
      <c r="BA16" s="177">
        <f ca="1">IF(AW16="","",IF(StaticData.Today=TODAY(),_xll.BDP(AW16,"ASK"),_xll.BDH(AW16,"ASK",StaticData.Today,StaticData.Today)))</f>
        <v>37.86</v>
      </c>
      <c r="BB16" s="177">
        <f ca="1">IF(AW16="","",IF(StaticData.Today=TODAY(),_xll.BDP(AW16,"LAST_PRICE"),_xll.BDH(AW16,"LAST_PRICE",StaticData.Today,StaticData.Today)))</f>
        <v>37.65</v>
      </c>
      <c r="BC16" s="181">
        <f t="shared" ca="1" si="10"/>
        <v>37.65</v>
      </c>
    </row>
    <row r="17" spans="2:55" x14ac:dyDescent="0.25">
      <c r="B17" s="34"/>
      <c r="C17" s="35"/>
      <c r="D17" s="35"/>
      <c r="E17" s="35"/>
      <c r="G17" s="24" t="str">
        <f>"EUSWE2"&amp;$G$1&amp;" Curncy"</f>
        <v>EUSWE2 ICPL Curncy</v>
      </c>
      <c r="H17" s="25" t="s">
        <v>308</v>
      </c>
      <c r="I17" s="464"/>
      <c r="J17" s="25"/>
      <c r="K17" s="25"/>
      <c r="L17" s="26">
        <f ca="1">IF(G17="","",IF(StaticData.Today=TODAY(),_xll.BDP(G17,"LAST_PRICE"),_xll.BDH(G17,"LAST_PRICE",StaticData.Today,StaticData.Today)))</f>
        <v>-0.53900000000000003</v>
      </c>
      <c r="M17" s="27">
        <f t="shared" ca="1" si="1"/>
        <v>-5.3900000000000007E-3</v>
      </c>
      <c r="O17" s="24" t="s">
        <v>861</v>
      </c>
      <c r="P17" s="25" t="s">
        <v>869</v>
      </c>
      <c r="Q17" s="31" t="s">
        <v>925</v>
      </c>
      <c r="R17" s="32">
        <f>DATEVALUE(_xll.BDP($Q17&amp;" Comdty","INT_RATE_FUT_START_DT"))</f>
        <v>44545</v>
      </c>
      <c r="S17" s="32">
        <f>DATEVALUE(_xll.BDP($Q17&amp;" Comdty","INT_RATE_FUT_END_DT"))</f>
        <v>44636</v>
      </c>
      <c r="T17" s="30">
        <f ca="1">IF(O17="","",IF(StaticData.Today=TODAY(),_xll.BDP(O17,"LAST_PRICE"),_xll.BDH(O17,"LAST_PRICE",StaticData.Today,StaticData.Today)))</f>
        <v>100.535</v>
      </c>
      <c r="U17" s="33">
        <f t="shared" ca="1" si="7"/>
        <v>100.535</v>
      </c>
      <c r="W17" s="24" t="str">
        <f>"EUFR0G1A"&amp;$W$2&amp;" Curncy"</f>
        <v>EUFR0G1A ICPL Curncy</v>
      </c>
      <c r="X17" s="25" t="s">
        <v>878</v>
      </c>
      <c r="Y17" s="26">
        <f ca="1">IF(W17="","",IF(StaticData.Today=TODAY(),_xll.BDP(W17,"LAST_PRICE"),_xll.BDH(W17,"LAST_PRICE",StaticData.Today,StaticData.Today)))</f>
        <v>-0.46800000000000003</v>
      </c>
      <c r="Z17" s="338">
        <f t="shared" ca="1" si="2"/>
        <v>-4.6800000000000001E-3</v>
      </c>
      <c r="AB17" s="24" t="s">
        <v>1528</v>
      </c>
      <c r="AC17" s="25" t="s">
        <v>342</v>
      </c>
      <c r="AD17" s="26">
        <f ca="1">IF(AB17="","",IF(StaticData.Today=TODAY(),_xll.BDP(AB17,"LAST_PRICE"),_xll.BDH(AB17,"LAST_PRICE",StaticData.Today,StaticData.Today)))</f>
        <v>4.8</v>
      </c>
      <c r="AE17" s="27">
        <f t="shared" ca="1" si="8"/>
        <v>4.7999999999999996E-4</v>
      </c>
      <c r="AG17" s="14" t="s">
        <v>1555</v>
      </c>
      <c r="AH17" s="25" t="s">
        <v>358</v>
      </c>
      <c r="AI17" s="26">
        <f ca="1">IF(AG17="","",IF(StaticData.Today=TODAY(),_xll.BDP(AG17,"LAST_PRICE"),_xll.BDH(AG17,"LAST_PRICE",StaticData.Today,StaticData.Today)))</f>
        <v>3.85</v>
      </c>
      <c r="AJ17" s="17">
        <f t="shared" ca="1" si="3"/>
        <v>3.8500000000000003E-4</v>
      </c>
      <c r="AO17" s="24" t="s">
        <v>909</v>
      </c>
      <c r="AP17" s="25" t="s">
        <v>342</v>
      </c>
      <c r="AQ17" s="25"/>
      <c r="AR17" s="29">
        <f ca="1">IF(AO17="","",IF(StaticData.Today=TODAY(),_xll.BDP(AO17,"BID"),_xll.BDH(AO17,"BID",StaticData.Today,StaticData.Today)))</f>
        <v>-20</v>
      </c>
      <c r="AS17" s="29">
        <f ca="1">IF(AO17="","",IF(StaticData.Today=TODAY(),_xll.BDP(AO17,"ASK"),_xll.BDH(AO17,"ASK",StaticData.Today,StaticData.Today)))</f>
        <v>-15</v>
      </c>
      <c r="AT17" s="6">
        <f ca="1">IF(AO17="","",IF(StaticData.Today=TODAY(),_xll.BDP(AO17,"LAST_PRICE"),_xll.BDH(AO17,"LAST_PRICE",StaticData.Today,StaticData.Today)))</f>
        <v>-17.5</v>
      </c>
      <c r="AU17" s="6">
        <f t="shared" ca="1" si="4"/>
        <v>-17.5</v>
      </c>
      <c r="AW17" s="24" t="s">
        <v>897</v>
      </c>
      <c r="AX17" s="25" t="s">
        <v>360</v>
      </c>
      <c r="AY17" s="31"/>
      <c r="AZ17" s="177">
        <f ca="1">IF(AW17="","",IF(StaticData.Today=TODAY(),_xll.BDP(AW17,"BID"),_xll.BDH(AW17,"BID",StaticData.Today,StaticData.Today)))</f>
        <v>45.36</v>
      </c>
      <c r="BA17" s="177">
        <f ca="1">IF(AW17="","",IF(StaticData.Today=TODAY(),_xll.BDP(AW17,"ASK"),_xll.BDH(AW17,"ASK",StaticData.Today,StaticData.Today)))</f>
        <v>45.88</v>
      </c>
      <c r="BB17" s="177">
        <f ca="1">IF(AW17="","",IF(StaticData.Today=TODAY(),_xll.BDP(AW17,"LAST_PRICE"),_xll.BDH(AW17,"LAST_PRICE",StaticData.Today,StaticData.Today)))</f>
        <v>45.62</v>
      </c>
      <c r="BC17" s="181">
        <f t="shared" ca="1" si="10"/>
        <v>45.62</v>
      </c>
    </row>
    <row r="18" spans="2:55" x14ac:dyDescent="0.25">
      <c r="B18" s="36"/>
      <c r="C18" s="36"/>
      <c r="D18" s="36"/>
      <c r="E18" s="36"/>
      <c r="G18" s="24" t="str">
        <f>"EUSWE3"&amp;$G$1&amp;" Curncy"</f>
        <v>EUSWE3 ICPL Curncy</v>
      </c>
      <c r="H18" s="25" t="s">
        <v>316</v>
      </c>
      <c r="I18" s="464"/>
      <c r="J18" s="25"/>
      <c r="K18" s="25"/>
      <c r="L18" s="26">
        <f ca="1">IF(G18="","",IF(StaticData.Today=TODAY(),_xll.BDP(G18,"LAST_PRICE"),_xll.BDH(G18,"LAST_PRICE",StaticData.Today,StaticData.Today)))</f>
        <v>-0.54800000000000004</v>
      </c>
      <c r="M18" s="27">
        <f t="shared" ca="1" si="1"/>
        <v>-5.4800000000000005E-3</v>
      </c>
      <c r="O18" s="24" t="s">
        <v>862</v>
      </c>
      <c r="P18" s="25" t="s">
        <v>870</v>
      </c>
      <c r="Q18" s="31" t="s">
        <v>926</v>
      </c>
      <c r="R18" s="32">
        <f>DATEVALUE(_xll.BDP($Q18&amp;" Comdty","INT_RATE_FUT_START_DT"))</f>
        <v>44636</v>
      </c>
      <c r="S18" s="32">
        <f>DATEVALUE(_xll.BDP($Q18&amp;" Comdty","INT_RATE_FUT_END_DT"))</f>
        <v>44727</v>
      </c>
      <c r="T18" s="30">
        <f ca="1">IF(O18="","",IF(StaticData.Today=TODAY(),_xll.BDP(O18,"LAST_PRICE"),_xll.BDH(O18,"LAST_PRICE",StaticData.Today,StaticData.Today)))</f>
        <v>100.535</v>
      </c>
      <c r="U18" s="33">
        <f ca="1">T18</f>
        <v>100.535</v>
      </c>
      <c r="W18" s="24" t="str">
        <f>"EUFR0H1B"&amp;$W$2&amp;" Curncy"</f>
        <v>EUFR0H1B ICPL Curncy</v>
      </c>
      <c r="X18" s="25" t="s">
        <v>879</v>
      </c>
      <c r="Y18" s="26">
        <f ca="1">IF(W18="","",IF(StaticData.Today=TODAY(),_xll.BDP(W18,"LAST_PRICE"),_xll.BDH(W18,"LAST_PRICE",StaticData.Today,StaticData.Today)))</f>
        <v>-0.47099999999999997</v>
      </c>
      <c r="Z18" s="338">
        <f t="shared" ca="1" si="2"/>
        <v>-4.7099999999999998E-3</v>
      </c>
      <c r="AB18" s="24" t="s">
        <v>1529</v>
      </c>
      <c r="AC18" s="25" t="s">
        <v>355</v>
      </c>
      <c r="AD18" s="26">
        <f ca="1">IF(AB18="","",IF(StaticData.Today=TODAY(),_xll.BDP(AB18,"LAST_PRICE"),_xll.BDH(AB18,"LAST_PRICE",StaticData.Today,StaticData.Today)))</f>
        <v>4.7</v>
      </c>
      <c r="AE18" s="27">
        <f t="shared" ca="1" si="8"/>
        <v>4.7000000000000004E-4</v>
      </c>
      <c r="AG18" s="14" t="s">
        <v>1556</v>
      </c>
      <c r="AH18" s="25" t="s">
        <v>367</v>
      </c>
      <c r="AI18" s="26">
        <f ca="1">IF(AG18="","",IF(StaticData.Today=TODAY(),_xll.BDP(AG18,"LAST_PRICE"),_xll.BDH(AG18,"LAST_PRICE",StaticData.Today,StaticData.Today)))</f>
        <v>2.8</v>
      </c>
      <c r="AJ18" s="17">
        <f t="shared" ca="1" si="3"/>
        <v>2.7999999999999998E-4</v>
      </c>
      <c r="AO18" s="24" t="s">
        <v>910</v>
      </c>
      <c r="AP18" s="25" t="s">
        <v>355</v>
      </c>
      <c r="AQ18" s="25"/>
      <c r="AR18" s="29">
        <f ca="1">IF(AO18="","",IF(StaticData.Today=TODAY(),_xll.BDP(AO18,"BID"),_xll.BDH(AO18,"BID",StaticData.Today,StaticData.Today)))</f>
        <v>-20.625</v>
      </c>
      <c r="AS18" s="29">
        <f ca="1">IF(AO18="","",IF(StaticData.Today=TODAY(),_xll.BDP(AO18,"ASK"),_xll.BDH(AO18,"ASK",StaticData.Today,StaticData.Today)))</f>
        <v>-15.625</v>
      </c>
      <c r="AT18" s="6">
        <f ca="1">IF(AO18="","",IF(StaticData.Today=TODAY(),_xll.BDP(AO18,"LAST_PRICE"),_xll.BDH(AO18,"LAST_PRICE",StaticData.Today,StaticData.Today)))</f>
        <v>-18.125</v>
      </c>
      <c r="AU18" s="6">
        <f t="shared" ca="1" si="4"/>
        <v>-18.125</v>
      </c>
      <c r="AW18" s="24" t="s">
        <v>898</v>
      </c>
      <c r="AX18" s="25" t="s">
        <v>46</v>
      </c>
      <c r="AY18" s="31"/>
      <c r="AZ18" s="177">
        <f ca="1">IF(AW18="","",IF(StaticData.Today=TODAY(),_xll.BDP(AW18,"BID"),_xll.BDH(AW18,"BID",StaticData.Today,StaticData.Today)))</f>
        <v>52.41</v>
      </c>
      <c r="BA18" s="177">
        <f ca="1">IF(AW18="","",IF(StaticData.Today=TODAY(),_xll.BDP(AW18,"ASK"),_xll.BDH(AW18,"ASK",StaticData.Today,StaticData.Today)))</f>
        <v>53.09</v>
      </c>
      <c r="BB18" s="177">
        <f ca="1">IF(AW18="","",IF(StaticData.Today=TODAY(),_xll.BDP(AW18,"LAST_PRICE"),_xll.BDH(AW18,"LAST_PRICE",StaticData.Today,StaticData.Today)))</f>
        <v>52.75</v>
      </c>
      <c r="BC18" s="181">
        <f t="shared" ca="1" si="10"/>
        <v>52.75</v>
      </c>
    </row>
    <row r="19" spans="2:55" x14ac:dyDescent="0.25">
      <c r="B19" s="36"/>
      <c r="C19" s="36"/>
      <c r="D19" s="36"/>
      <c r="E19" s="36"/>
      <c r="G19" s="24" t="str">
        <f>"EUSWE4"&amp;$G$1&amp;" Curncy"</f>
        <v>EUSWE4 ICPL Curncy</v>
      </c>
      <c r="H19" s="25" t="s">
        <v>324</v>
      </c>
      <c r="I19" s="464"/>
      <c r="J19" s="25"/>
      <c r="K19" s="25"/>
      <c r="L19" s="26">
        <f ca="1">IF(G19="","",IF(StaticData.Today=TODAY(),_xll.BDP(G19,"LAST_PRICE"),_xll.BDH(G19,"LAST_PRICE",StaticData.Today,StaticData.Today)))</f>
        <v>-0.53800000000000003</v>
      </c>
      <c r="M19" s="27">
        <f t="shared" ca="1" si="1"/>
        <v>-5.3800000000000002E-3</v>
      </c>
      <c r="O19" s="24" t="str">
        <f>"EUSW2V3"&amp;$O$2&amp;" Curncy"</f>
        <v>EUSW2V3 CMPN Curncy</v>
      </c>
      <c r="P19" s="25" t="s">
        <v>308</v>
      </c>
      <c r="Q19" s="31"/>
      <c r="R19" s="185">
        <f ca="1">IF(O19="","",IF(StaticData.Today=TODAY(),_xll.BDP(O19,"BID"),_xll.BDH(O19,"BID",StaticData.Today,StaticData.Today)))</f>
        <v>-0.52539999999999998</v>
      </c>
      <c r="S19" s="185">
        <f ca="1">IF(O19="","",IF(StaticData.Today=TODAY(),_xll.BDP(O19,"ASK"),_xll.BDH(O19,"ASK",StaticData.Today,StaticData.Today)))</f>
        <v>-0.52190000000000003</v>
      </c>
      <c r="T19" s="30">
        <f ca="1">IF(O19="","",IF(StaticData.Today=TODAY(),_xll.BDP(O19,"LAST_PRICE"),_xll.BDH(O19,"LAST_PRICE",StaticData.Today,StaticData.Today)))</f>
        <v>-0.52359999999999995</v>
      </c>
      <c r="U19" s="27">
        <f t="shared" ref="U19" ca="1" si="12">T19/100</f>
        <v>-5.2359999999999993E-3</v>
      </c>
      <c r="W19" s="24" t="str">
        <f>"EUFR0I1C"&amp;$W$2&amp;" Curncy"</f>
        <v>EUFR0I1C ICPL Curncy</v>
      </c>
      <c r="X19" s="25" t="s">
        <v>880</v>
      </c>
      <c r="Y19" s="26">
        <f ca="1">IF(W19="","",IF(StaticData.Today=TODAY(),_xll.BDP(W19,"LAST_PRICE"),_xll.BDH(W19,"LAST_PRICE",StaticData.Today,StaticData.Today)))</f>
        <v>-0.47399999999999998</v>
      </c>
      <c r="Z19" s="27">
        <f t="shared" ca="1" si="2"/>
        <v>-4.7399999999999994E-3</v>
      </c>
      <c r="AB19" s="24" t="s">
        <v>1530</v>
      </c>
      <c r="AC19" s="25" t="s">
        <v>364</v>
      </c>
      <c r="AD19" s="26">
        <f ca="1">IF(AB19="","",IF(StaticData.Today=TODAY(),_xll.BDP(AB19,"LAST_PRICE"),_xll.BDH(AB19,"LAST_PRICE",StaticData.Today,StaticData.Today)))</f>
        <v>4.5999999999999996</v>
      </c>
      <c r="AE19" s="27">
        <f t="shared" ca="1" si="8"/>
        <v>4.5999999999999996E-4</v>
      </c>
      <c r="AG19" s="14" t="s">
        <v>1557</v>
      </c>
      <c r="AH19" s="25" t="s">
        <v>374</v>
      </c>
      <c r="AI19" s="26">
        <f ca="1">IF(AG19="","",IF(StaticData.Today=TODAY(),_xll.BDP(AG19,"LAST_PRICE"),_xll.BDH(AG19,"LAST_PRICE",StaticData.Today,StaticData.Today)))</f>
        <v>2.0499999999999998</v>
      </c>
      <c r="AJ19" s="17">
        <f t="shared" ca="1" si="3"/>
        <v>2.05E-4</v>
      </c>
      <c r="AO19" s="24" t="s">
        <v>911</v>
      </c>
      <c r="AP19" s="25" t="s">
        <v>364</v>
      </c>
      <c r="AQ19" s="25"/>
      <c r="AR19" s="29">
        <f ca="1">IF(AO19="","",IF(StaticData.Today=TODAY(),_xll.BDP(AO19,"BID"),_xll.BDH(AO19,"BID",StaticData.Today,StaticData.Today)))</f>
        <v>-21</v>
      </c>
      <c r="AS19" s="29">
        <f ca="1">IF(AO19="","",IF(StaticData.Today=TODAY(),_xll.BDP(AO19,"ASK"),_xll.BDH(AO19,"ASK",StaticData.Today,StaticData.Today)))</f>
        <v>-16</v>
      </c>
      <c r="AT19" s="6">
        <f ca="1">IF(AO19="","",IF(StaticData.Today=TODAY(),_xll.BDP(AO19,"LAST_PRICE"),_xll.BDH(AO19,"LAST_PRICE",StaticData.Today,StaticData.Today)))</f>
        <v>-18.5</v>
      </c>
      <c r="AU19" s="6">
        <f t="shared" ca="1" si="4"/>
        <v>-18.5</v>
      </c>
      <c r="AW19" s="24" t="s">
        <v>1572</v>
      </c>
      <c r="AX19" s="25" t="s">
        <v>1570</v>
      </c>
      <c r="AY19" s="31"/>
      <c r="AZ19" s="177">
        <f ca="1">IF(AW19="","",IF(StaticData.Today=TODAY(),_xll.BDP(AW19,"BID"),_xll.BDH(AW19,"BID",StaticData.Today,StaticData.Today)))</f>
        <v>60.95</v>
      </c>
      <c r="BA19" s="177">
        <f ca="1">IF(AW19="","",IF(StaticData.Today=TODAY(),_xll.BDP(AW19,"ASK"),_xll.BDH(AW19,"ASK",StaticData.Today,StaticData.Today)))</f>
        <v>61.95</v>
      </c>
      <c r="BB19" s="177">
        <f ca="1">IF(AW19="","",IF(StaticData.Today=TODAY(),_xll.BDP(AW19,"LAST_PRICE"),_xll.BDH(AW19,"LAST_PRICE",StaticData.Today,StaticData.Today)))</f>
        <v>61.45</v>
      </c>
      <c r="BC19" s="181">
        <f t="shared" ref="BC19:BC20" ca="1" si="13">BB19</f>
        <v>61.45</v>
      </c>
    </row>
    <row r="20" spans="2:55" x14ac:dyDescent="0.25">
      <c r="B20" s="36"/>
      <c r="C20" s="36"/>
      <c r="D20" s="36"/>
      <c r="E20" s="36"/>
      <c r="G20" s="24" t="str">
        <f>"EUSWE5"&amp;$G$1&amp;" Curncy"</f>
        <v>EUSWE5 ICPL Curncy</v>
      </c>
      <c r="H20" s="25" t="s">
        <v>331</v>
      </c>
      <c r="I20" s="464"/>
      <c r="J20" s="25"/>
      <c r="K20" s="25"/>
      <c r="L20" s="26">
        <f ca="1">IF(G20="","",IF(StaticData.Today=TODAY(),_xll.BDP(G20,"LAST_PRICE"),_xll.BDH(G20,"LAST_PRICE",StaticData.Today,StaticData.Today)))</f>
        <v>-0.51900000000000002</v>
      </c>
      <c r="M20" s="27">
        <f t="shared" ref="M20:M25" ca="1" si="14">L20/100</f>
        <v>-5.1900000000000002E-3</v>
      </c>
      <c r="N20" s="37"/>
      <c r="O20" s="24" t="str">
        <f>"EUSW3V3"&amp;$O$2&amp;" Curncy"</f>
        <v>EUSW3V3 CMPN Curncy</v>
      </c>
      <c r="P20" s="25" t="s">
        <v>316</v>
      </c>
      <c r="Q20" s="28"/>
      <c r="R20" s="185">
        <f ca="1">IF(O20="","",IF(StaticData.Today=TODAY(),_xll.BDP(O20,"BID"),_xll.BDH(O20,"BID",StaticData.Today,StaticData.Today)))</f>
        <v>-0.52480000000000004</v>
      </c>
      <c r="S20" s="185">
        <f ca="1">IF(O20="","",IF(StaticData.Today=TODAY(),_xll.BDP(O20,"ASK"),_xll.BDH(O20,"ASK",StaticData.Today,StaticData.Today)))</f>
        <v>-0.5202</v>
      </c>
      <c r="T20" s="30">
        <f ca="1">IF(O20="","",IF(StaticData.Today=TODAY(),_xll.BDP(O20,"LAST_PRICE"),_xll.BDH(O20,"LAST_PRICE",StaticData.Today,StaticData.Today)))</f>
        <v>-0.52249999999999996</v>
      </c>
      <c r="U20" s="27">
        <f t="shared" ref="U20" ca="1" si="15">T20/100</f>
        <v>-5.2249999999999996E-3</v>
      </c>
      <c r="W20" s="24" t="str">
        <f>"EUFR0J1D"&amp;$W$2&amp;" Curncy"</f>
        <v>EUFR0J1D ICPL Curncy</v>
      </c>
      <c r="X20" s="25" t="s">
        <v>881</v>
      </c>
      <c r="Y20" s="26">
        <f ca="1">IF(W20="","",IF(StaticData.Today=TODAY(),_xll.BDP(W20,"LAST_PRICE"),_xll.BDH(W20,"LAST_PRICE",StaticData.Today,StaticData.Today)))</f>
        <v>-0.47499999999999998</v>
      </c>
      <c r="Z20" s="27">
        <f t="shared" ca="1" si="2"/>
        <v>-4.7499999999999999E-3</v>
      </c>
      <c r="AB20" s="24" t="s">
        <v>1531</v>
      </c>
      <c r="AC20" s="25" t="s">
        <v>349</v>
      </c>
      <c r="AD20" s="26">
        <f ca="1">IF(AB20="","",IF(StaticData.Today=TODAY(),_xll.BDP(AB20,"LAST_PRICE"),_xll.BDH(AB20,"LAST_PRICE",StaticData.Today,StaticData.Today)))</f>
        <v>4.55</v>
      </c>
      <c r="AE20" s="27">
        <f t="shared" ca="1" si="8"/>
        <v>4.55E-4</v>
      </c>
      <c r="AG20" s="14" t="s">
        <v>1558</v>
      </c>
      <c r="AH20" s="25" t="s">
        <v>382</v>
      </c>
      <c r="AI20" s="26">
        <f ca="1">IF(AG20="","",IF(StaticData.Today=TODAY(),_xll.BDP(AG20,"LAST_PRICE"),_xll.BDH(AG20,"LAST_PRICE",StaticData.Today,StaticData.Today)))</f>
        <v>1.45</v>
      </c>
      <c r="AJ20" s="17">
        <f t="shared" ca="1" si="3"/>
        <v>1.45E-4</v>
      </c>
      <c r="AO20" s="24" t="s">
        <v>912</v>
      </c>
      <c r="AP20" s="25" t="s">
        <v>349</v>
      </c>
      <c r="AQ20" s="25"/>
      <c r="AR20" s="29">
        <f ca="1">IF(AO20="","",IF(StaticData.Today=TODAY(),_xll.BDP(AO20,"BID"),_xll.BDH(AO20,"BID",StaticData.Today,StaticData.Today)))</f>
        <v>-21.25</v>
      </c>
      <c r="AS20" s="29">
        <f ca="1">IF(AO20="","",IF(StaticData.Today=TODAY(),_xll.BDP(AO20,"ASK"),_xll.BDH(AO20,"ASK",StaticData.Today,StaticData.Today)))</f>
        <v>-16.25</v>
      </c>
      <c r="AT20" s="6">
        <f ca="1">IF(AO20="","",IF(StaticData.Today=TODAY(),_xll.BDP(AO20,"LAST_PRICE"),_xll.BDH(AO20,"LAST_PRICE",StaticData.Today,StaticData.Today)))</f>
        <v>-18.75</v>
      </c>
      <c r="AU20" s="6">
        <f t="shared" ca="1" si="4"/>
        <v>-18.75</v>
      </c>
      <c r="AW20" s="24" t="s">
        <v>1573</v>
      </c>
      <c r="AX20" s="25" t="s">
        <v>1571</v>
      </c>
      <c r="AY20" s="31"/>
      <c r="AZ20" s="177">
        <f ca="1">IF(AW20="","",IF(StaticData.Today=TODAY(),_xll.BDP(AW20,"BID"),_xll.BDH(AW20,"BID",StaticData.Today,StaticData.Today)))</f>
        <v>68.510000000000005</v>
      </c>
      <c r="BA20" s="177">
        <f ca="1">IF(AW20="","",IF(StaticData.Today=TODAY(),_xll.BDP(AW20,"ASK"),_xll.BDH(AW20,"ASK",StaticData.Today,StaticData.Today)))</f>
        <v>69.489999999999995</v>
      </c>
      <c r="BB20" s="177">
        <f ca="1">IF(AW20="","",IF(StaticData.Today=TODAY(),_xll.BDP(AW20,"LAST_PRICE"),_xll.BDH(AW20,"LAST_PRICE",StaticData.Today,StaticData.Today)))</f>
        <v>69</v>
      </c>
      <c r="BC20" s="181">
        <f t="shared" ca="1" si="13"/>
        <v>69</v>
      </c>
    </row>
    <row r="21" spans="2:55" x14ac:dyDescent="0.25">
      <c r="B21" s="36"/>
      <c r="C21" s="36"/>
      <c r="D21" s="36"/>
      <c r="E21" s="36"/>
      <c r="G21" s="24" t="str">
        <f>"EUSWE6"&amp;$G$1&amp;" Curncy"</f>
        <v>EUSWE6 ICPL Curncy</v>
      </c>
      <c r="H21" s="25" t="s">
        <v>339</v>
      </c>
      <c r="I21" s="464"/>
      <c r="J21" s="25"/>
      <c r="K21" s="25"/>
      <c r="L21" s="26">
        <f ca="1">IF(G21="","",IF(StaticData.Today=TODAY(),_xll.BDP(G21,"LAST_PRICE"),_xll.BDH(G21,"LAST_PRICE",StaticData.Today,StaticData.Today)))</f>
        <v>-0.48899999999999999</v>
      </c>
      <c r="M21" s="27">
        <f t="shared" ca="1" si="14"/>
        <v>-4.8900000000000002E-3</v>
      </c>
      <c r="O21" s="24" t="str">
        <f>"EUSW4V3"&amp;$O$2&amp;" Curncy"</f>
        <v>EUSW4V3 CMPN Curncy</v>
      </c>
      <c r="P21" s="25" t="s">
        <v>324</v>
      </c>
      <c r="Q21" s="28"/>
      <c r="R21" s="185">
        <f ca="1">IF(O21="","",IF(StaticData.Today=TODAY(),_xll.BDP(O21,"BID"),_xll.BDH(O21,"BID",StaticData.Today,StaticData.Today)))</f>
        <v>-0.5081</v>
      </c>
      <c r="S21" s="185">
        <f ca="1">IF(O21="","",IF(StaticData.Today=TODAY(),_xll.BDP(O21,"ASK"),_xll.BDH(O21,"ASK",StaticData.Today,StaticData.Today)))</f>
        <v>-0.50309999999999999</v>
      </c>
      <c r="T21" s="30">
        <f ca="1">IF(O21="","",IF(StaticData.Today=TODAY(),_xll.BDP(O21,"LAST_PRICE"),_xll.BDH(O21,"LAST_PRICE",StaticData.Today,StaticData.Today)))</f>
        <v>-0.50570000000000004</v>
      </c>
      <c r="U21" s="27">
        <f t="shared" ref="U21:U34" ca="1" si="16">T21/100</f>
        <v>-5.0570000000000007E-3</v>
      </c>
      <c r="W21" s="24" t="str">
        <f>"EUFR0K1E"&amp;$W$2&amp;" Curncy"</f>
        <v>EUFR0K1E ICPL Curncy</v>
      </c>
      <c r="X21" s="25" t="s">
        <v>882</v>
      </c>
      <c r="Y21" s="26">
        <f ca="1">IF(W21="","",IF(StaticData.Today=TODAY(),_xll.BDP(W21,"LAST_PRICE"),_xll.BDH(W21,"LAST_PRICE",StaticData.Today,StaticData.Today)))</f>
        <v>-0.47699999999999998</v>
      </c>
      <c r="Z21" s="27">
        <f t="shared" ca="1" si="2"/>
        <v>-4.7699999999999999E-3</v>
      </c>
      <c r="AB21" s="24" t="s">
        <v>1532</v>
      </c>
      <c r="AC21" s="25" t="s">
        <v>358</v>
      </c>
      <c r="AD21" s="26">
        <f ca="1">IF(AB21="","",IF(StaticData.Today=TODAY(),_xll.BDP(AB21,"LAST_PRICE"),_xll.BDH(AB21,"LAST_PRICE",StaticData.Today,StaticData.Today)))</f>
        <v>4.5</v>
      </c>
      <c r="AE21" s="27">
        <f t="shared" ca="1" si="8"/>
        <v>4.4999999999999999E-4</v>
      </c>
      <c r="AG21" s="14" t="s">
        <v>1559</v>
      </c>
      <c r="AH21" s="25" t="s">
        <v>389</v>
      </c>
      <c r="AI21" s="26">
        <f ca="1">IF(AG21="","",IF(StaticData.Today=TODAY(),_xll.BDP(AG21,"LAST_PRICE"),_xll.BDH(AG21,"LAST_PRICE",StaticData.Today,StaticData.Today)))</f>
        <v>0.95</v>
      </c>
      <c r="AJ21" s="17">
        <f t="shared" ca="1" si="3"/>
        <v>9.4999999999999992E-5</v>
      </c>
      <c r="AO21" s="24" t="s">
        <v>913</v>
      </c>
      <c r="AP21" s="25" t="s">
        <v>358</v>
      </c>
      <c r="AQ21" s="25"/>
      <c r="AR21" s="29">
        <f ca="1">IF(AO21="","",IF(StaticData.Today=TODAY(),_xll.BDP(AO21,"BID"),_xll.BDH(AO21,"BID",StaticData.Today,StaticData.Today)))</f>
        <v>-21.625</v>
      </c>
      <c r="AS21" s="29">
        <f ca="1">IF(AO21="","",IF(StaticData.Today=TODAY(),_xll.BDP(AO21,"ASK"),_xll.BDH(AO21,"ASK",StaticData.Today,StaticData.Today)))</f>
        <v>-16.625</v>
      </c>
      <c r="AT21" s="6">
        <f ca="1">IF(AO21="","",IF(StaticData.Today=TODAY(),_xll.BDP(AO21,"LAST_PRICE"),_xll.BDH(AO21,"LAST_PRICE",StaticData.Today,StaticData.Today)))</f>
        <v>-19.125</v>
      </c>
      <c r="AU21" s="6">
        <f t="shared" ca="1" si="4"/>
        <v>-19.125</v>
      </c>
      <c r="AW21" s="24" t="s">
        <v>899</v>
      </c>
      <c r="AX21" s="25" t="s">
        <v>376</v>
      </c>
      <c r="AY21" s="31"/>
      <c r="AZ21" s="178">
        <f ca="1">IF(AW21="","",IF(StaticData.Today=TODAY(),_xll.BDP(AW21,"BID"),_xll.BDH(AW21,"BID",StaticData.Today,StaticData.Today)))</f>
        <v>76.55</v>
      </c>
      <c r="BA21" s="178">
        <f ca="1">IF(AW21="","",IF(StaticData.Today=TODAY(),_xll.BDP(AW21,"ASK"),_xll.BDH(AW21,"ASK",StaticData.Today,StaticData.Today)))</f>
        <v>77.55</v>
      </c>
      <c r="BB21" s="30">
        <f ca="1">IF(AW21="","",IF(StaticData.Today=TODAY(),_xll.BDP(AW21,"LAST_PRICE"),_xll.BDH(AW21,"LAST_PRICE",StaticData.Today,StaticData.Today)))</f>
        <v>77.05</v>
      </c>
      <c r="BC21" s="181">
        <f t="shared" ca="1" si="10"/>
        <v>77.05</v>
      </c>
    </row>
    <row r="22" spans="2:55" x14ac:dyDescent="0.25">
      <c r="B22" s="36"/>
      <c r="C22" s="36"/>
      <c r="D22" s="36"/>
      <c r="E22" s="36"/>
      <c r="G22" s="24" t="str">
        <f>"EUSWE7"&amp;$G$1&amp;" Curncy"</f>
        <v>EUSWE7 ICPL Curncy</v>
      </c>
      <c r="H22" s="25" t="s">
        <v>342</v>
      </c>
      <c r="I22" s="464"/>
      <c r="J22" s="25"/>
      <c r="K22" s="25"/>
      <c r="L22" s="26">
        <f ca="1">IF(G22="","",IF(StaticData.Today=TODAY(),_xll.BDP(G22,"LAST_PRICE"),_xll.BDH(G22,"LAST_PRICE",StaticData.Today,StaticData.Today)))</f>
        <v>-0.45100000000000001</v>
      </c>
      <c r="M22" s="27">
        <f t="shared" ca="1" si="14"/>
        <v>-4.5100000000000001E-3</v>
      </c>
      <c r="O22" s="24" t="str">
        <f>"EUSW5V3"&amp;$O$2&amp;" Curncy"</f>
        <v>EUSW5V3 CMPN Curncy</v>
      </c>
      <c r="P22" s="25" t="s">
        <v>331</v>
      </c>
      <c r="Q22" s="28"/>
      <c r="R22" s="185">
        <f ca="1">IF(O22="","",IF(StaticData.Today=TODAY(),_xll.BDP(O22,"BID"),_xll.BDH(O22,"BID",StaticData.Today,StaticData.Today)))</f>
        <v>-0.48230000000000001</v>
      </c>
      <c r="S22" s="185">
        <f ca="1">IF(O22="","",IF(StaticData.Today=TODAY(),_xll.BDP(O22,"ASK"),_xll.BDH(O22,"ASK",StaticData.Today,StaticData.Today)))</f>
        <v>-0.4773</v>
      </c>
      <c r="T22" s="30">
        <f ca="1">IF(O22="","",IF(StaticData.Today=TODAY(),_xll.BDP(O22,"LAST_PRICE"),_xll.BDH(O22,"LAST_PRICE",StaticData.Today,StaticData.Today)))</f>
        <v>-0.47989999999999999</v>
      </c>
      <c r="U22" s="27">
        <f t="shared" ca="1" si="16"/>
        <v>-4.7990000000000003E-3</v>
      </c>
      <c r="W22" s="24" t="str">
        <f>"EUSA2"&amp;$W$2&amp;" Curncy"</f>
        <v>EUSA2 ICPL Curncy</v>
      </c>
      <c r="X22" s="25" t="s">
        <v>308</v>
      </c>
      <c r="Y22" s="26">
        <f ca="1">IF(W22="","",IF(StaticData.Today=TODAY(),_xll.BDP(W22,"LAST_PRICE"),_xll.BDH(W22,"LAST_PRICE",StaticData.Today,StaticData.Today)))</f>
        <v>-0.47599999999999998</v>
      </c>
      <c r="Z22" s="27">
        <f t="shared" ca="1" si="2"/>
        <v>-4.7599999999999995E-3</v>
      </c>
      <c r="AB22" s="24" t="s">
        <v>1533</v>
      </c>
      <c r="AC22" s="25" t="s">
        <v>367</v>
      </c>
      <c r="AD22" s="26">
        <f ca="1">IF(AB22="","",IF(StaticData.Today=TODAY(),_xll.BDP(AB22,"LAST_PRICE"),_xll.BDH(AB22,"LAST_PRICE",StaticData.Today,StaticData.Today)))</f>
        <v>4.3</v>
      </c>
      <c r="AE22" s="27">
        <f t="shared" ca="1" si="8"/>
        <v>4.2999999999999999E-4</v>
      </c>
      <c r="AG22" s="24"/>
      <c r="AH22" s="25"/>
      <c r="AI22" s="26" t="str">
        <f ca="1">IF(AG22="","",IF(StaticData.Today=TODAY(),_xll.BDP(AG22,"LAST_PRICE"),_xll.BDH(AG22,"LAST_PRICE",StaticData.Today,StaticData.Today)))</f>
        <v/>
      </c>
      <c r="AJ22" s="17"/>
      <c r="AO22" s="24" t="s">
        <v>914</v>
      </c>
      <c r="AP22" s="25" t="s">
        <v>367</v>
      </c>
      <c r="AQ22" s="25"/>
      <c r="AR22" s="29">
        <f ca="1">IF(AO22="","",IF(StaticData.Today=TODAY(),_xll.BDP(AO22,"BID"),_xll.BDH(AO22,"BID",StaticData.Today,StaticData.Today)))</f>
        <v>-21.375</v>
      </c>
      <c r="AS22" s="29">
        <f ca="1">IF(AO22="","",IF(StaticData.Today=TODAY(),_xll.BDP(AO22,"ASK"),_xll.BDH(AO22,"ASK",StaticData.Today,StaticData.Today)))</f>
        <v>-16.375</v>
      </c>
      <c r="AT22" s="6">
        <f ca="1">IF(AO22="","",IF(StaticData.Today=TODAY(),_xll.BDP(AO22,"LAST_PRICE"),_xll.BDH(AO22,"LAST_PRICE",StaticData.Today,StaticData.Today)))</f>
        <v>-18.875</v>
      </c>
      <c r="AU22" s="6">
        <f t="shared" ca="1" si="4"/>
        <v>-18.875</v>
      </c>
      <c r="AW22" s="24" t="s">
        <v>1574</v>
      </c>
      <c r="AX22" s="25" t="s">
        <v>1576</v>
      </c>
      <c r="AY22" s="31"/>
      <c r="AZ22" s="178">
        <f ca="1">IF(AW22="","",IF(StaticData.Today=TODAY(),_xll.BDP(AW22,"BID"),_xll.BDH(AW22,"BID",StaticData.Today,StaticData.Today)))</f>
        <v>85.1</v>
      </c>
      <c r="BA22" s="178">
        <f ca="1">IF(AW22="","",IF(StaticData.Today=TODAY(),_xll.BDP(AW22,"ASK"),_xll.BDH(AW22,"ASK",StaticData.Today,StaticData.Today)))</f>
        <v>86.1</v>
      </c>
      <c r="BB22" s="30">
        <f ca="1">IF(AW22="","",IF(StaticData.Today=TODAY(),_xll.BDP(AW22,"LAST_PRICE"),_xll.BDH(AW22,"LAST_PRICE",StaticData.Today,StaticData.Today)))</f>
        <v>85.6</v>
      </c>
      <c r="BC22" s="181">
        <f t="shared" ref="BC22:BC23" ca="1" si="17">BB22</f>
        <v>85.6</v>
      </c>
    </row>
    <row r="23" spans="2:55" x14ac:dyDescent="0.25">
      <c r="B23" s="36"/>
      <c r="C23" s="36"/>
      <c r="D23" s="36"/>
      <c r="E23" s="36"/>
      <c r="G23" s="24" t="str">
        <f>"EUSWE8"&amp;$G$1&amp;" Curncy"</f>
        <v>EUSWE8 ICPL Curncy</v>
      </c>
      <c r="H23" s="25" t="s">
        <v>355</v>
      </c>
      <c r="I23" s="464"/>
      <c r="J23" s="25"/>
      <c r="K23" s="25"/>
      <c r="L23" s="26">
        <f ca="1">IF(G23="","",IF(StaticData.Today=TODAY(),_xll.BDP(G23,"LAST_PRICE"),_xll.BDH(G23,"LAST_PRICE",StaticData.Today,StaticData.Today)))</f>
        <v>-0.40899999999999997</v>
      </c>
      <c r="M23" s="27">
        <f t="shared" ca="1" si="14"/>
        <v>-4.0899999999999999E-3</v>
      </c>
      <c r="O23" s="24" t="str">
        <f>"EUSW6V3"&amp;$O$2&amp;" Curncy"</f>
        <v>EUSW6V3 CMPN Curncy</v>
      </c>
      <c r="P23" s="25" t="s">
        <v>339</v>
      </c>
      <c r="Q23" s="28"/>
      <c r="R23" s="185">
        <f ca="1">IF(O23="","",IF(StaticData.Today=TODAY(),_xll.BDP(O23,"BID"),_xll.BDH(O23,"BID",StaticData.Today,StaticData.Today)))</f>
        <v>-0.4481</v>
      </c>
      <c r="S23" s="185">
        <f ca="1">IF(O23="","",IF(StaticData.Today=TODAY(),_xll.BDP(O23,"ASK"),_xll.BDH(O23,"ASK",StaticData.Today,StaticData.Today)))</f>
        <v>-0.44309999999999999</v>
      </c>
      <c r="T23" s="30">
        <f ca="1">IF(O23="","",IF(StaticData.Today=TODAY(),_xll.BDP(O23,"LAST_PRICE"),_xll.BDH(O23,"LAST_PRICE",StaticData.Today,StaticData.Today)))</f>
        <v>-0.44569999999999999</v>
      </c>
      <c r="U23" s="27">
        <f t="shared" ca="1" si="16"/>
        <v>-4.457E-3</v>
      </c>
      <c r="W23" s="24" t="str">
        <f>"EUSA3"&amp;$W$2&amp;" Curncy"</f>
        <v>EUSA3 ICPL Curncy</v>
      </c>
      <c r="X23" s="25" t="s">
        <v>316</v>
      </c>
      <c r="Y23" s="26">
        <f ca="1">IF(W23="","",IF(StaticData.Today=TODAY(),_xll.BDP(W23,"LAST_PRICE"),_xll.BDH(W23,"LAST_PRICE",StaticData.Today,StaticData.Today)))</f>
        <v>-0.47099999999999997</v>
      </c>
      <c r="Z23" s="27">
        <f t="shared" ca="1" si="2"/>
        <v>-4.7099999999999998E-3</v>
      </c>
      <c r="AB23" s="24" t="s">
        <v>1534</v>
      </c>
      <c r="AC23" s="25" t="s">
        <v>374</v>
      </c>
      <c r="AD23" s="26">
        <f ca="1">IF(AB23="","",IF(StaticData.Today=TODAY(),_xll.BDP(AB23,"LAST_PRICE"),_xll.BDH(AB23,"LAST_PRICE",StaticData.Today,StaticData.Today)))</f>
        <v>4.05</v>
      </c>
      <c r="AE23" s="27">
        <f t="shared" ca="1" si="8"/>
        <v>4.0499999999999998E-4</v>
      </c>
      <c r="AG23" s="24"/>
      <c r="AH23" s="25"/>
      <c r="AI23" s="26" t="str">
        <f ca="1">IF(AG23="","",IF(StaticData.Today=TODAY(),_xll.BDP(AG23,"LAST_PRICE"),_xll.BDH(AG23,"LAST_PRICE",StaticData.Today,StaticData.Today)))</f>
        <v/>
      </c>
      <c r="AJ23" s="17"/>
      <c r="AO23" s="24" t="s">
        <v>915</v>
      </c>
      <c r="AP23" s="25" t="s">
        <v>374</v>
      </c>
      <c r="AQ23" s="25"/>
      <c r="AR23" s="29">
        <f ca="1">IF(AO23="","",IF(StaticData.Today=TODAY(),_xll.BDP(AO23,"BID"),_xll.BDH(AO23,"BID",StaticData.Today,StaticData.Today)))</f>
        <v>-18.75</v>
      </c>
      <c r="AS23" s="29">
        <f ca="1">IF(AO23="","",IF(StaticData.Today=TODAY(),_xll.BDP(AO23,"ASK"),_xll.BDH(AO23,"ASK",StaticData.Today,StaticData.Today)))</f>
        <v>-13.75</v>
      </c>
      <c r="AT23" s="6">
        <f ca="1">IF(AO23="","",IF(StaticData.Today=TODAY(),_xll.BDP(AO23,"LAST_PRICE"),_xll.BDH(AO23,"LAST_PRICE",StaticData.Today,StaticData.Today)))</f>
        <v>-16.25</v>
      </c>
      <c r="AU23" s="6">
        <f t="shared" ca="1" si="4"/>
        <v>-16.25</v>
      </c>
      <c r="AW23" s="24" t="s">
        <v>1575</v>
      </c>
      <c r="AX23" s="25" t="s">
        <v>1577</v>
      </c>
      <c r="AY23" s="31"/>
      <c r="AZ23" s="178">
        <f ca="1">IF(AW23="","",IF(StaticData.Today=TODAY(),_xll.BDP(AW23,"BID"),_xll.BDH(AW23,"BID",StaticData.Today,StaticData.Today)))</f>
        <v>93.03</v>
      </c>
      <c r="BA23" s="178">
        <f ca="1">IF(AW23="","",IF(StaticData.Today=TODAY(),_xll.BDP(AW23,"ASK"),_xll.BDH(AW23,"ASK",StaticData.Today,StaticData.Today)))</f>
        <v>94.07</v>
      </c>
      <c r="BB23" s="30">
        <f ca="1">IF(AW23="","",IF(StaticData.Today=TODAY(),_xll.BDP(AW23,"LAST_PRICE"),_xll.BDH(AW23,"LAST_PRICE",StaticData.Today,StaticData.Today)))</f>
        <v>93.55</v>
      </c>
      <c r="BC23" s="181">
        <f t="shared" ca="1" si="17"/>
        <v>93.55</v>
      </c>
    </row>
    <row r="24" spans="2:55" x14ac:dyDescent="0.25">
      <c r="G24" s="24" t="str">
        <f>"EUSWE9"&amp;$G$1&amp;" Curncy"</f>
        <v>EUSWE9 ICPL Curncy</v>
      </c>
      <c r="H24" s="25" t="s">
        <v>364</v>
      </c>
      <c r="I24" s="464"/>
      <c r="J24" s="25"/>
      <c r="K24" s="25"/>
      <c r="L24" s="26">
        <f ca="1">IF(G24="","",IF(StaticData.Today=TODAY(),_xll.BDP(G24,"LAST_PRICE"),_xll.BDH(G24,"LAST_PRICE",StaticData.Today,StaticData.Today)))</f>
        <v>-0.36499999999999999</v>
      </c>
      <c r="M24" s="27">
        <f t="shared" ca="1" si="14"/>
        <v>-3.65E-3</v>
      </c>
      <c r="O24" s="24" t="str">
        <f>"EUSW7V3"&amp;$O$2&amp;" Curncy"</f>
        <v>EUSW7V3 CMPN Curncy</v>
      </c>
      <c r="P24" s="25" t="s">
        <v>342</v>
      </c>
      <c r="Q24" s="28"/>
      <c r="R24" s="185">
        <f ca="1">IF(O24="","",IF(StaticData.Today=TODAY(),_xll.BDP(O24,"BID"),_xll.BDH(O24,"BID",StaticData.Today,StaticData.Today)))</f>
        <v>-0.40579999999999999</v>
      </c>
      <c r="S24" s="185">
        <f ca="1">IF(O24="","",IF(StaticData.Today=TODAY(),_xll.BDP(O24,"ASK"),_xll.BDH(O24,"ASK",StaticData.Today,StaticData.Today)))</f>
        <v>-0.40079999999999999</v>
      </c>
      <c r="T24" s="30">
        <f ca="1">IF(O24="","",IF(StaticData.Today=TODAY(),_xll.BDP(O24,"LAST_PRICE"),_xll.BDH(O24,"LAST_PRICE",StaticData.Today,StaticData.Today)))</f>
        <v>-0.40339999999999998</v>
      </c>
      <c r="U24" s="27">
        <f t="shared" ca="1" si="16"/>
        <v>-4.0339999999999994E-3</v>
      </c>
      <c r="W24" s="24" t="str">
        <f>"EUSA4"&amp;$W$2&amp;" Curncy"</f>
        <v>EUSA4 ICPL Curncy</v>
      </c>
      <c r="X24" s="25" t="s">
        <v>324</v>
      </c>
      <c r="Y24" s="26">
        <f ca="1">IF(W24="","",IF(StaticData.Today=TODAY(),_xll.BDP(W24,"LAST_PRICE"),_xll.BDH(W24,"LAST_PRICE",StaticData.Today,StaticData.Today)))</f>
        <v>-0.45100000000000001</v>
      </c>
      <c r="Z24" s="27">
        <f t="shared" ca="1" si="2"/>
        <v>-4.5100000000000001E-3</v>
      </c>
      <c r="AB24" s="24" t="s">
        <v>1535</v>
      </c>
      <c r="AC24" s="25" t="s">
        <v>382</v>
      </c>
      <c r="AD24" s="26">
        <f ca="1">IF(AB24="","",IF(StaticData.Today=TODAY(),_xll.BDP(AB24,"LAST_PRICE"),_xll.BDH(AB24,"LAST_PRICE",StaticData.Today,StaticData.Today)))</f>
        <v>3.7</v>
      </c>
      <c r="AE24" s="27">
        <f t="shared" ca="1" si="8"/>
        <v>3.6999999999999999E-4</v>
      </c>
      <c r="AG24" s="24"/>
      <c r="AH24" s="25"/>
      <c r="AI24" s="26" t="str">
        <f ca="1">IF(AG24="","",IF(StaticData.Today=TODAY(),_xll.BDP(AG24,"LAST_PRICE"),_xll.BDH(AG24,"LAST_PRICE",StaticData.Today,StaticData.Today)))</f>
        <v/>
      </c>
      <c r="AJ24" s="17"/>
      <c r="AO24" s="24" t="s">
        <v>916</v>
      </c>
      <c r="AP24" s="25" t="s">
        <v>382</v>
      </c>
      <c r="AQ24" s="25"/>
      <c r="AR24" s="29">
        <f ca="1">IF(AO24="","",IF(StaticData.Today=TODAY(),_xll.BDP(AO24,"BID"),_xll.BDH(AO24,"BID",StaticData.Today,StaticData.Today)))</f>
        <v>-14.875</v>
      </c>
      <c r="AS24" s="29">
        <f ca="1">IF(AO24="","",IF(StaticData.Today=TODAY(),_xll.BDP(AO24,"ASK"),_xll.BDH(AO24,"ASK",StaticData.Today,StaticData.Today)))</f>
        <v>-9.875</v>
      </c>
      <c r="AT24" s="6">
        <f ca="1">IF(AO24="","",IF(StaticData.Today=TODAY(),_xll.BDP(AO24,"LAST_PRICE"),_xll.BDH(AO24,"LAST_PRICE",StaticData.Today,StaticData.Today)))</f>
        <v>-12.375</v>
      </c>
      <c r="AU24" s="6">
        <f t="shared" ca="1" si="4"/>
        <v>-12.375</v>
      </c>
      <c r="AW24" s="24" t="s">
        <v>1046</v>
      </c>
      <c r="AX24" s="25" t="s">
        <v>322</v>
      </c>
      <c r="AY24" s="28"/>
      <c r="AZ24" s="178">
        <f ca="1">IF(AW24="","",IF(StaticData.Today=TODAY(),_xll.BDP(AW24,"BID"),_xll.BDH(AW24,"BID",StaticData.Today,StaticData.Today)))</f>
        <v>101.66</v>
      </c>
      <c r="BA24" s="178">
        <f ca="1">IF(AW24="","",IF(StaticData.Today=TODAY(),_xll.BDP(AW24,"ASK"),_xll.BDH(AW24,"ASK",StaticData.Today,StaticData.Today)))</f>
        <v>103.13</v>
      </c>
      <c r="BB24" s="30">
        <f ca="1">IF(AW24="","",IF(StaticData.Today=TODAY(),_xll.BDP(AW24,"LAST_PRICE"),_xll.BDH(AW24,"LAST_PRICE",StaticData.Today,StaticData.Today)))</f>
        <v>102.39</v>
      </c>
      <c r="BC24" s="181">
        <f t="shared" ref="BC24" ca="1" si="18">BB24</f>
        <v>102.39</v>
      </c>
    </row>
    <row r="25" spans="2:55" x14ac:dyDescent="0.25">
      <c r="G25" s="24" t="str">
        <f>"EUSWE10"&amp;$G$1&amp;" Curncy"</f>
        <v>EUSWE10 ICPL Curncy</v>
      </c>
      <c r="H25" s="25" t="s">
        <v>349</v>
      </c>
      <c r="I25" s="464"/>
      <c r="J25" s="25"/>
      <c r="K25" s="25"/>
      <c r="L25" s="26">
        <f ca="1">IF(G25="","",IF(StaticData.Today=TODAY(),_xll.BDP(G25,"LAST_PRICE"),_xll.BDH(G25,"LAST_PRICE",StaticData.Today,StaticData.Today)))</f>
        <v>-0.316</v>
      </c>
      <c r="M25" s="27">
        <f t="shared" ca="1" si="14"/>
        <v>-3.16E-3</v>
      </c>
      <c r="O25" s="24" t="str">
        <f>"EUSW8V3"&amp;$O$2&amp;" Curncy"</f>
        <v>EUSW8V3 CMPN Curncy</v>
      </c>
      <c r="P25" s="25" t="s">
        <v>355</v>
      </c>
      <c r="Q25" s="28"/>
      <c r="R25" s="185">
        <f ca="1">IF(O25="","",IF(StaticData.Today=TODAY(),_xll.BDP(O25,"BID"),_xll.BDH(O25,"BID",StaticData.Today,StaticData.Today)))</f>
        <v>-0.36020000000000002</v>
      </c>
      <c r="S25" s="185">
        <f ca="1">IF(O25="","",IF(StaticData.Today=TODAY(),_xll.BDP(O25,"ASK"),_xll.BDH(O25,"ASK",StaticData.Today,StaticData.Today)))</f>
        <v>-0.35520000000000002</v>
      </c>
      <c r="T25" s="30">
        <f ca="1">IF(O25="","",IF(StaticData.Today=TODAY(),_xll.BDP(O25,"LAST_PRICE"),_xll.BDH(O25,"LAST_PRICE",StaticData.Today,StaticData.Today)))</f>
        <v>-0.35780000000000001</v>
      </c>
      <c r="U25" s="27">
        <f t="shared" ca="1" si="16"/>
        <v>-3.578E-3</v>
      </c>
      <c r="W25" s="24" t="str">
        <f>"EUSA5"&amp;$W$2&amp;" Curncy"</f>
        <v>EUSA5 ICPL Curncy</v>
      </c>
      <c r="X25" s="25" t="s">
        <v>331</v>
      </c>
      <c r="Y25" s="26">
        <f ca="1">IF(W25="","",IF(StaticData.Today=TODAY(),_xll.BDP(W25,"LAST_PRICE"),_xll.BDH(W25,"LAST_PRICE",StaticData.Today,StaticData.Today)))</f>
        <v>-0.42399999999999999</v>
      </c>
      <c r="Z25" s="27">
        <f t="shared" ca="1" si="2"/>
        <v>-4.2399999999999998E-3</v>
      </c>
      <c r="AB25" s="24" t="s">
        <v>1536</v>
      </c>
      <c r="AC25" s="25" t="s">
        <v>389</v>
      </c>
      <c r="AD25" s="26">
        <f ca="1">IF(AB25="","",IF(StaticData.Today=TODAY(),_xll.BDP(AB25,"LAST_PRICE"),_xll.BDH(AB25,"LAST_PRICE",StaticData.Today,StaticData.Today)))</f>
        <v>3.4</v>
      </c>
      <c r="AE25" s="27">
        <f t="shared" ca="1" si="8"/>
        <v>3.3999999999999997E-4</v>
      </c>
      <c r="AG25" s="24"/>
      <c r="AH25" s="25"/>
      <c r="AI25" s="26" t="str">
        <f ca="1">IF(AG25="","",IF(StaticData.Today=TODAY(),_xll.BDP(AG25,"LAST_PRICE"),_xll.BDH(AG25,"LAST_PRICE",StaticData.Today,StaticData.Today)))</f>
        <v/>
      </c>
      <c r="AJ25" s="17"/>
      <c r="AO25" s="24" t="s">
        <v>917</v>
      </c>
      <c r="AP25" s="25" t="s">
        <v>389</v>
      </c>
      <c r="AQ25" s="25"/>
      <c r="AR25" s="29">
        <f ca="1">IF(AO25="","",IF(StaticData.Today=TODAY(),_xll.BDP(AO25,"BID"),_xll.BDH(AO25,"BID",StaticData.Today,StaticData.Today)))</f>
        <v>-11.875</v>
      </c>
      <c r="AS25" s="29">
        <f ca="1">IF(AO25="","",IF(StaticData.Today=TODAY(),_xll.BDP(AO25,"ASK"),_xll.BDH(AO25,"ASK",StaticData.Today,StaticData.Today)))</f>
        <v>-6.875</v>
      </c>
      <c r="AT25" s="6">
        <f ca="1">IF(AO25="","",IF(StaticData.Today=TODAY(),_xll.BDP(AO25,"LAST_PRICE"),_xll.BDH(AO25,"LAST_PRICE",StaticData.Today,StaticData.Today)))</f>
        <v>-9.375</v>
      </c>
      <c r="AU25" s="6">
        <f t="shared" ca="1" si="4"/>
        <v>-9.375</v>
      </c>
      <c r="AW25" s="24" t="s">
        <v>1047</v>
      </c>
      <c r="AX25" s="25" t="s">
        <v>823</v>
      </c>
      <c r="AY25" s="28"/>
      <c r="AZ25" s="178">
        <f ca="1">IF(AW25="","",IF(StaticData.Today=TODAY(),_xll.BDP(AW25,"BID"),_xll.BDH(AW25,"BID",StaticData.Today,StaticData.Today)))</f>
        <v>126.93</v>
      </c>
      <c r="BA25" s="178">
        <f ca="1">IF(AW25="","",IF(StaticData.Today=TODAY(),_xll.BDP(AW25,"ASK"),_xll.BDH(AW25,"ASK",StaticData.Today,StaticData.Today)))</f>
        <v>129.54</v>
      </c>
      <c r="BB25" s="30">
        <f ca="1">IF(AW25="","",IF(StaticData.Today=TODAY(),_xll.BDP(AW25,"LAST_PRICE"),_xll.BDH(AW25,"LAST_PRICE",StaticData.Today,StaticData.Today)))</f>
        <v>128.22999999999999</v>
      </c>
      <c r="BC25" s="181">
        <f t="shared" ref="BC25:BC29" ca="1" si="19">BB25</f>
        <v>128.22999999999999</v>
      </c>
    </row>
    <row r="26" spans="2:55" x14ac:dyDescent="0.25">
      <c r="G26" s="24" t="str">
        <f>"EOBSVC1"&amp;$G$1&amp;" Curncy"</f>
        <v>EOBSVC1 ICPL Curncy</v>
      </c>
      <c r="H26" s="25" t="s">
        <v>47</v>
      </c>
      <c r="I26" s="464"/>
      <c r="J26" s="25"/>
      <c r="K26" s="25"/>
      <c r="L26" s="26">
        <f ca="1">IF(G26="","",IF(StaticData.Today=TODAY(),_xll.BDP(G26,"LAST_PRICE"),_xll.BDH(G26,"LAST_PRICE",StaticData.Today,StaticData.Today)))</f>
        <v>1</v>
      </c>
      <c r="M26" s="27">
        <f t="shared" ref="M26:M29" ca="1" si="20">L26/100</f>
        <v>0.01</v>
      </c>
      <c r="O26" s="24" t="str">
        <f>"EUSW9V3"&amp;$O$2&amp;" Curncy"</f>
        <v>EUSW9V3 CMPN Curncy</v>
      </c>
      <c r="P26" s="25" t="s">
        <v>364</v>
      </c>
      <c r="Q26" s="28"/>
      <c r="R26" s="185">
        <f ca="1">IF(O26="","",IF(StaticData.Today=TODAY(),_xll.BDP(O26,"BID"),_xll.BDH(O26,"BID",StaticData.Today,StaticData.Today)))</f>
        <v>-0.312</v>
      </c>
      <c r="S26" s="185">
        <f ca="1">IF(O26="","",IF(StaticData.Today=TODAY(),_xll.BDP(O26,"ASK"),_xll.BDH(O26,"ASK",StaticData.Today,StaticData.Today)))</f>
        <v>-0.30719999999999997</v>
      </c>
      <c r="T26" s="30">
        <f ca="1">IF(O26="","",IF(StaticData.Today=TODAY(),_xll.BDP(O26,"LAST_PRICE"),_xll.BDH(O26,"LAST_PRICE",StaticData.Today,StaticData.Today)))</f>
        <v>-0.30959999999999999</v>
      </c>
      <c r="U26" s="27">
        <f t="shared" ca="1" si="16"/>
        <v>-3.0959999999999998E-3</v>
      </c>
      <c r="W26" s="24" t="str">
        <f>"EUSA6"&amp;$W$2&amp;" Curncy"</f>
        <v>EUSA6 ICPL Curncy</v>
      </c>
      <c r="X26" s="25" t="s">
        <v>339</v>
      </c>
      <c r="Y26" s="26">
        <f ca="1">IF(W26="","",IF(StaticData.Today=TODAY(),_xll.BDP(W26,"LAST_PRICE"),_xll.BDH(W26,"LAST_PRICE",StaticData.Today,StaticData.Today)))</f>
        <v>-0.39</v>
      </c>
      <c r="Z26" s="27">
        <f t="shared" ca="1" si="2"/>
        <v>-3.9000000000000003E-3</v>
      </c>
      <c r="AB26" s="24" t="s">
        <v>1537</v>
      </c>
      <c r="AC26" s="25" t="s">
        <v>445</v>
      </c>
      <c r="AD26" s="26" t="str">
        <f ca="1">IF(AB26="","",IF(StaticData.Today=TODAY(),_xll.BDP(AB26,"LAST_PRICE"),_xll.BDH(AB26,"LAST_PRICE",StaticData.Today,StaticData.Today)))</f>
        <v>#N/A N/A</v>
      </c>
      <c r="AE26" s="27" t="e">
        <f t="shared" ca="1" si="8"/>
        <v>#VALUE!</v>
      </c>
      <c r="AG26" s="24"/>
      <c r="AH26" s="25"/>
      <c r="AI26" s="26" t="str">
        <f ca="1">IF(AG26="","",IF(StaticData.Today=TODAY(),_xll.BDP(AG26,"LAST_PRICE"),_xll.BDH(AG26,"LAST_PRICE",StaticData.Today,StaticData.Today)))</f>
        <v/>
      </c>
      <c r="AJ26" s="17"/>
      <c r="AW26" s="24" t="s">
        <v>1048</v>
      </c>
      <c r="AX26" s="25" t="s">
        <v>501</v>
      </c>
      <c r="AY26" s="28"/>
      <c r="AZ26" s="178">
        <f ca="1">IF(AW26="","",IF(StaticData.Today=TODAY(),_xll.BDP(AW26,"BID"),_xll.BDH(AW26,"BID",StaticData.Today,StaticData.Today)))</f>
        <v>153.15</v>
      </c>
      <c r="BA26" s="178">
        <f ca="1">IF(AW26="","",IF(StaticData.Today=TODAY(),_xll.BDP(AW26,"ASK"),_xll.BDH(AW26,"ASK",StaticData.Today,StaticData.Today)))</f>
        <v>156.15</v>
      </c>
      <c r="BB26" s="30">
        <f ca="1">IF(AW26="","",IF(StaticData.Today=TODAY(),_xll.BDP(AW26,"LAST_PRICE"),_xll.BDH(AW26,"LAST_PRICE",StaticData.Today,StaticData.Today)))</f>
        <v>154.65</v>
      </c>
      <c r="BC26" s="181">
        <f t="shared" ca="1" si="19"/>
        <v>154.65</v>
      </c>
    </row>
    <row r="27" spans="2:55" x14ac:dyDescent="0.25">
      <c r="G27" s="24" t="str">
        <f>"EOBSVC2"&amp;$G$1&amp;" Curncy"</f>
        <v>EOBSVC2 ICPL Curncy</v>
      </c>
      <c r="H27" s="25" t="s">
        <v>308</v>
      </c>
      <c r="I27" s="464"/>
      <c r="J27" s="25"/>
      <c r="K27" s="25"/>
      <c r="L27" s="26">
        <f ca="1">IF(G27="","",IF(StaticData.Today=TODAY(),_xll.BDP(G27,"LAST_PRICE"),_xll.BDH(G27,"LAST_PRICE",StaticData.Today,StaticData.Today)))</f>
        <v>2.2000000000000002</v>
      </c>
      <c r="M27" s="27">
        <f t="shared" ca="1" si="20"/>
        <v>2.2000000000000002E-2</v>
      </c>
      <c r="O27" s="24" t="str">
        <f>"EUSW10V3"&amp;$O$2&amp;" Curncy"</f>
        <v>EUSW10V3 CMPN Curncy</v>
      </c>
      <c r="P27" s="25" t="s">
        <v>349</v>
      </c>
      <c r="Q27" s="28"/>
      <c r="R27" s="185">
        <f ca="1">IF(O27="","",IF(StaticData.Today=TODAY(),_xll.BDP(O27,"BID"),_xll.BDH(O27,"BID",StaticData.Today,StaticData.Today)))</f>
        <v>-0.26140000000000002</v>
      </c>
      <c r="S27" s="185">
        <f ca="1">IF(O27="","",IF(StaticData.Today=TODAY(),_xll.BDP(O27,"ASK"),_xll.BDH(O27,"ASK",StaticData.Today,StaticData.Today)))</f>
        <v>-0.25729999999999997</v>
      </c>
      <c r="T27" s="30">
        <f ca="1">IF(O27="","",IF(StaticData.Today=TODAY(),_xll.BDP(O27,"LAST_PRICE"),_xll.BDH(O27,"LAST_PRICE",StaticData.Today,StaticData.Today)))</f>
        <v>-0.25990000000000002</v>
      </c>
      <c r="U27" s="27">
        <f t="shared" ca="1" si="16"/>
        <v>-2.5990000000000002E-3</v>
      </c>
      <c r="W27" s="24" t="str">
        <f>"EUSA7"&amp;$W$2&amp;" Curncy"</f>
        <v>EUSA7 ICPL Curncy</v>
      </c>
      <c r="X27" s="25" t="s">
        <v>342</v>
      </c>
      <c r="Y27" s="26">
        <f ca="1">IF(W27="","",IF(StaticData.Today=TODAY(),_xll.BDP(W27,"LAST_PRICE"),_xll.BDH(W27,"LAST_PRICE",StaticData.Today,StaticData.Today)))</f>
        <v>-0.35</v>
      </c>
      <c r="Z27" s="27">
        <f t="shared" ca="1" si="2"/>
        <v>-3.4999999999999996E-3</v>
      </c>
      <c r="AB27" s="24" t="s">
        <v>1538</v>
      </c>
      <c r="AC27" s="25" t="s">
        <v>448</v>
      </c>
      <c r="AD27" s="26" t="str">
        <f ca="1">IF(AB27="","",IF(StaticData.Today=TODAY(),_xll.BDP(AB27,"LAST_PRICE"),_xll.BDH(AB27,"LAST_PRICE",StaticData.Today,StaticData.Today)))</f>
        <v>#N/A N/A</v>
      </c>
      <c r="AE27" s="27" t="e">
        <f t="shared" ca="1" si="8"/>
        <v>#VALUE!</v>
      </c>
      <c r="AG27" s="24"/>
      <c r="AH27" s="25"/>
      <c r="AI27" s="26" t="str">
        <f ca="1">IF(AG27="","",IF(StaticData.Today=TODAY(),_xll.BDP(AG27,"LAST_PRICE"),_xll.BDH(AG27,"LAST_PRICE",StaticData.Today,StaticData.Today)))</f>
        <v/>
      </c>
      <c r="AJ27" s="17"/>
      <c r="AW27" s="24" t="s">
        <v>1049</v>
      </c>
      <c r="AX27" s="25" t="s">
        <v>834</v>
      </c>
      <c r="AY27" s="28"/>
      <c r="AZ27" s="178">
        <f ca="1">IF(AW27="","",IF(StaticData.Today=TODAY(),_xll.BDP(AW27,"BID"),_xll.BDH(AW27,"BID",StaticData.Today,StaticData.Today)))</f>
        <v>179.51</v>
      </c>
      <c r="BA27" s="178">
        <f ca="1">IF(AW27="","",IF(StaticData.Today=TODAY(),_xll.BDP(AW27,"ASK"),_xll.BDH(AW27,"ASK",StaticData.Today,StaticData.Today)))</f>
        <v>183.48</v>
      </c>
      <c r="BB27" s="30">
        <f ca="1">IF(AW27="","",IF(StaticData.Today=TODAY(),_xll.BDP(AW27,"LAST_PRICE"),_xll.BDH(AW27,"LAST_PRICE",StaticData.Today,StaticData.Today)))</f>
        <v>181.49</v>
      </c>
      <c r="BC27" s="181">
        <f t="shared" ca="1" si="19"/>
        <v>181.49</v>
      </c>
    </row>
    <row r="28" spans="2:55" x14ac:dyDescent="0.25">
      <c r="G28" s="24" t="str">
        <f>"EOBSVC3"&amp;$G$1&amp;" Curncy"</f>
        <v>EOBSVC3 ICPL Curncy</v>
      </c>
      <c r="H28" s="25" t="s">
        <v>316</v>
      </c>
      <c r="I28" s="464"/>
      <c r="J28" s="25"/>
      <c r="K28" s="25"/>
      <c r="L28" s="26">
        <f ca="1">IF(G28="","",IF(StaticData.Today=TODAY(),_xll.BDP(G28,"LAST_PRICE"),_xll.BDH(G28,"LAST_PRICE",StaticData.Today,StaticData.Today)))</f>
        <v>3.2</v>
      </c>
      <c r="M28" s="27">
        <f t="shared" ca="1" si="20"/>
        <v>3.2000000000000001E-2</v>
      </c>
      <c r="O28" s="24" t="str">
        <f>"EUSW12V3"&amp;$O$2&amp;" Curncy"</f>
        <v>EUSW12V3 CMPN Curncy</v>
      </c>
      <c r="P28" s="25" t="s">
        <v>358</v>
      </c>
      <c r="Q28" s="28"/>
      <c r="R28" s="185">
        <f ca="1">IF(O28="","",IF(StaticData.Today=TODAY(),_xll.BDP(O28,"BID"),_xll.BDH(O28,"BID",StaticData.Today,StaticData.Today)))</f>
        <v>-0.16439999999999999</v>
      </c>
      <c r="S28" s="185">
        <f ca="1">IF(O28="","",IF(StaticData.Today=TODAY(),_xll.BDP(O28,"ASK"),_xll.BDH(O28,"ASK",StaticData.Today,StaticData.Today)))</f>
        <v>-0.15939999999999999</v>
      </c>
      <c r="T28" s="30">
        <f ca="1">IF(O28="","",IF(StaticData.Today=TODAY(),_xll.BDP(O28,"LAST_PRICE"),_xll.BDH(O28,"LAST_PRICE",StaticData.Today,StaticData.Today)))</f>
        <v>-0.16200000000000001</v>
      </c>
      <c r="U28" s="27">
        <f t="shared" ca="1" si="16"/>
        <v>-1.6200000000000001E-3</v>
      </c>
      <c r="W28" s="24" t="str">
        <f>"EUSA8"&amp;$W$2&amp;" Curncy"</f>
        <v>EUSA8 ICPL Curncy</v>
      </c>
      <c r="X28" s="25" t="s">
        <v>355</v>
      </c>
      <c r="Y28" s="26">
        <f ca="1">IF(W28="","",IF(StaticData.Today=TODAY(),_xll.BDP(W28,"LAST_PRICE"),_xll.BDH(W28,"LAST_PRICE",StaticData.Today,StaticData.Today)))</f>
        <v>-0.307</v>
      </c>
      <c r="Z28" s="27">
        <f t="shared" ca="1" si="2"/>
        <v>-3.0699999999999998E-3</v>
      </c>
      <c r="AB28" s="24"/>
      <c r="AC28" s="25"/>
      <c r="AD28" s="26" t="str">
        <f ca="1"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 ca="1">IF(AG28="","",IF(StaticData.Today=TODAY(),_xll.BDP(AG28,"LAST_PRICE"),_xll.BDH(AG28,"LAST_PRICE",StaticData.Today,StaticData.Today)))</f>
        <v/>
      </c>
      <c r="AJ28" s="17"/>
      <c r="AW28" s="24" t="s">
        <v>1050</v>
      </c>
      <c r="AX28" s="25" t="s">
        <v>308</v>
      </c>
      <c r="AY28" s="28"/>
      <c r="AZ28" s="178">
        <f ca="1">IF(AW28="","",IF(StaticData.Today=TODAY(),_xll.BDP(AW28,"BID"),_xll.BDH(AW28,"BID",StaticData.Today,StaticData.Today)))</f>
        <v>205.23</v>
      </c>
      <c r="BA28" s="178">
        <f ca="1">IF(AW28="","",IF(StaticData.Today=TODAY(),_xll.BDP(AW28,"ASK"),_xll.BDH(AW28,"ASK",StaticData.Today,StaticData.Today)))</f>
        <v>209.77</v>
      </c>
      <c r="BB28" s="30">
        <f ca="1">IF(AW28="","",IF(StaticData.Today=TODAY(),_xll.BDP(AW28,"LAST_PRICE"),_xll.BDH(AW28,"LAST_PRICE",StaticData.Today,StaticData.Today)))</f>
        <v>207.5</v>
      </c>
      <c r="BC28" s="181">
        <f t="shared" ca="1" si="19"/>
        <v>207.5</v>
      </c>
    </row>
    <row r="29" spans="2:55" x14ac:dyDescent="0.25">
      <c r="G29" s="24" t="str">
        <f>"EOBSVC4"&amp;$G$1&amp;" Curncy"</f>
        <v>EOBSVC4 ICPL Curncy</v>
      </c>
      <c r="H29" s="25" t="s">
        <v>324</v>
      </c>
      <c r="I29" s="464"/>
      <c r="J29" s="25"/>
      <c r="K29" s="25"/>
      <c r="L29" s="26">
        <f ca="1">IF(G29="","",IF(StaticData.Today=TODAY(),_xll.BDP(G29,"LAST_PRICE"),_xll.BDH(G29,"LAST_PRICE",StaticData.Today,StaticData.Today)))</f>
        <v>4</v>
      </c>
      <c r="M29" s="27">
        <f t="shared" ca="1" si="20"/>
        <v>0.04</v>
      </c>
      <c r="O29" s="24" t="str">
        <f>"EUSW15V3"&amp;$O$2&amp;" Curncy"</f>
        <v>EUSW15V3 CMPN Curncy</v>
      </c>
      <c r="P29" s="25" t="s">
        <v>367</v>
      </c>
      <c r="Q29" s="28"/>
      <c r="R29" s="185">
        <f ca="1">IF(O29="","",IF(StaticData.Today=TODAY(),_xll.BDP(O29,"BID"),_xll.BDH(O29,"BID",StaticData.Today,StaticData.Today)))</f>
        <v>-5.0599999999999999E-2</v>
      </c>
      <c r="S29" s="185">
        <f ca="1">IF(O29="","",IF(StaticData.Today=TODAY(),_xll.BDP(O29,"ASK"),_xll.BDH(O29,"ASK",StaticData.Today,StaticData.Today)))</f>
        <v>-4.41E-2</v>
      </c>
      <c r="T29" s="30">
        <f ca="1">IF(O29="","",IF(StaticData.Today=TODAY(),_xll.BDP(O29,"LAST_PRICE"),_xll.BDH(O29,"LAST_PRICE",StaticData.Today,StaticData.Today)))</f>
        <v>-4.7399999999999998E-2</v>
      </c>
      <c r="U29" s="27">
        <f t="shared" ca="1" si="16"/>
        <v>-4.7399999999999997E-4</v>
      </c>
      <c r="W29" s="24" t="str">
        <f>"EUSA9"&amp;$W$2&amp;" Curncy"</f>
        <v>EUSA9 ICPL Curncy</v>
      </c>
      <c r="X29" s="25" t="s">
        <v>364</v>
      </c>
      <c r="Y29" s="26">
        <f ca="1">IF(W29="","",IF(StaticData.Today=TODAY(),_xll.BDP(W29,"LAST_PRICE"),_xll.BDH(W29,"LAST_PRICE",StaticData.Today,StaticData.Today)))</f>
        <v>-0.26200000000000001</v>
      </c>
      <c r="Z29" s="27">
        <f t="shared" ca="1" si="2"/>
        <v>-2.6199999999999999E-3</v>
      </c>
      <c r="AB29" s="24"/>
      <c r="AC29" s="25"/>
      <c r="AD29" s="26" t="str">
        <f ca="1"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 ca="1">IF(AG29="","",IF(StaticData.Today=TODAY(),_xll.BDP(AG29,"LAST_PRICE"),_xll.BDH(AG29,"LAST_PRICE",StaticData.Today,StaticData.Today)))</f>
        <v/>
      </c>
      <c r="AJ29" s="17"/>
      <c r="AW29" s="24" t="s">
        <v>1051</v>
      </c>
      <c r="AX29" s="25" t="s">
        <v>316</v>
      </c>
      <c r="AY29" s="28"/>
      <c r="AZ29" s="178">
        <f ca="1">IF(AW29="","",IF(StaticData.Today=TODAY(),_xll.BDP(AW29,"BID"),_xll.BDH(AW29,"BID",StaticData.Today,StaticData.Today)))</f>
        <v>314.01</v>
      </c>
      <c r="BA29" s="178">
        <f ca="1">IF(AW29="","",IF(StaticData.Today=TODAY(),_xll.BDP(AW29,"ASK"),_xll.BDH(AW29,"ASK",StaticData.Today,StaticData.Today)))</f>
        <v>323.99</v>
      </c>
      <c r="BB29" s="30">
        <f ca="1">IF(AW29="","",IF(StaticData.Today=TODAY(),_xll.BDP(AW29,"LAST_PRICE"),_xll.BDH(AW29,"LAST_PRICE",StaticData.Today,StaticData.Today)))</f>
        <v>319</v>
      </c>
      <c r="BC29" s="181">
        <f t="shared" ca="1" si="19"/>
        <v>319</v>
      </c>
    </row>
    <row r="30" spans="2:55" x14ac:dyDescent="0.25">
      <c r="G30" s="24" t="str">
        <f>"EOBSVC5"&amp;$G$1&amp;" Curncy"</f>
        <v>EOBSVC5 ICPL Curncy</v>
      </c>
      <c r="H30" s="25" t="s">
        <v>331</v>
      </c>
      <c r="I30" s="464"/>
      <c r="J30" s="25"/>
      <c r="K30" s="25"/>
      <c r="L30" s="26">
        <f ca="1">IF(G30="","",IF(StaticData.Today=TODAY(),_xll.BDP(G30,"LAST_PRICE"),_xll.BDH(G30,"LAST_PRICE",StaticData.Today,StaticData.Today)))</f>
        <v>4.5999999999999996</v>
      </c>
      <c r="M30" s="27">
        <f ca="1">L30/10000</f>
        <v>4.5999999999999996E-4</v>
      </c>
      <c r="O30" s="24" t="str">
        <f>"EUSW20V3"&amp;$O$2&amp;" Curncy"</f>
        <v>EUSW20V3 CMPN Curncy</v>
      </c>
      <c r="P30" s="25" t="s">
        <v>374</v>
      </c>
      <c r="Q30" s="28"/>
      <c r="R30" s="185">
        <f ca="1">IF(O30="","",IF(StaticData.Today=TODAY(),_xll.BDP(O30,"BID"),_xll.BDH(O30,"BID",StaticData.Today,StaticData.Today)))</f>
        <v>3.8600000000000002E-2</v>
      </c>
      <c r="S30" s="185">
        <f ca="1">IF(O30="","",IF(StaticData.Today=TODAY(),_xll.BDP(O30,"ASK"),_xll.BDH(O30,"ASK",StaticData.Today,StaticData.Today)))</f>
        <v>4.6600000000000003E-2</v>
      </c>
      <c r="T30" s="30">
        <f ca="1">IF(O30="","",IF(StaticData.Today=TODAY(),_xll.BDP(O30,"LAST_PRICE"),_xll.BDH(O30,"LAST_PRICE",StaticData.Today,StaticData.Today)))</f>
        <v>4.2500000000000003E-2</v>
      </c>
      <c r="U30" s="27">
        <f t="shared" ca="1" si="16"/>
        <v>4.2500000000000003E-4</v>
      </c>
      <c r="W30" s="24" t="str">
        <f>"EUSA10"&amp;$W$2&amp;" Curncy"</f>
        <v>EUSA10 ICPL Curncy</v>
      </c>
      <c r="X30" s="25" t="s">
        <v>349</v>
      </c>
      <c r="Y30" s="26">
        <f ca="1">IF(W30="","",IF(StaticData.Today=TODAY(),_xll.BDP(W30,"LAST_PRICE"),_xll.BDH(W30,"LAST_PRICE",StaticData.Today,StaticData.Today)))</f>
        <v>-0.215</v>
      </c>
      <c r="Z30" s="27">
        <f t="shared" ca="1" si="2"/>
        <v>-2.15E-3</v>
      </c>
      <c r="AB30" s="24"/>
      <c r="AC30" s="25"/>
      <c r="AD30" s="26" t="str">
        <f ca="1"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 ca="1">IF(AG30="","",IF(StaticData.Today=TODAY(),_xll.BDP(AG30,"LAST_PRICE"),_xll.BDH(AG30,"LAST_PRICE",StaticData.Today,StaticData.Today)))</f>
        <v/>
      </c>
      <c r="AJ30" s="17"/>
      <c r="AW30" s="24" t="s">
        <v>1054</v>
      </c>
      <c r="AX30" s="25" t="s">
        <v>324</v>
      </c>
      <c r="AY30" s="28"/>
      <c r="AZ30" s="178">
        <f ca="1">IF(AW30="","",IF(StaticData.Today=TODAY(),_xll.BDP(AW30,"BID"),_xll.BDH(AW30,"BID",StaticData.Today,StaticData.Today)))</f>
        <v>436.83</v>
      </c>
      <c r="BA30" s="178">
        <f ca="1">IF(AW30="","",IF(StaticData.Today=TODAY(),_xll.BDP(AW30,"ASK"),_xll.BDH(AW30,"ASK",StaticData.Today,StaticData.Today)))</f>
        <v>447.17</v>
      </c>
      <c r="BB30" s="30">
        <f ca="1">IF(AW30="","",IF(StaticData.Today=TODAY(),_xll.BDP(AW30,"LAST_PRICE"),_xll.BDH(AW30,"LAST_PRICE",StaticData.Today,StaticData.Today)))</f>
        <v>442</v>
      </c>
      <c r="BC30" s="181">
        <f t="shared" ref="BC30:BC36" ca="1" si="21">BB30</f>
        <v>442</v>
      </c>
    </row>
    <row r="31" spans="2:55" x14ac:dyDescent="0.25">
      <c r="G31" s="24" t="str">
        <f>"EOBSVC6"&amp;$G$1&amp;" Curncy"</f>
        <v>EOBSVC6 ICPL Curncy</v>
      </c>
      <c r="H31" s="25" t="s">
        <v>339</v>
      </c>
      <c r="I31" s="464"/>
      <c r="J31" s="25"/>
      <c r="K31" s="25"/>
      <c r="L31" s="26">
        <f ca="1">IF(G31="","",IF(StaticData.Today=TODAY(),_xll.BDP(G31,"LAST_PRICE"),_xll.BDH(G31,"LAST_PRICE",StaticData.Today,StaticData.Today)))</f>
        <v>5</v>
      </c>
      <c r="M31" s="27">
        <f t="shared" ref="M31:M42" ca="1" si="22">L31/10000</f>
        <v>5.0000000000000001E-4</v>
      </c>
      <c r="O31" s="24" t="str">
        <f>"EUSW25V3"&amp;$O$2&amp;" Curncy"</f>
        <v>EUSW25V3 CMPN Curncy</v>
      </c>
      <c r="P31" s="25" t="s">
        <v>382</v>
      </c>
      <c r="Q31" s="28"/>
      <c r="R31" s="185">
        <f ca="1">IF(O31="","",IF(StaticData.Today=TODAY(),_xll.BDP(O31,"BID"),_xll.BDH(O31,"BID",StaticData.Today,StaticData.Today)))</f>
        <v>4.7500000000000001E-2</v>
      </c>
      <c r="S31" s="185">
        <f ca="1">IF(O31="","",IF(StaticData.Today=TODAY(),_xll.BDP(O31,"ASK"),_xll.BDH(O31,"ASK",StaticData.Today,StaticData.Today)))</f>
        <v>5.3499999999999999E-2</v>
      </c>
      <c r="T31" s="30">
        <f ca="1">IF(O31="","",IF(StaticData.Today=TODAY(),_xll.BDP(O31,"LAST_PRICE"),_xll.BDH(O31,"LAST_PRICE",StaticData.Today,StaticData.Today)))</f>
        <v>0.05</v>
      </c>
      <c r="U31" s="27">
        <f t="shared" ca="1" si="16"/>
        <v>5.0000000000000001E-4</v>
      </c>
      <c r="W31" s="24" t="str">
        <f>"EUSA12"&amp;$W$2&amp;" Curncy"</f>
        <v>EUSA12 ICPL Curncy</v>
      </c>
      <c r="X31" s="25" t="s">
        <v>358</v>
      </c>
      <c r="Y31" s="26">
        <f ca="1">IF(W31="","",IF(StaticData.Today=TODAY(),_xll.BDP(W31,"LAST_PRICE"),_xll.BDH(W31,"LAST_PRICE",StaticData.Today,StaticData.Today)))</f>
        <v>-0.126</v>
      </c>
      <c r="Z31" s="27">
        <f t="shared" ca="1" si="2"/>
        <v>-1.2600000000000001E-3</v>
      </c>
      <c r="AB31" s="24"/>
      <c r="AC31" s="25"/>
      <c r="AD31" s="26" t="str">
        <f ca="1"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 ca="1">IF(AG31="","",IF(StaticData.Today=TODAY(),_xll.BDP(AG31,"LAST_PRICE"),_xll.BDH(AG31,"LAST_PRICE",StaticData.Today,StaticData.Today)))</f>
        <v/>
      </c>
      <c r="AJ31" s="17"/>
      <c r="AW31" s="24" t="s">
        <v>1055</v>
      </c>
      <c r="AX31" s="25" t="s">
        <v>331</v>
      </c>
      <c r="AY31" s="28"/>
      <c r="AZ31" s="178">
        <f ca="1">IF(AW31="","",IF(StaticData.Today=TODAY(),_xll.BDP(AW31,"BID"),_xll.BDH(AW31,"BID",StaticData.Today,StaticData.Today)))</f>
        <v>574</v>
      </c>
      <c r="BA31" s="178">
        <f ca="1">IF(AW31="","",IF(StaticData.Today=TODAY(),_xll.BDP(AW31,"ASK"),_xll.BDH(AW31,"ASK",StaticData.Today,StaticData.Today)))</f>
        <v>589</v>
      </c>
      <c r="BB31" s="30">
        <f ca="1">IF(AW31="","",IF(StaticData.Today=TODAY(),_xll.BDP(AW31,"LAST_PRICE"),_xll.BDH(AW31,"LAST_PRICE",StaticData.Today,StaticData.Today)))</f>
        <v>581.5</v>
      </c>
      <c r="BC31" s="181">
        <f t="shared" ca="1" si="21"/>
        <v>581.5</v>
      </c>
    </row>
    <row r="32" spans="2:55" x14ac:dyDescent="0.25">
      <c r="G32" s="24" t="str">
        <f>"EOBSVC7"&amp;$G$1&amp;" Curncy"</f>
        <v>EOBSVC7 ICPL Curncy</v>
      </c>
      <c r="H32" s="25" t="s">
        <v>342</v>
      </c>
      <c r="I32" s="464"/>
      <c r="J32" s="25"/>
      <c r="K32" s="25"/>
      <c r="L32" s="26">
        <f ca="1">IF(G32="","",IF(StaticData.Today=TODAY(),_xll.BDP(G32,"LAST_PRICE"),_xll.BDH(G32,"LAST_PRICE",StaticData.Today,StaticData.Today)))</f>
        <v>5.3</v>
      </c>
      <c r="M32" s="27">
        <f t="shared" ca="1" si="22"/>
        <v>5.2999999999999998E-4</v>
      </c>
      <c r="O32" s="24" t="str">
        <f>"EUSW30V3"&amp;$O$2&amp;" Curncy"</f>
        <v>EUSW30V3 CMPN Curncy</v>
      </c>
      <c r="P32" s="25" t="s">
        <v>389</v>
      </c>
      <c r="Q32" s="28"/>
      <c r="R32" s="185">
        <f ca="1">IF(O32="","",IF(StaticData.Today=TODAY(),_xll.BDP(O32,"BID"),_xll.BDH(O32,"BID",StaticData.Today,StaticData.Today)))</f>
        <v>2.46E-2</v>
      </c>
      <c r="S32" s="185">
        <f ca="1">IF(O32="","",IF(StaticData.Today=TODAY(),_xll.BDP(O32,"ASK"),_xll.BDH(O32,"ASK",StaticData.Today,StaticData.Today)))</f>
        <v>3.2599999999999997E-2</v>
      </c>
      <c r="T32" s="30">
        <f ca="1">IF(O32="","",IF(StaticData.Today=TODAY(),_xll.BDP(O32,"LAST_PRICE"),_xll.BDH(O32,"LAST_PRICE",StaticData.Today,StaticData.Today)))</f>
        <v>2.8500000000000001E-2</v>
      </c>
      <c r="U32" s="27">
        <f t="shared" ca="1" si="16"/>
        <v>2.8499999999999999E-4</v>
      </c>
      <c r="W32" s="24" t="str">
        <f>"EUSA15"&amp;$W$2&amp;" Curncy"</f>
        <v>EUSA15 ICPL Curncy</v>
      </c>
      <c r="X32" s="25" t="s">
        <v>367</v>
      </c>
      <c r="Y32" s="26">
        <f ca="1">IF(W32="","",IF(StaticData.Today=TODAY(),_xll.BDP(W32,"LAST_PRICE"),_xll.BDH(W32,"LAST_PRICE",StaticData.Today,StaticData.Today)))</f>
        <v>-0.02</v>
      </c>
      <c r="Z32" s="27">
        <f t="shared" ca="1" si="2"/>
        <v>-2.0000000000000001E-4</v>
      </c>
      <c r="AB32" s="24"/>
      <c r="AC32" s="25"/>
      <c r="AD32" s="26" t="str">
        <f ca="1"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 ca="1">IF(AG32="","",IF(StaticData.Today=TODAY(),_xll.BDP(AG32,"LAST_PRICE"),_xll.BDH(AG32,"LAST_PRICE",StaticData.Today,StaticData.Today)))</f>
        <v/>
      </c>
      <c r="AJ32" s="17"/>
      <c r="AW32" s="24" t="s">
        <v>1056</v>
      </c>
      <c r="AX32" s="25" t="s">
        <v>339</v>
      </c>
      <c r="AY32" s="28"/>
      <c r="AZ32" s="178">
        <f ca="1">IF(AW32="","",IF(StaticData.Today=TODAY(),_xll.BDP(AW32,"BID"),_xll.BDH(AW32,"BID",StaticData.Today,StaticData.Today)))</f>
        <v>728.45</v>
      </c>
      <c r="BA32" s="178">
        <f ca="1">IF(AW32="","",IF(StaticData.Today=TODAY(),_xll.BDP(AW32,"ASK"),_xll.BDH(AW32,"ASK",StaticData.Today,StaticData.Today)))</f>
        <v>747.2</v>
      </c>
      <c r="BB32" s="30">
        <f ca="1">IF(AW32="","",IF(StaticData.Today=TODAY(),_xll.BDP(AW32,"LAST_PRICE"),_xll.BDH(AW32,"LAST_PRICE",StaticData.Today,StaticData.Today)))</f>
        <v>737.82</v>
      </c>
      <c r="BC32" s="181">
        <f t="shared" ca="1" si="21"/>
        <v>737.82</v>
      </c>
    </row>
    <row r="33" spans="7:55" x14ac:dyDescent="0.25">
      <c r="G33" s="24" t="str">
        <f>"EOBSVC8"&amp;$G$1&amp;" Curncy"</f>
        <v>EOBSVC8 ICPL Curncy</v>
      </c>
      <c r="H33" s="25" t="s">
        <v>355</v>
      </c>
      <c r="I33" s="464"/>
      <c r="J33" s="25"/>
      <c r="K33" s="25"/>
      <c r="L33" s="26">
        <f ca="1">IF(G33="","",IF(StaticData.Today=TODAY(),_xll.BDP(G33,"LAST_PRICE"),_xll.BDH(G33,"LAST_PRICE",StaticData.Today,StaticData.Today)))</f>
        <v>5.6</v>
      </c>
      <c r="M33" s="27">
        <f t="shared" ca="1" si="22"/>
        <v>5.5999999999999995E-4</v>
      </c>
      <c r="O33" s="24" t="str">
        <f>"EUSW40V3"&amp;$O$2&amp;" Curncy"</f>
        <v>EUSW40V3 CMPN Curncy</v>
      </c>
      <c r="P33" s="25" t="s">
        <v>445</v>
      </c>
      <c r="Q33" s="28"/>
      <c r="R33" s="185">
        <f ca="1">IF(O33="","",IF(StaticData.Today=TODAY(),_xll.BDP(O33,"BID"),_xll.BDH(O33,"BID",StaticData.Today,StaticData.Today)))</f>
        <v>-1.8700000000000001E-2</v>
      </c>
      <c r="S33" s="185">
        <f ca="1">IF(O33="","",IF(StaticData.Today=TODAY(),_xll.BDP(O33,"ASK"),_xll.BDH(O33,"ASK",StaticData.Today,StaticData.Today)))</f>
        <v>-1.06E-2</v>
      </c>
      <c r="T33" s="30">
        <f ca="1">IF(O33="","",IF(StaticData.Today=TODAY(),_xll.BDP(O33,"LAST_PRICE"),_xll.BDH(O33,"LAST_PRICE",StaticData.Today,StaticData.Today)))</f>
        <v>-1.47E-2</v>
      </c>
      <c r="U33" s="27">
        <f t="shared" ca="1" si="16"/>
        <v>-1.47E-4</v>
      </c>
      <c r="W33" s="24" t="str">
        <f>"EUSA20"&amp;$W$2&amp;" Curncy"</f>
        <v>EUSA20 ICPL Curncy</v>
      </c>
      <c r="X33" s="25" t="s">
        <v>374</v>
      </c>
      <c r="Y33" s="26">
        <f ca="1">IF(W33="","",IF(StaticData.Today=TODAY(),_xll.BDP(W33,"LAST_PRICE"),_xll.BDH(W33,"LAST_PRICE",StaticData.Today,StaticData.Today)))</f>
        <v>6.0999999999999999E-2</v>
      </c>
      <c r="Z33" s="27">
        <f t="shared" ca="1" si="2"/>
        <v>6.0999999999999997E-4</v>
      </c>
      <c r="AB33" s="24"/>
      <c r="AC33" s="25"/>
      <c r="AD33" s="26" t="str">
        <f ca="1"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 ca="1">IF(AG33="","",IF(StaticData.Today=TODAY(),_xll.BDP(AG33,"LAST_PRICE"),_xll.BDH(AG33,"LAST_PRICE",StaticData.Today,StaticData.Today)))</f>
        <v/>
      </c>
      <c r="AJ33" s="17"/>
      <c r="AW33" s="24" t="s">
        <v>1057</v>
      </c>
      <c r="AX33" s="25" t="s">
        <v>342</v>
      </c>
      <c r="AY33" s="28"/>
      <c r="AZ33" s="178">
        <f ca="1">IF(AW33="","",IF(StaticData.Today=TODAY(),_xll.BDP(AW33,"BID"),_xll.BDH(AW33,"BID",StaticData.Today,StaticData.Today)))</f>
        <v>896</v>
      </c>
      <c r="BA33" s="178">
        <f ca="1">IF(AW33="","",IF(StaticData.Today=TODAY(),_xll.BDP(AW33,"ASK"),_xll.BDH(AW33,"ASK",StaticData.Today,StaticData.Today)))</f>
        <v>916</v>
      </c>
      <c r="BB33" s="30">
        <f ca="1">IF(AW33="","",IF(StaticData.Today=TODAY(),_xll.BDP(AW33,"LAST_PRICE"),_xll.BDH(AW33,"LAST_PRICE",StaticData.Today,StaticData.Today)))</f>
        <v>906</v>
      </c>
      <c r="BC33" s="181">
        <f t="shared" ca="1" si="21"/>
        <v>906</v>
      </c>
    </row>
    <row r="34" spans="7:55" x14ac:dyDescent="0.25">
      <c r="G34" s="24" t="str">
        <f>"EOBSVC9"&amp;$G$1&amp;" Curncy"</f>
        <v>EOBSVC9 ICPL Curncy</v>
      </c>
      <c r="H34" s="25" t="s">
        <v>364</v>
      </c>
      <c r="I34" s="464"/>
      <c r="J34" s="25"/>
      <c r="K34" s="25"/>
      <c r="L34" s="26">
        <f ca="1">IF(G34="","",IF(StaticData.Today=TODAY(),_xll.BDP(G34,"LAST_PRICE"),_xll.BDH(G34,"LAST_PRICE",StaticData.Today,StaticData.Today)))</f>
        <v>5.9</v>
      </c>
      <c r="M34" s="27">
        <f t="shared" ca="1" si="22"/>
        <v>5.9000000000000003E-4</v>
      </c>
      <c r="O34" s="24" t="str">
        <f>"EUSW50V3"&amp;$O$2&amp;" Curncy"</f>
        <v>EUSW50V3 CMPN Curncy</v>
      </c>
      <c r="P34" s="25" t="s">
        <v>448</v>
      </c>
      <c r="Q34" s="28"/>
      <c r="R34" s="185">
        <f ca="1">IF(O34="","",IF(StaticData.Today=TODAY(),_xll.BDP(O34,"BID"),_xll.BDH(O34,"BID",StaticData.Today,StaticData.Today)))</f>
        <v>-5.6800000000000003E-2</v>
      </c>
      <c r="S34" s="185">
        <f ca="1">IF(O34="","",IF(StaticData.Today=TODAY(),_xll.BDP(O34,"ASK"),_xll.BDH(O34,"ASK",StaticData.Today,StaticData.Today)))</f>
        <v>-4.8300000000000003E-2</v>
      </c>
      <c r="T34" s="30">
        <f ca="1">IF(O34="","",IF(StaticData.Today=TODAY(),_xll.BDP(O34,"LAST_PRICE"),_xll.BDH(O34,"LAST_PRICE",StaticData.Today,StaticData.Today)))</f>
        <v>-5.2600000000000001E-2</v>
      </c>
      <c r="U34" s="27">
        <f t="shared" ca="1" si="16"/>
        <v>-5.2599999999999999E-4</v>
      </c>
      <c r="W34" s="24" t="str">
        <f>"EUSA25"&amp;$W$2&amp;" Curncy"</f>
        <v>EUSA25 ICPL Curncy</v>
      </c>
      <c r="X34" s="25" t="s">
        <v>382</v>
      </c>
      <c r="Y34" s="26">
        <f ca="1">IF(W34="","",IF(StaticData.Today=TODAY(),_xll.BDP(W34,"LAST_PRICE"),_xll.BDH(W34,"LAST_PRICE",StaticData.Today,StaticData.Today)))</f>
        <v>6.3E-2</v>
      </c>
      <c r="Z34" s="27">
        <f t="shared" ca="1" si="2"/>
        <v>6.3000000000000003E-4</v>
      </c>
      <c r="AB34" s="24"/>
      <c r="AC34" s="25"/>
      <c r="AD34" s="26" t="str">
        <f ca="1"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 ca="1">IF(AG34="","",IF(StaticData.Today=TODAY(),_xll.BDP(AG34,"LAST_PRICE"),_xll.BDH(AG34,"LAST_PRICE",StaticData.Today,StaticData.Today)))</f>
        <v/>
      </c>
      <c r="AJ34" s="17"/>
      <c r="AW34" s="24" t="s">
        <v>1058</v>
      </c>
      <c r="AX34" s="25" t="s">
        <v>355</v>
      </c>
      <c r="AY34" s="28"/>
      <c r="AZ34" s="178">
        <f ca="1">IF(AW34="","",IF(StaticData.Today=TODAY(),_xll.BDP(AW34,"BID"),_xll.BDH(AW34,"BID",StaticData.Today,StaticData.Today)))</f>
        <v>1053.93</v>
      </c>
      <c r="BA34" s="178">
        <f ca="1">IF(AW34="","",IF(StaticData.Today=TODAY(),_xll.BDP(AW34,"ASK"),_xll.BDH(AW34,"ASK",StaticData.Today,StaticData.Today)))</f>
        <v>1094.07</v>
      </c>
      <c r="BB34" s="30">
        <f ca="1">IF(AW34="","",IF(StaticData.Today=TODAY(),_xll.BDP(AW34,"LAST_PRICE"),_xll.BDH(AW34,"LAST_PRICE",StaticData.Today,StaticData.Today)))</f>
        <v>1074</v>
      </c>
      <c r="BC34" s="181">
        <f t="shared" ca="1" si="21"/>
        <v>1074</v>
      </c>
    </row>
    <row r="35" spans="7:55" x14ac:dyDescent="0.25">
      <c r="G35" s="24" t="str">
        <f>"EOBSVC10"&amp;$G$1&amp;" Curncy"</f>
        <v>EOBSVC10 ICPL Curncy</v>
      </c>
      <c r="H35" s="25" t="s">
        <v>349</v>
      </c>
      <c r="I35" s="464"/>
      <c r="J35" s="25"/>
      <c r="K35" s="25"/>
      <c r="L35" s="26">
        <f ca="1">IF(G35="","",IF(StaticData.Today=TODAY(),_xll.BDP(G35,"LAST_PRICE"),_xll.BDH(G35,"LAST_PRICE",StaticData.Today,StaticData.Today)))</f>
        <v>6</v>
      </c>
      <c r="M35" s="27">
        <f t="shared" ca="1" si="22"/>
        <v>5.9999999999999995E-4</v>
      </c>
      <c r="O35" s="24"/>
      <c r="P35" s="25"/>
      <c r="Q35" s="28"/>
      <c r="R35" s="29"/>
      <c r="S35" s="29"/>
      <c r="T35" s="30"/>
      <c r="U35" s="27"/>
      <c r="W35" s="24" t="str">
        <f>"EUSA30"&amp;$W$2&amp;" Curncy"</f>
        <v>EUSA30 ICPL Curncy</v>
      </c>
      <c r="X35" s="25" t="s">
        <v>389</v>
      </c>
      <c r="Y35" s="26">
        <f ca="1">IF(W35="","",IF(StaticData.Today=TODAY(),_xll.BDP(W35,"LAST_PRICE"),_xll.BDH(W35,"LAST_PRICE",StaticData.Today,StaticData.Today)))</f>
        <v>3.6999999999999998E-2</v>
      </c>
      <c r="Z35" s="27">
        <f t="shared" ca="1" si="2"/>
        <v>3.6999999999999999E-4</v>
      </c>
      <c r="AB35" s="24"/>
      <c r="AC35" s="25"/>
      <c r="AD35" s="26" t="str">
        <f ca="1"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 ca="1">IF(AG35="","",IF(StaticData.Today=TODAY(),_xll.BDP(AG35,"LAST_PRICE"),_xll.BDH(AG35,"LAST_PRICE",StaticData.Today,StaticData.Today)))</f>
        <v/>
      </c>
      <c r="AJ35" s="17"/>
      <c r="AW35" s="24" t="s">
        <v>1059</v>
      </c>
      <c r="AX35" s="25" t="s">
        <v>364</v>
      </c>
      <c r="AY35" s="28"/>
      <c r="AZ35" s="178">
        <f ca="1">IF(AW35="","",IF(StaticData.Today=TODAY(),_xll.BDP(AW35,"BID"),_xll.BDH(AW35,"BID",StaticData.Today,StaticData.Today)))</f>
        <v>1218.96</v>
      </c>
      <c r="BA35" s="178">
        <f ca="1">IF(AW35="","",IF(StaticData.Today=TODAY(),_xll.BDP(AW35,"ASK"),_xll.BDH(AW35,"ASK",StaticData.Today,StaticData.Today)))</f>
        <v>1269.04</v>
      </c>
      <c r="BB35" s="30">
        <f ca="1">IF(AW35="","",IF(StaticData.Today=TODAY(),_xll.BDP(AW35,"LAST_PRICE"),_xll.BDH(AW35,"LAST_PRICE",StaticData.Today,StaticData.Today)))</f>
        <v>1244</v>
      </c>
      <c r="BC35" s="181">
        <f t="shared" ca="1" si="21"/>
        <v>1244</v>
      </c>
    </row>
    <row r="36" spans="7:55" x14ac:dyDescent="0.25">
      <c r="G36" s="24" t="str">
        <f>"EOBSVC12"&amp;$G$1&amp;" Curncy"</f>
        <v>EOBSVC12 ICPL Curncy</v>
      </c>
      <c r="H36" s="25" t="s">
        <v>358</v>
      </c>
      <c r="I36" s="464"/>
      <c r="J36" s="25"/>
      <c r="K36" s="25"/>
      <c r="L36" s="26">
        <f ca="1">IF(G36="","",IF(StaticData.Today=TODAY(),_xll.BDP(G36,"LAST_PRICE"),_xll.BDH(G36,"LAST_PRICE",StaticData.Today,StaticData.Today)))</f>
        <v>6.1</v>
      </c>
      <c r="M36" s="27">
        <f t="shared" ca="1" si="22"/>
        <v>6.0999999999999997E-4</v>
      </c>
      <c r="N36" s="37"/>
      <c r="O36" s="24"/>
      <c r="P36" s="25"/>
      <c r="Q36" s="28"/>
      <c r="R36" s="29"/>
      <c r="S36" s="29"/>
      <c r="T36" s="30"/>
      <c r="U36" s="27"/>
      <c r="W36" s="24" t="str">
        <f>"EUSA40"&amp;$W$2&amp;" Curncy"</f>
        <v>EUSA40 ICPL Curncy</v>
      </c>
      <c r="X36" s="25" t="s">
        <v>445</v>
      </c>
      <c r="Y36" s="26">
        <f ca="1">IF(W36="","",IF(StaticData.Today=TODAY(),_xll.BDP(W36,"LAST_PRICE"),_xll.BDH(W36,"LAST_PRICE",StaticData.Today,StaticData.Today)))</f>
        <v>-1.2999999999999999E-2</v>
      </c>
      <c r="Z36" s="27">
        <f t="shared" ca="1" si="2"/>
        <v>-1.2999999999999999E-4</v>
      </c>
      <c r="AB36" s="24"/>
      <c r="AC36" s="25"/>
      <c r="AD36" s="26" t="str">
        <f ca="1"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 ca="1">IF(AG36="","",IF(StaticData.Today=TODAY(),_xll.BDP(AG36,"LAST_PRICE"),_xll.BDH(AG36,"LAST_PRICE",StaticData.Today,StaticData.Today)))</f>
        <v/>
      </c>
      <c r="AJ36" s="17"/>
      <c r="AW36" s="24" t="s">
        <v>1060</v>
      </c>
      <c r="AX36" s="25" t="s">
        <v>349</v>
      </c>
      <c r="AY36" s="28"/>
      <c r="AZ36" s="178">
        <f ca="1">IF(AW36="","",IF(StaticData.Today=TODAY(),_xll.BDP(AW36,"BID"),_xll.BDH(AW36,"BID",StaticData.Today,StaticData.Today)))</f>
        <v>1385</v>
      </c>
      <c r="BA36" s="178">
        <f ca="1">IF(AW36="","",IF(StaticData.Today=TODAY(),_xll.BDP(AW36,"ASK"),_xll.BDH(AW36,"ASK",StaticData.Today,StaticData.Today)))</f>
        <v>1435</v>
      </c>
      <c r="BB36" s="30">
        <f ca="1">IF(AW36="","",IF(StaticData.Today=TODAY(),_xll.BDP(AW36,"LAST_PRICE"),_xll.BDH(AW36,"LAST_PRICE",StaticData.Today,StaticData.Today)))</f>
        <v>1410</v>
      </c>
      <c r="BC36" s="181">
        <f t="shared" ca="1" si="21"/>
        <v>1410</v>
      </c>
    </row>
    <row r="37" spans="7:55" x14ac:dyDescent="0.25">
      <c r="G37" s="24" t="str">
        <f>"EOBSVC15"&amp;$G$1&amp;" Curncy"</f>
        <v>EOBSVC15 ICPL Curncy</v>
      </c>
      <c r="H37" s="25" t="s">
        <v>367</v>
      </c>
      <c r="I37" s="464"/>
      <c r="J37" s="25"/>
      <c r="K37" s="25"/>
      <c r="L37" s="26">
        <f ca="1">IF(G37="","",IF(StaticData.Today=TODAY(),_xll.BDP(G37,"LAST_PRICE"),_xll.BDH(G37,"LAST_PRICE",StaticData.Today,StaticData.Today)))</f>
        <v>6.1</v>
      </c>
      <c r="M37" s="27">
        <f t="shared" ca="1" si="22"/>
        <v>6.0999999999999997E-4</v>
      </c>
      <c r="N37" s="37"/>
      <c r="O37" s="24"/>
      <c r="P37" s="25"/>
      <c r="Q37" s="28"/>
      <c r="R37" s="29"/>
      <c r="S37" s="29"/>
      <c r="T37" s="30"/>
      <c r="U37" s="27"/>
      <c r="W37" s="24" t="str">
        <f>"EUSA50"&amp;$W$2&amp;" Curncy"</f>
        <v>EUSA50 ICPL Curncy</v>
      </c>
      <c r="X37" s="25" t="s">
        <v>448</v>
      </c>
      <c r="Y37" s="26">
        <f ca="1">IF(W37="","",IF(StaticData.Today=TODAY(),_xll.BDP(W37,"LAST_PRICE"),_xll.BDH(W37,"LAST_PRICE",StaticData.Today,StaticData.Today)))</f>
        <v>-5.7000000000000002E-2</v>
      </c>
      <c r="Z37" s="27">
        <f t="shared" ca="1" si="2"/>
        <v>-5.6999999999999998E-4</v>
      </c>
      <c r="AB37" s="24"/>
      <c r="AC37" s="25"/>
      <c r="AD37" s="26" t="str">
        <f ca="1"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 ca="1">IF(AG37="","",IF(StaticData.Today=TODAY(),_xll.BDP(AG37,"LAST_PRICE"),_xll.BDH(AG37,"LAST_PRICE",StaticData.Today,StaticData.Today)))</f>
        <v/>
      </c>
      <c r="AJ37" s="17"/>
      <c r="AW37" s="24"/>
      <c r="AX37" s="25"/>
      <c r="AY37" s="28"/>
      <c r="AZ37" s="29"/>
      <c r="BA37" s="29"/>
      <c r="BB37" s="30"/>
      <c r="BC37" s="27"/>
    </row>
    <row r="38" spans="7:55" x14ac:dyDescent="0.25">
      <c r="G38" s="24" t="str">
        <f>"EOBSVC20"&amp;$G$1&amp;" Curncy"</f>
        <v>EOBSVC20 ICPL Curncy</v>
      </c>
      <c r="H38" s="25" t="s">
        <v>374</v>
      </c>
      <c r="I38" s="464"/>
      <c r="J38" s="25"/>
      <c r="K38" s="25"/>
      <c r="L38" s="26">
        <f ca="1">IF(G38="","",IF(StaticData.Today=TODAY(),_xll.BDP(G38,"LAST_PRICE"),_xll.BDH(G38,"LAST_PRICE",StaticData.Today,StaticData.Today)))</f>
        <v>6</v>
      </c>
      <c r="M38" s="27">
        <f t="shared" ca="1" si="22"/>
        <v>5.9999999999999995E-4</v>
      </c>
      <c r="O38" s="24"/>
      <c r="P38" s="25"/>
      <c r="Q38" s="28"/>
      <c r="R38" s="29"/>
      <c r="S38" s="29"/>
      <c r="T38" s="30"/>
      <c r="U38" s="27"/>
      <c r="W38" s="24"/>
      <c r="X38" s="25"/>
      <c r="Y38" s="26" t="str">
        <f ca="1">IF(W38="","",IF(StaticData.Today=TODAY(),_xll.BDP(W38,"LAST_PRICE"),_xll.BDH(W38,"LAST_PRICE",StaticData.Today,StaticData.Today)))</f>
        <v/>
      </c>
      <c r="Z38" s="27"/>
      <c r="AB38" s="24"/>
      <c r="AC38" s="25"/>
      <c r="AD38" s="26" t="str">
        <f ca="1"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 ca="1">IF(AG38="","",IF(StaticData.Today=TODAY(),_xll.BDP(AG38,"LAST_PRICE"),_xll.BDH(AG38,"LAST_PRICE",StaticData.Today,StaticData.Today)))</f>
        <v/>
      </c>
      <c r="AJ38" s="17"/>
      <c r="AW38" s="24" t="s">
        <v>1541</v>
      </c>
      <c r="AX38" s="25" t="s">
        <v>1483</v>
      </c>
      <c r="AY38" s="28"/>
      <c r="AZ38" s="29">
        <f ca="1">IF(AW38="","",IF(StaticData.Today=TODAY(),_xll.BDP(AW38,"BID"),_xll.BDH(AW38,"BID",StaticData.Today,StaticData.Today)))</f>
        <v>0.69899999999999995</v>
      </c>
      <c r="BA38" s="29">
        <f ca="1">IF(AW38="","",IF(StaticData.Today=TODAY(),_xll.BDP(AW38,"ASK"),_xll.BDH(AW38,"ASK",StaticData.Today,StaticData.Today)))</f>
        <v>0.72599999999999998</v>
      </c>
      <c r="BB38" s="178">
        <f ca="1">IF(AW38="","",IF(StaticData.Today=TODAY(),_xll.BDP(AW38,"PX_LAST"),_xll.BDH(AW38,"PX_LAST",StaticData.Today,StaticData.Today)))</f>
        <v>0.71199999999999997</v>
      </c>
      <c r="BC38" s="33">
        <f ca="1">BB38</f>
        <v>0.71199999999999997</v>
      </c>
    </row>
    <row r="39" spans="7:55" x14ac:dyDescent="0.25">
      <c r="G39" s="24" t="str">
        <f>"EOBSVC25"&amp;$G$1&amp;" Curncy"</f>
        <v>EOBSVC25 ICPL Curncy</v>
      </c>
      <c r="H39" s="25" t="s">
        <v>382</v>
      </c>
      <c r="I39" s="464"/>
      <c r="J39" s="25"/>
      <c r="K39" s="25"/>
      <c r="L39" s="26">
        <f ca="1">IF(G39="","",IF(StaticData.Today=TODAY(),_xll.BDP(G39,"LAST_PRICE"),_xll.BDH(G39,"LAST_PRICE",StaticData.Today,StaticData.Today)))</f>
        <v>6</v>
      </c>
      <c r="M39" s="27">
        <f t="shared" ca="1" si="22"/>
        <v>5.9999999999999995E-4</v>
      </c>
      <c r="O39" s="24"/>
      <c r="P39" s="25"/>
      <c r="Q39" s="28"/>
      <c r="R39" s="29"/>
      <c r="S39" s="29"/>
      <c r="T39" s="30"/>
      <c r="U39" s="27"/>
      <c r="W39" s="24"/>
      <c r="X39" s="25"/>
      <c r="Y39" s="26" t="str">
        <f ca="1">IF(W39="","",IF(StaticData.Today=TODAY(),_xll.BDP(W39,"LAST_PRICE"),_xll.BDH(W39,"LAST_PRICE",StaticData.Today,StaticData.Today)))</f>
        <v/>
      </c>
      <c r="Z39" s="27"/>
      <c r="AB39" s="24"/>
      <c r="AC39" s="25"/>
      <c r="AD39" s="26" t="str">
        <f ca="1"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 ca="1">IF(AG39="","",IF(StaticData.Today=TODAY(),_xll.BDP(AG39,"LAST_PRICE"),_xll.BDH(AG39,"LAST_PRICE",StaticData.Today,StaticData.Today)))</f>
        <v/>
      </c>
      <c r="AJ39" s="17"/>
      <c r="AW39" s="24"/>
      <c r="AX39" s="25"/>
      <c r="AY39" s="28"/>
      <c r="AZ39" s="29"/>
      <c r="BA39" s="29"/>
      <c r="BB39" s="30"/>
      <c r="BC39" s="27"/>
    </row>
    <row r="40" spans="7:55" x14ac:dyDescent="0.25">
      <c r="G40" s="24" t="str">
        <f>"EOBSVC30"&amp;$G$1&amp;" Curncy"</f>
        <v>EOBSVC30 ICPL Curncy</v>
      </c>
      <c r="H40" s="25" t="s">
        <v>389</v>
      </c>
      <c r="I40" s="464"/>
      <c r="J40" s="25"/>
      <c r="K40" s="25"/>
      <c r="L40" s="26">
        <f ca="1">IF(G40="","",IF(StaticData.Today=TODAY(),_xll.BDP(G40,"LAST_PRICE"),_xll.BDH(G40,"LAST_PRICE",StaticData.Today,StaticData.Today)))</f>
        <v>5.9</v>
      </c>
      <c r="M40" s="27">
        <f t="shared" ca="1" si="22"/>
        <v>5.9000000000000003E-4</v>
      </c>
      <c r="O40" s="24"/>
      <c r="P40" s="25"/>
      <c r="Q40" s="28"/>
      <c r="R40" s="29"/>
      <c r="S40" s="29"/>
      <c r="T40" s="30"/>
      <c r="U40" s="27"/>
      <c r="W40" s="24"/>
      <c r="X40" s="25"/>
      <c r="Y40" s="26" t="str">
        <f ca="1">IF(W40="","",IF(StaticData.Today=TODAY(),_xll.BDP(W40,"LAST_PRICE"),_xll.BDH(W40,"LAST_PRICE",StaticData.Today,StaticData.Today)))</f>
        <v/>
      </c>
      <c r="Z40" s="27"/>
      <c r="AB40" s="24"/>
      <c r="AC40" s="25"/>
      <c r="AD40" s="26" t="str">
        <f ca="1"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 ca="1">IF(AG40="","",IF(StaticData.Today=TODAY(),_xll.BDP(AG40,"LAST_PRICE"),_xll.BDH(AG40,"LAST_PRICE",StaticData.Today,StaticData.Today)))</f>
        <v/>
      </c>
      <c r="AJ40" s="17"/>
      <c r="AW40" s="24"/>
      <c r="AX40" s="25"/>
      <c r="AY40" s="28"/>
      <c r="AZ40" s="29"/>
      <c r="BA40" s="29"/>
      <c r="BB40" s="30"/>
      <c r="BC40" s="27"/>
    </row>
    <row r="41" spans="7:55" x14ac:dyDescent="0.25">
      <c r="G41" s="24" t="str">
        <f>"EOBSVC40"&amp;$G$1&amp;" Curncy"</f>
        <v>EOBSVC40 ICPL Curncy</v>
      </c>
      <c r="H41" s="25" t="s">
        <v>445</v>
      </c>
      <c r="I41" s="464"/>
      <c r="J41" s="25"/>
      <c r="K41" s="25"/>
      <c r="L41" s="26">
        <f ca="1">IF(G41="","",IF(StaticData.Today=TODAY(),_xll.BDP(G41,"LAST_PRICE"),_xll.BDH(G41,"LAST_PRICE",StaticData.Today,StaticData.Today)))</f>
        <v>5.6</v>
      </c>
      <c r="M41" s="27">
        <f t="shared" ca="1" si="22"/>
        <v>5.5999999999999995E-4</v>
      </c>
      <c r="O41" s="24"/>
      <c r="P41" s="25"/>
      <c r="Q41" s="28"/>
      <c r="R41" s="29"/>
      <c r="S41" s="29"/>
      <c r="T41" s="30"/>
      <c r="U41" s="27"/>
      <c r="W41" s="24"/>
      <c r="X41" s="25"/>
      <c r="Y41" s="26" t="str">
        <f ca="1">IF(W41="","",IF(StaticData.Today=TODAY(),_xll.BDP(W41,"LAST_PRICE"),_xll.BDH(W41,"LAST_PRICE",StaticData.Today,StaticData.Today)))</f>
        <v/>
      </c>
      <c r="Z41" s="27"/>
      <c r="AB41" s="24"/>
      <c r="AC41" s="25"/>
      <c r="AD41" s="26" t="str">
        <f ca="1"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 ca="1">IF(AG41="","",IF(StaticData.Today=TODAY(),_xll.BDP(AG41,"LAST_PRICE"),_xll.BDH(AG41,"LAST_PRICE",StaticData.Today,StaticData.Today)))</f>
        <v/>
      </c>
      <c r="AJ41" s="17"/>
      <c r="AW41" s="24"/>
      <c r="AX41" s="25"/>
      <c r="AY41" s="28"/>
      <c r="AZ41" s="29"/>
      <c r="BA41" s="29"/>
      <c r="BB41" s="30"/>
      <c r="BC41" s="27"/>
    </row>
    <row r="42" spans="7:55" x14ac:dyDescent="0.25">
      <c r="G42" s="24" t="str">
        <f>"EOBSVC50"&amp;$G$1&amp;" Curncy"</f>
        <v>EOBSVC50 ICPL Curncy</v>
      </c>
      <c r="H42" s="25" t="s">
        <v>448</v>
      </c>
      <c r="I42" s="464"/>
      <c r="J42" s="25"/>
      <c r="K42" s="25"/>
      <c r="L42" s="26">
        <f ca="1">IF(G42="","",IF(StaticData.Today=TODAY(),_xll.BDP(G42,"LAST_PRICE"),_xll.BDH(G42,"LAST_PRICE",StaticData.Today,StaticData.Today)))</f>
        <v>5.2</v>
      </c>
      <c r="M42" s="27">
        <f t="shared" ca="1" si="22"/>
        <v>5.2000000000000006E-4</v>
      </c>
      <c r="O42" s="24"/>
      <c r="P42" s="25"/>
      <c r="Q42" s="28"/>
      <c r="R42" s="29"/>
      <c r="S42" s="29"/>
      <c r="T42" s="30"/>
      <c r="U42" s="27"/>
      <c r="W42" s="24"/>
      <c r="X42" s="25"/>
      <c r="Y42" s="26" t="str">
        <f ca="1">IF(W42="","",IF(StaticData.Today=TODAY(),_xll.BDP(W42,"LAST_PRICE"),_xll.BDH(W42,"LAST_PRICE",StaticData.Today,StaticData.Today)))</f>
        <v/>
      </c>
      <c r="Z42" s="27"/>
      <c r="AB42" s="24"/>
      <c r="AC42" s="25"/>
      <c r="AD42" s="26" t="str">
        <f ca="1"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 ca="1">IF(AG42="","",IF(StaticData.Today=TODAY(),_xll.BDP(AG42,"LAST_PRICE"),_xll.BDH(AG42,"LAST_PRICE",StaticData.Today,StaticData.Today)))</f>
        <v/>
      </c>
      <c r="AJ42" s="17"/>
      <c r="AW42" s="24"/>
      <c r="AX42" s="25"/>
      <c r="AY42" s="28"/>
      <c r="AZ42" s="29"/>
      <c r="BA42" s="29"/>
      <c r="BB42" s="30"/>
      <c r="BC42" s="27"/>
    </row>
    <row r="43" spans="7:55" x14ac:dyDescent="0.25">
      <c r="G43" s="24" t="str">
        <f>"EUSW1V3"&amp;$G$1&amp;" Curncy"</f>
        <v>EUSW1V3 ICPL Curncy</v>
      </c>
      <c r="H43" s="25" t="s">
        <v>47</v>
      </c>
      <c r="I43" s="464"/>
      <c r="J43" s="25"/>
      <c r="K43" s="25"/>
      <c r="L43" s="26">
        <f ca="1">IF(G43="","",IF(StaticData.Today=TODAY(),_xll.BDP(G43,"LAST_PRICE"),_xll.BDH(G43,"LAST_PRICE",StaticData.Today,StaticData.Today)))</f>
        <v>-0.50900000000000001</v>
      </c>
      <c r="M43" s="27">
        <f t="shared" ca="1" si="1"/>
        <v>-5.0899999999999999E-3</v>
      </c>
      <c r="O43" s="24"/>
      <c r="P43" s="25"/>
      <c r="Q43" s="28"/>
      <c r="R43" s="29"/>
      <c r="S43" s="29"/>
      <c r="T43" s="30"/>
      <c r="U43" s="27"/>
      <c r="W43" s="24"/>
      <c r="X43" s="25"/>
      <c r="Y43" s="26" t="str">
        <f ca="1">IF(W43="","",IF(StaticData.Today=TODAY(),_xll.BDP(W43,"LAST_PRICE"),_xll.BDH(W43,"LAST_PRICE",StaticData.Today,StaticData.Today)))</f>
        <v/>
      </c>
      <c r="Z43" s="27"/>
      <c r="AB43" s="24"/>
      <c r="AC43" s="25"/>
      <c r="AD43" s="26" t="str">
        <f ca="1"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 ca="1">IF(AG43="","",IF(StaticData.Today=TODAY(),_xll.BDP(AG43,"LAST_PRICE"),_xll.BDH(AG43,"LAST_PRICE",StaticData.Today,StaticData.Today)))</f>
        <v/>
      </c>
      <c r="AJ43" s="17"/>
      <c r="AW43" s="24"/>
      <c r="AX43" s="25"/>
      <c r="AY43" s="28"/>
      <c r="AZ43" s="29"/>
      <c r="BA43" s="29"/>
      <c r="BB43" s="30"/>
      <c r="BC43" s="27"/>
    </row>
    <row r="44" spans="7:55" x14ac:dyDescent="0.25">
      <c r="G44" s="24" t="str">
        <f>"EUSW2V3"&amp;$G$1&amp;" Curncy"</f>
        <v>EUSW2V3 ICPL Curncy</v>
      </c>
      <c r="H44" s="25" t="s">
        <v>308</v>
      </c>
      <c r="I44" s="464"/>
      <c r="J44" s="25"/>
      <c r="K44" s="25"/>
      <c r="L44" s="26">
        <f ca="1">IF(G44="","",IF(StaticData.Today=TODAY(),_xll.BDP(G44,"LAST_PRICE"),_xll.BDH(G44,"LAST_PRICE",StaticData.Today,StaticData.Today)))</f>
        <v>-0.52400000000000002</v>
      </c>
      <c r="M44" s="27">
        <f t="shared" ref="M44:M59" ca="1" si="23">L44/100</f>
        <v>-5.2399999999999999E-3</v>
      </c>
      <c r="O44" s="24"/>
      <c r="P44" s="25"/>
      <c r="Q44" s="28"/>
      <c r="R44" s="29"/>
      <c r="S44" s="29"/>
      <c r="T44" s="30"/>
      <c r="U44" s="27"/>
      <c r="W44" s="24"/>
      <c r="X44" s="25"/>
      <c r="Y44" s="26" t="str">
        <f ca="1">IF(W44="","",IF(StaticData.Today=TODAY(),_xll.BDP(W44,"LAST_PRICE"),_xll.BDH(W44,"LAST_PRICE",StaticData.Today,StaticData.Today)))</f>
        <v/>
      </c>
      <c r="Z44" s="27"/>
      <c r="AB44" s="24"/>
      <c r="AC44" s="25"/>
      <c r="AD44" s="26" t="str">
        <f ca="1"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 ca="1">IF(AG44="","",IF(StaticData.Today=TODAY(),_xll.BDP(AG44,"LAST_PRICE"),_xll.BDH(AG44,"LAST_PRICE",StaticData.Today,StaticData.Today)))</f>
        <v/>
      </c>
      <c r="AJ44" s="17"/>
      <c r="AW44" s="24"/>
      <c r="AX44" s="25"/>
      <c r="AY44" s="28"/>
      <c r="AZ44" s="29"/>
      <c r="BA44" s="29"/>
      <c r="BB44" s="30"/>
      <c r="BC44" s="27"/>
    </row>
    <row r="45" spans="7:55" x14ac:dyDescent="0.25">
      <c r="G45" s="24" t="str">
        <f>"EUSW3V3"&amp;$G$1&amp;" Curncy"</f>
        <v>EUSW3V3 ICPL Curncy</v>
      </c>
      <c r="H45" s="25" t="s">
        <v>316</v>
      </c>
      <c r="I45" s="464"/>
      <c r="J45" s="25"/>
      <c r="K45" s="25"/>
      <c r="L45" s="26">
        <f ca="1">IF(G45="","",IF(StaticData.Today=TODAY(),_xll.BDP(G45,"LAST_PRICE"),_xll.BDH(G45,"LAST_PRICE",StaticData.Today,StaticData.Today)))</f>
        <v>-0.52300000000000002</v>
      </c>
      <c r="M45" s="27">
        <f t="shared" ca="1" si="23"/>
        <v>-5.2300000000000003E-3</v>
      </c>
      <c r="O45" s="24"/>
      <c r="P45" s="25"/>
      <c r="Q45" s="28"/>
      <c r="R45" s="29"/>
      <c r="S45" s="29"/>
      <c r="T45" s="30"/>
      <c r="U45" s="27"/>
      <c r="W45" s="24"/>
      <c r="X45" s="25"/>
      <c r="Y45" s="26" t="str">
        <f ca="1">IF(W45="","",IF(StaticData.Today=TODAY(),_xll.BDP(W45,"LAST_PRICE"),_xll.BDH(W45,"LAST_PRICE",StaticData.Today,StaticData.Today)))</f>
        <v/>
      </c>
      <c r="Z45" s="27"/>
      <c r="AB45" s="24"/>
      <c r="AC45" s="25"/>
      <c r="AD45" s="26" t="str">
        <f ca="1"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 ca="1">IF(AG45="","",IF(StaticData.Today=TODAY(),_xll.BDP(AG45,"LAST_PRICE"),_xll.BDH(AG45,"LAST_PRICE",StaticData.Today,StaticData.Today)))</f>
        <v/>
      </c>
      <c r="AJ45" s="17"/>
      <c r="AW45" s="24"/>
      <c r="AX45" s="25"/>
      <c r="AY45" s="28"/>
      <c r="AZ45" s="29"/>
      <c r="BA45" s="29"/>
      <c r="BB45" s="30"/>
      <c r="BC45" s="27"/>
    </row>
    <row r="46" spans="7:55" x14ac:dyDescent="0.25">
      <c r="G46" s="24" t="str">
        <f>"EUSW4V3"&amp;$G$1&amp;" Curncy"</f>
        <v>EUSW4V3 ICPL Curncy</v>
      </c>
      <c r="H46" s="25" t="s">
        <v>324</v>
      </c>
      <c r="I46" s="464"/>
      <c r="J46" s="25"/>
      <c r="K46" s="25"/>
      <c r="L46" s="26">
        <f ca="1">IF(G46="","",IF(StaticData.Today=TODAY(),_xll.BDP(G46,"LAST_PRICE"),_xll.BDH(G46,"LAST_PRICE",StaticData.Today,StaticData.Today)))</f>
        <v>-0.50600000000000001</v>
      </c>
      <c r="M46" s="27">
        <f t="shared" ca="1" si="23"/>
        <v>-5.0600000000000003E-3</v>
      </c>
      <c r="O46" s="24"/>
      <c r="P46" s="25"/>
      <c r="Q46" s="28"/>
      <c r="R46" s="29"/>
      <c r="S46" s="29"/>
      <c r="T46" s="30"/>
      <c r="U46" s="27"/>
      <c r="W46" s="24"/>
      <c r="X46" s="25"/>
      <c r="Y46" s="26" t="str">
        <f ca="1">IF(W46="","",IF(StaticData.Today=TODAY(),_xll.BDP(W46,"LAST_PRICE"),_xll.BDH(W46,"LAST_PRICE",StaticData.Today,StaticData.Today)))</f>
        <v/>
      </c>
      <c r="Z46" s="27"/>
      <c r="AB46" s="24"/>
      <c r="AC46" s="25"/>
      <c r="AD46" s="26" t="str">
        <f ca="1"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 ca="1">IF(AG46="","",IF(StaticData.Today=TODAY(),_xll.BDP(AG46,"LAST_PRICE"),_xll.BDH(AG46,"LAST_PRICE",StaticData.Today,StaticData.Today)))</f>
        <v/>
      </c>
      <c r="AJ46" s="17"/>
      <c r="AW46" s="24"/>
      <c r="AX46" s="25"/>
      <c r="AY46" s="28"/>
      <c r="AZ46" s="29"/>
      <c r="BA46" s="29"/>
      <c r="BB46" s="30"/>
      <c r="BC46" s="27"/>
    </row>
    <row r="47" spans="7:55" x14ac:dyDescent="0.25">
      <c r="G47" s="24" t="str">
        <f>"EUSW5V3"&amp;$G$1&amp;" Curncy"</f>
        <v>EUSW5V3 ICPL Curncy</v>
      </c>
      <c r="H47" s="25" t="s">
        <v>331</v>
      </c>
      <c r="I47" s="464"/>
      <c r="J47" s="25"/>
      <c r="K47" s="25"/>
      <c r="L47" s="26">
        <f ca="1">IF(G47="","",IF(StaticData.Today=TODAY(),_xll.BDP(G47,"LAST_PRICE"),_xll.BDH(G47,"LAST_PRICE",StaticData.Today,StaticData.Today)))</f>
        <v>-0.48</v>
      </c>
      <c r="M47" s="27">
        <f t="shared" ca="1" si="23"/>
        <v>-4.7999999999999996E-3</v>
      </c>
      <c r="O47" s="24"/>
      <c r="P47" s="25"/>
      <c r="Q47" s="28"/>
      <c r="R47" s="29"/>
      <c r="S47" s="29"/>
      <c r="T47" s="30"/>
      <c r="U47" s="27"/>
      <c r="W47" s="38"/>
      <c r="X47" s="39"/>
      <c r="Y47" s="40" t="str">
        <f ca="1">IF(W47="","",IF(StaticData.Today=TODAY(),_xll.BDP(W47,"LAST_PRICE"),_xll.BDH(W47,"LAST_PRICE",StaticData.Today,StaticData.Today)))</f>
        <v/>
      </c>
      <c r="Z47" s="41"/>
      <c r="AB47" s="24"/>
      <c r="AC47" s="25"/>
      <c r="AD47" s="26" t="str">
        <f ca="1"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 ca="1">IF(AG47="","",IF(StaticData.Today=TODAY(),_xll.BDP(AG47,"LAST_PRICE"),_xll.BDH(AG47,"LAST_PRICE",StaticData.Today,StaticData.Today)))</f>
        <v/>
      </c>
      <c r="AJ47" s="17"/>
      <c r="AW47" s="24"/>
      <c r="AX47" s="25"/>
      <c r="AY47" s="28"/>
      <c r="AZ47" s="29"/>
      <c r="BA47" s="29"/>
      <c r="BB47" s="30"/>
      <c r="BC47" s="27"/>
    </row>
    <row r="48" spans="7:55" x14ac:dyDescent="0.25">
      <c r="G48" s="24" t="str">
        <f>"EUSW6V3"&amp;$G$1&amp;" Curncy"</f>
        <v>EUSW6V3 ICPL Curncy</v>
      </c>
      <c r="H48" s="25" t="s">
        <v>339</v>
      </c>
      <c r="I48" s="464"/>
      <c r="J48" s="25"/>
      <c r="K48" s="25"/>
      <c r="L48" s="26">
        <f ca="1">IF(G48="","",IF(StaticData.Today=TODAY(),_xll.BDP(G48,"LAST_PRICE"),_xll.BDH(G48,"LAST_PRICE",StaticData.Today,StaticData.Today)))</f>
        <v>-0.44600000000000001</v>
      </c>
      <c r="M48" s="27">
        <f t="shared" ca="1" si="23"/>
        <v>-4.4600000000000004E-3</v>
      </c>
      <c r="O48" s="38"/>
      <c r="P48" s="39"/>
      <c r="Q48" s="42"/>
      <c r="R48" s="43"/>
      <c r="S48" s="43"/>
      <c r="T48" s="44"/>
      <c r="U48" s="41"/>
      <c r="AB48" s="38"/>
      <c r="AC48" s="25"/>
      <c r="AD48" s="40" t="str">
        <f ca="1">IF(AB48="","",IF(StaticData.Today=TODAY(),_xll.BDP(AB48,"LAST_PRICE"),_xll.BDH(AB48,"LAST_PRICE",StaticData.Today,StaticData.Today)))</f>
        <v/>
      </c>
      <c r="AE48" s="41"/>
      <c r="AG48" s="38"/>
      <c r="AH48" s="39"/>
      <c r="AI48" s="26" t="str">
        <f ca="1">IF(AG48="","",IF(StaticData.Today=TODAY(),_xll.BDP(AG48,"LAST_PRICE"),_xll.BDH(AG48,"LAST_PRICE",StaticData.Today,StaticData.Today)))</f>
        <v/>
      </c>
      <c r="AJ48" s="17"/>
      <c r="AW48" s="24"/>
      <c r="AX48" s="25"/>
      <c r="AY48" s="28"/>
      <c r="AZ48" s="29"/>
      <c r="BA48" s="29"/>
      <c r="BB48" s="30"/>
      <c r="BC48" s="27"/>
    </row>
    <row r="49" spans="7:55" x14ac:dyDescent="0.25">
      <c r="G49" s="24" t="str">
        <f>"EUSW7V3"&amp;$G$1&amp;" Curncy"</f>
        <v>EUSW7V3 ICPL Curncy</v>
      </c>
      <c r="H49" s="25" t="s">
        <v>342</v>
      </c>
      <c r="I49" s="464"/>
      <c r="J49" s="25"/>
      <c r="K49" s="25"/>
      <c r="L49" s="26">
        <f ca="1">IF(G49="","",IF(StaticData.Today=TODAY(),_xll.BDP(G49,"LAST_PRICE"),_xll.BDH(G49,"LAST_PRICE",StaticData.Today,StaticData.Today)))</f>
        <v>-0.40400000000000003</v>
      </c>
      <c r="M49" s="27">
        <f t="shared" ca="1" si="23"/>
        <v>-4.0400000000000002E-3</v>
      </c>
      <c r="AC49" s="25"/>
      <c r="AW49" s="24"/>
      <c r="AX49" s="25"/>
      <c r="AY49" s="28"/>
      <c r="AZ49" s="29"/>
      <c r="BA49" s="29"/>
      <c r="BB49" s="30"/>
      <c r="BC49" s="27"/>
    </row>
    <row r="50" spans="7:55" x14ac:dyDescent="0.25">
      <c r="G50" s="24" t="str">
        <f>"EUSW8V3"&amp;$G$1&amp;" Curncy"</f>
        <v>EUSW8V3 ICPL Curncy</v>
      </c>
      <c r="H50" s="25" t="s">
        <v>355</v>
      </c>
      <c r="I50" s="464"/>
      <c r="J50" s="25"/>
      <c r="K50" s="25"/>
      <c r="L50" s="26">
        <f ca="1">IF(G50="","",IF(StaticData.Today=TODAY(),_xll.BDP(G50,"LAST_PRICE"),_xll.BDH(G50,"LAST_PRICE",StaticData.Today,StaticData.Today)))</f>
        <v>-0.35799999999999998</v>
      </c>
      <c r="M50" s="27">
        <f t="shared" ca="1" si="23"/>
        <v>-3.5799999999999998E-3</v>
      </c>
      <c r="AC50" s="25"/>
      <c r="AW50" s="24"/>
      <c r="AX50" s="25"/>
      <c r="AY50" s="28"/>
      <c r="AZ50" s="29"/>
      <c r="BA50" s="29"/>
      <c r="BB50" s="30"/>
      <c r="BC50" s="27"/>
    </row>
    <row r="51" spans="7:55" x14ac:dyDescent="0.25">
      <c r="G51" s="24" t="str">
        <f>"EUSW9V3"&amp;$G$1&amp;" Curncy"</f>
        <v>EUSW9V3 ICPL Curncy</v>
      </c>
      <c r="H51" s="25" t="s">
        <v>364</v>
      </c>
      <c r="I51" s="464"/>
      <c r="J51" s="25"/>
      <c r="K51" s="25"/>
      <c r="L51" s="26">
        <f ca="1">IF(G51="","",IF(StaticData.Today=TODAY(),_xll.BDP(G51,"LAST_PRICE"),_xll.BDH(G51,"LAST_PRICE",StaticData.Today,StaticData.Today)))</f>
        <v>-0.31</v>
      </c>
      <c r="M51" s="27">
        <f t="shared" ca="1" si="23"/>
        <v>-3.0999999999999999E-3</v>
      </c>
      <c r="AC51" s="39"/>
      <c r="AW51" s="24"/>
      <c r="AX51" s="25"/>
      <c r="AY51" s="28"/>
      <c r="AZ51" s="29"/>
      <c r="BA51" s="29"/>
      <c r="BB51" s="30"/>
      <c r="BC51" s="27"/>
    </row>
    <row r="52" spans="7:55" x14ac:dyDescent="0.25">
      <c r="G52" s="24" t="str">
        <f>"EUSW10V3"&amp;$G$1&amp;" Curncy"</f>
        <v>EUSW10V3 ICPL Curncy</v>
      </c>
      <c r="H52" s="25" t="s">
        <v>349</v>
      </c>
      <c r="I52" s="464"/>
      <c r="J52" s="25"/>
      <c r="K52" s="25"/>
      <c r="L52" s="26">
        <f ca="1">IF(G52="","",IF(StaticData.Today=TODAY(),_xll.BDP(G52,"LAST_PRICE"),_xll.BDH(G52,"LAST_PRICE",StaticData.Today,StaticData.Today)))</f>
        <v>-0.26</v>
      </c>
      <c r="M52" s="27">
        <f t="shared" ca="1" si="23"/>
        <v>-2.5999999999999999E-3</v>
      </c>
      <c r="AW52" s="24"/>
      <c r="AX52" s="25"/>
      <c r="AY52" s="28"/>
      <c r="AZ52" s="29"/>
      <c r="BA52" s="29"/>
      <c r="BB52" s="30"/>
      <c r="BC52" s="27"/>
    </row>
    <row r="53" spans="7:55" x14ac:dyDescent="0.25">
      <c r="G53" s="24" t="str">
        <f>"EUSW12V3"&amp;$G$1&amp;" Curncy"</f>
        <v>EUSW12V3 ICPL Curncy</v>
      </c>
      <c r="H53" s="25" t="s">
        <v>358</v>
      </c>
      <c r="I53" s="464"/>
      <c r="J53" s="25"/>
      <c r="K53" s="25"/>
      <c r="L53" s="26">
        <f ca="1">IF(G53="","",IF(StaticData.Today=TODAY(),_xll.BDP(G53,"LAST_PRICE"),_xll.BDH(G53,"LAST_PRICE",StaticData.Today,StaticData.Today)))</f>
        <v>-0.16300000000000001</v>
      </c>
      <c r="M53" s="27">
        <f t="shared" ca="1" si="23"/>
        <v>-1.6300000000000002E-3</v>
      </c>
      <c r="AW53" s="38"/>
      <c r="AX53" s="39"/>
      <c r="AY53" s="42"/>
      <c r="AZ53" s="43"/>
      <c r="BA53" s="43"/>
      <c r="BB53" s="44"/>
      <c r="BC53" s="41"/>
    </row>
    <row r="54" spans="7:55" x14ac:dyDescent="0.25">
      <c r="G54" s="24" t="str">
        <f>"EUSW15V3"&amp;$G$1&amp;" Curncy"</f>
        <v>EUSW15V3 ICPL Curncy</v>
      </c>
      <c r="H54" s="25" t="s">
        <v>367</v>
      </c>
      <c r="I54" s="464"/>
      <c r="J54" s="25"/>
      <c r="K54" s="25"/>
      <c r="L54" s="26">
        <f ca="1">IF(G54="","",IF(StaticData.Today=TODAY(),_xll.BDP(G54,"LAST_PRICE"),_xll.BDH(G54,"LAST_PRICE",StaticData.Today,StaticData.Today)))</f>
        <v>-4.8000000000000001E-2</v>
      </c>
      <c r="M54" s="27">
        <f t="shared" ca="1" si="23"/>
        <v>-4.8000000000000001E-4</v>
      </c>
    </row>
    <row r="55" spans="7:55" x14ac:dyDescent="0.25">
      <c r="G55" s="24" t="str">
        <f>"EUSW20V3"&amp;$G$1&amp;" Curncy"</f>
        <v>EUSW20V3 ICPL Curncy</v>
      </c>
      <c r="H55" s="25" t="s">
        <v>374</v>
      </c>
      <c r="I55" s="464"/>
      <c r="J55" s="25"/>
      <c r="K55" s="25"/>
      <c r="L55" s="26">
        <f ca="1">IF(G55="","",IF(StaticData.Today=TODAY(),_xll.BDP(G55,"LAST_PRICE"),_xll.BDH(G55,"LAST_PRICE",StaticData.Today,StaticData.Today)))</f>
        <v>4.2000000000000003E-2</v>
      </c>
      <c r="M55" s="27">
        <f t="shared" ca="1" si="23"/>
        <v>4.2000000000000002E-4</v>
      </c>
    </row>
    <row r="56" spans="7:55" x14ac:dyDescent="0.25">
      <c r="G56" s="24" t="str">
        <f>"EUSW25V3"&amp;$G$1&amp;" Curncy"</f>
        <v>EUSW25V3 ICPL Curncy</v>
      </c>
      <c r="H56" s="25" t="s">
        <v>382</v>
      </c>
      <c r="I56" s="464"/>
      <c r="J56" s="25"/>
      <c r="K56" s="25"/>
      <c r="L56" s="26">
        <f ca="1">IF(G56="","",IF(StaticData.Today=TODAY(),_xll.BDP(G56,"LAST_PRICE"),_xll.BDH(G56,"LAST_PRICE",StaticData.Today,StaticData.Today)))</f>
        <v>0.05</v>
      </c>
      <c r="M56" s="27">
        <f t="shared" ca="1" si="23"/>
        <v>5.0000000000000001E-4</v>
      </c>
    </row>
    <row r="57" spans="7:55" x14ac:dyDescent="0.25">
      <c r="G57" s="24" t="str">
        <f>"EUSW30V3"&amp;$G$1&amp;" Curncy"</f>
        <v>EUSW30V3 ICPL Curncy</v>
      </c>
      <c r="H57" s="25" t="s">
        <v>389</v>
      </c>
      <c r="I57" s="464"/>
      <c r="J57" s="25"/>
      <c r="K57" s="25"/>
      <c r="L57" s="26">
        <f ca="1">IF(G57="","",IF(StaticData.Today=TODAY(),_xll.BDP(G57,"LAST_PRICE"),_xll.BDH(G57,"LAST_PRICE",StaticData.Today,StaticData.Today)))</f>
        <v>2.8000000000000001E-2</v>
      </c>
      <c r="M57" s="27">
        <f t="shared" ca="1" si="23"/>
        <v>2.8000000000000003E-4</v>
      </c>
    </row>
    <row r="58" spans="7:55" x14ac:dyDescent="0.25">
      <c r="G58" s="24" t="str">
        <f>"EUSW40V3"&amp;$G$1&amp;" Curncy"</f>
        <v>EUSW40V3 ICPL Curncy</v>
      </c>
      <c r="H58" s="25" t="s">
        <v>445</v>
      </c>
      <c r="I58" s="464"/>
      <c r="J58" s="25"/>
      <c r="K58" s="25"/>
      <c r="L58" s="26">
        <f ca="1">IF(G58="","",IF(StaticData.Today=TODAY(),_xll.BDP(G58,"LAST_PRICE"),_xll.BDH(G58,"LAST_PRICE",StaticData.Today,StaticData.Today)))</f>
        <v>-1.4E-2</v>
      </c>
      <c r="M58" s="27">
        <f t="shared" ca="1" si="23"/>
        <v>-1.4000000000000001E-4</v>
      </c>
    </row>
    <row r="59" spans="7:55" x14ac:dyDescent="0.25">
      <c r="G59" s="24" t="str">
        <f>"EUSW50V3"&amp;$G$1&amp;" Curncy"</f>
        <v>EUSW50V3 ICPL Curncy</v>
      </c>
      <c r="H59" s="39" t="s">
        <v>448</v>
      </c>
      <c r="I59" s="464"/>
      <c r="J59" s="25"/>
      <c r="K59" s="25"/>
      <c r="L59" s="26">
        <f ca="1">IF(G59="","",IF(StaticData.Today=TODAY(),_xll.BDP(G59,"LAST_PRICE"),_xll.BDH(G59,"LAST_PRICE",StaticData.Today,StaticData.Today)))</f>
        <v>-5.2999999999999999E-2</v>
      </c>
      <c r="M59" s="27">
        <f t="shared" ca="1" si="23"/>
        <v>-5.2999999999999998E-4</v>
      </c>
    </row>
    <row r="97" spans="30:30" x14ac:dyDescent="0.25">
      <c r="AD97" s="6" t="s">
        <v>505</v>
      </c>
    </row>
    <row r="98" spans="30:30" x14ac:dyDescent="0.25">
      <c r="AD98" s="6" t="s">
        <v>510</v>
      </c>
    </row>
    <row r="99" spans="30:30" x14ac:dyDescent="0.25">
      <c r="AD99" s="6" t="s">
        <v>529</v>
      </c>
    </row>
    <row r="100" spans="30:30" x14ac:dyDescent="0.25">
      <c r="AD100" s="6" t="s">
        <v>508</v>
      </c>
    </row>
  </sheetData>
  <dataValidations count="1">
    <dataValidation type="list" allowBlank="1" showInputMessage="1" showErrorMessage="1" sqref="W2 AG2 AB2">
      <formula1>$D$95:$D$98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'STATIC DATA'!$D$92:$D$95</xm:f>
          </x14:formula1>
          <xm:sqref>G1</xm:sqref>
        </x14:dataValidation>
        <x14:dataValidation type="list" allowBlank="1" showInputMessage="1" showErrorMessage="1">
          <x14:formula1>
            <xm:f>'STATIC DATA'!$D$97:$D$100</xm:f>
          </x14:formula1>
          <xm:sqref>O2</xm:sqref>
        </x14:dataValidation>
        <x14:dataValidation type="list" allowBlank="1" showInputMessage="1" showErrorMessage="1">
          <x14:formula1>
            <xm:f>'STATIC DATA'!$Q$97:$Q$100</xm:f>
          </x14:formula1>
          <xm:sqref>AW1:AW2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7" tint="0.59999389629810485"/>
  </sheetPr>
  <dimension ref="A1:AX100"/>
  <sheetViews>
    <sheetView showGridLines="0" workbookViewId="0"/>
  </sheetViews>
  <sheetFormatPr defaultRowHeight="15" x14ac:dyDescent="0.25"/>
  <cols>
    <col min="1" max="1" width="9.140625" style="6"/>
    <col min="2" max="2" width="15.140625" style="6" bestFit="1" customWidth="1"/>
    <col min="3" max="5" width="12.7109375" style="6" customWidth="1"/>
    <col min="6" max="6" width="9.140625" style="6"/>
    <col min="7" max="7" width="22.7109375" style="6" customWidth="1"/>
    <col min="8" max="8" width="9.140625" style="6"/>
    <col min="9" max="10" width="12.7109375" style="6" customWidth="1"/>
    <col min="11" max="11" width="9.140625" style="6"/>
    <col min="12" max="12" width="22.7109375" style="6" customWidth="1"/>
    <col min="13" max="13" width="9.140625" style="6"/>
    <col min="14" max="18" width="12.7109375" style="6" customWidth="1"/>
    <col min="19" max="19" width="9.140625" style="6"/>
    <col min="20" max="20" width="20.140625" style="6" bestFit="1" customWidth="1"/>
    <col min="21" max="21" width="12.7109375" style="6" customWidth="1"/>
    <col min="22" max="22" width="9.28515625" style="6" bestFit="1" customWidth="1"/>
    <col min="23" max="23" width="12.7109375" style="6" customWidth="1"/>
    <col min="24" max="24" width="9.140625" style="6"/>
    <col min="25" max="25" width="20.28515625" style="6" bestFit="1" customWidth="1"/>
    <col min="26" max="28" width="12.7109375" style="6" customWidth="1"/>
    <col min="29" max="29" width="9.140625" style="6"/>
    <col min="30" max="30" width="18.85546875" style="6" bestFit="1" customWidth="1"/>
    <col min="31" max="33" width="12.7109375" style="6" customWidth="1"/>
    <col min="34" max="35" width="9.140625" style="6"/>
    <col min="36" max="36" width="22.7109375" style="6" customWidth="1"/>
    <col min="37" max="37" width="9.140625" style="6"/>
    <col min="38" max="40" width="12.7109375" style="6" customWidth="1"/>
    <col min="41" max="41" width="13.28515625" style="6" bestFit="1" customWidth="1"/>
    <col min="42" max="42" width="12.7109375" style="6" customWidth="1"/>
    <col min="43" max="43" width="12.7109375" style="205" customWidth="1"/>
    <col min="44" max="44" width="18.28515625" style="6" bestFit="1" customWidth="1"/>
    <col min="45" max="49" width="9.140625" style="6"/>
    <col min="50" max="50" width="9.85546875" style="6" bestFit="1" customWidth="1"/>
    <col min="51" max="16384" width="9.140625" style="6"/>
  </cols>
  <sheetData>
    <row r="1" spans="1:50" x14ac:dyDescent="0.25">
      <c r="A1" s="6" t="s">
        <v>128</v>
      </c>
      <c r="G1" s="6" t="s">
        <v>1104</v>
      </c>
      <c r="L1" s="6" t="s">
        <v>1104</v>
      </c>
      <c r="T1" s="6" t="s">
        <v>1104</v>
      </c>
      <c r="Y1" s="6" t="s">
        <v>1104</v>
      </c>
      <c r="AD1" s="6" t="s">
        <v>1104</v>
      </c>
      <c r="AJ1" s="6" t="s">
        <v>508</v>
      </c>
      <c r="AR1" s="6" t="s">
        <v>1104</v>
      </c>
    </row>
    <row r="2" spans="1:50" x14ac:dyDescent="0.25">
      <c r="G2" s="7"/>
      <c r="L2" s="6" t="s">
        <v>528</v>
      </c>
      <c r="T2" s="6" t="s">
        <v>528</v>
      </c>
      <c r="Y2" s="6" t="s">
        <v>528</v>
      </c>
      <c r="AJ2" s="6" t="s">
        <v>510</v>
      </c>
    </row>
    <row r="3" spans="1:50" x14ac:dyDescent="0.25">
      <c r="B3" s="7" t="s">
        <v>278</v>
      </c>
      <c r="C3" s="7"/>
      <c r="D3" s="7"/>
      <c r="E3" s="8" t="s">
        <v>279</v>
      </c>
      <c r="G3" s="2" t="s">
        <v>1103</v>
      </c>
      <c r="I3" s="8"/>
      <c r="L3" s="2" t="s">
        <v>1111</v>
      </c>
      <c r="Q3" s="8" t="s">
        <v>282</v>
      </c>
      <c r="T3" s="2" t="s">
        <v>1118</v>
      </c>
      <c r="Y3" s="2" t="s">
        <v>1044</v>
      </c>
      <c r="AD3" s="2" t="s">
        <v>1117</v>
      </c>
      <c r="AJ3" s="2" t="s">
        <v>1045</v>
      </c>
      <c r="AO3" s="8" t="s">
        <v>282</v>
      </c>
      <c r="AR3" s="2" t="s">
        <v>1112</v>
      </c>
    </row>
    <row r="4" spans="1:50" x14ac:dyDescent="0.25">
      <c r="B4" s="9" t="b">
        <f ca="1">SUM(C7:C17)=SUM(D7:D17)</f>
        <v>0</v>
      </c>
      <c r="E4" s="10">
        <f ca="1">SUM(E7:E17)</f>
        <v>16</v>
      </c>
    </row>
    <row r="6" spans="1:50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 t="s">
        <v>292</v>
      </c>
      <c r="J6" s="8" t="s">
        <v>293</v>
      </c>
      <c r="L6" s="8" t="s">
        <v>290</v>
      </c>
      <c r="M6" s="8" t="s">
        <v>291</v>
      </c>
      <c r="N6" s="8" t="s">
        <v>290</v>
      </c>
      <c r="O6" s="8" t="s">
        <v>502</v>
      </c>
      <c r="P6" s="8" t="s">
        <v>503</v>
      </c>
      <c r="Q6" s="8" t="s">
        <v>292</v>
      </c>
      <c r="R6" s="8" t="s">
        <v>293</v>
      </c>
      <c r="T6" s="8" t="s">
        <v>290</v>
      </c>
      <c r="U6" s="8" t="s">
        <v>291</v>
      </c>
      <c r="V6" s="8" t="s">
        <v>292</v>
      </c>
      <c r="W6" s="8" t="s">
        <v>293</v>
      </c>
      <c r="Y6" s="8" t="s">
        <v>290</v>
      </c>
      <c r="Z6" s="8" t="s">
        <v>291</v>
      </c>
      <c r="AA6" s="8" t="s">
        <v>292</v>
      </c>
      <c r="AB6" s="8" t="s">
        <v>293</v>
      </c>
      <c r="AD6" s="8" t="s">
        <v>290</v>
      </c>
      <c r="AE6" s="8" t="s">
        <v>291</v>
      </c>
      <c r="AF6" s="8" t="s">
        <v>292</v>
      </c>
      <c r="AG6" s="8" t="s">
        <v>293</v>
      </c>
      <c r="AJ6" s="8" t="s">
        <v>290</v>
      </c>
      <c r="AK6" s="8" t="s">
        <v>291</v>
      </c>
      <c r="AL6" s="8" t="s">
        <v>290</v>
      </c>
      <c r="AM6" s="8" t="s">
        <v>502</v>
      </c>
      <c r="AN6" s="8" t="s">
        <v>503</v>
      </c>
      <c r="AO6" s="8" t="s">
        <v>507</v>
      </c>
      <c r="AP6" s="8" t="s">
        <v>293</v>
      </c>
      <c r="AQ6" s="447"/>
      <c r="AR6" s="8" t="s">
        <v>290</v>
      </c>
      <c r="AS6" s="8" t="s">
        <v>291</v>
      </c>
      <c r="AT6" s="8" t="s">
        <v>290</v>
      </c>
      <c r="AU6" s="8" t="s">
        <v>502</v>
      </c>
      <c r="AV6" s="8" t="s">
        <v>503</v>
      </c>
      <c r="AW6" s="8" t="s">
        <v>292</v>
      </c>
      <c r="AX6" s="8" t="s">
        <v>293</v>
      </c>
    </row>
    <row r="7" spans="1:50" x14ac:dyDescent="0.25">
      <c r="B7" s="11" t="s">
        <v>296</v>
      </c>
      <c r="C7" s="12">
        <f>COUNTA(G7:G49)</f>
        <v>43</v>
      </c>
      <c r="D7" s="12">
        <f ca="1">COUNT(I7:I49)</f>
        <v>43</v>
      </c>
      <c r="E7" s="13">
        <f t="shared" ref="E7:E12" ca="1" si="0">C7-D7</f>
        <v>0</v>
      </c>
      <c r="G7" s="14" t="str">
        <f>"JYMUON"&amp;G1&amp;" Curncy"</f>
        <v>JYMUON MTRT Curncy</v>
      </c>
      <c r="H7" s="15" t="s">
        <v>298</v>
      </c>
      <c r="I7" s="16">
        <f ca="1">IF(G7="","",IF(StaticData.Today=TODAY(),_xll.BDP(G7,"LAST_PRICE"),_xll.BDH(G7,"LAST_PRICE",'STATIC DATA'!B1)))</f>
        <v>-7.0000000000000007E-2</v>
      </c>
      <c r="J7" s="17">
        <f ca="1">I7/100</f>
        <v>-7.000000000000001E-4</v>
      </c>
      <c r="L7" s="14" t="str">
        <f>"JYFR1/4"&amp;$L$1&amp;" Curncy"</f>
        <v>JYFR1/4 MTRT Curncy</v>
      </c>
      <c r="M7" s="15" t="s">
        <v>494</v>
      </c>
      <c r="N7" s="18"/>
      <c r="O7" s="19"/>
      <c r="P7" s="19"/>
      <c r="Q7" s="19">
        <f ca="1">IF(L7="","",IF(StaticData.Today=TODAY(),_xll.BDP(L7,"PX_LAST"),_xll.BDH(L7,"LAST_PRICE",StaticData.Today,StaticData.Today)))</f>
        <v>-0.09</v>
      </c>
      <c r="R7" s="17">
        <f ca="1">Q7/100</f>
        <v>-8.9999999999999998E-4</v>
      </c>
      <c r="T7" s="14" t="s">
        <v>1108</v>
      </c>
      <c r="U7" s="15" t="s">
        <v>300</v>
      </c>
      <c r="V7" s="341">
        <f ca="1">IF(T7="","",IF(StaticData.Today=TODAY(),_xll.BDP(T7,"PX_LAST"),_xll.BDH(T8,"PX_LAST",StaticData.Today,StaticData.Today)))</f>
        <v>-9.7670000000000007E-2</v>
      </c>
      <c r="W7" s="17">
        <f ca="1">V7/100</f>
        <v>-9.7670000000000005E-4</v>
      </c>
      <c r="Y7" s="24" t="str">
        <f>"JYBB1"&amp;$Y$1&amp;" Curncy"</f>
        <v>JYBB1 MTRT Curncy</v>
      </c>
      <c r="Z7" s="15" t="s">
        <v>47</v>
      </c>
      <c r="AA7" s="341">
        <f ca="1">IF(Y7="","",IF(StaticData.Today=TODAY(),_xll.BDP(Y7,"LAST_PRICE"),_xll.BDH(Y7,"LAST_PRICE",StaticData.Today,StaticData.Today)))</f>
        <v>6.5</v>
      </c>
      <c r="AB7" s="17">
        <f ca="1">AA7/10000</f>
        <v>6.4999999999999997E-4</v>
      </c>
      <c r="AD7" s="14" t="s">
        <v>1108</v>
      </c>
      <c r="AE7" s="15" t="s">
        <v>300</v>
      </c>
      <c r="AF7" s="341">
        <f ca="1">IF(AD7="","",IF(StaticData.Today=TODAY(),_xll.BDP(AD7,"PX_LAST"),_xll.BDH(AD8,"PX_LAST",StaticData.Today,StaticData.Today)))</f>
        <v>-9.7670000000000007E-2</v>
      </c>
      <c r="AG7" s="17">
        <f ca="1">AF7/100</f>
        <v>-9.7670000000000005E-4</v>
      </c>
      <c r="AJ7" s="24" t="s">
        <v>1113</v>
      </c>
      <c r="AK7" s="15"/>
      <c r="AL7" s="18"/>
      <c r="AM7" s="19">
        <f ca="1">IF(AJ7="","",IF(StaticData.Today=TODAY(),_xll.BDP(AJ7,"BID"),_xll.BDH(AJ7,"BID",StaticData.Today,StaticData.Today)))</f>
        <v>106.1</v>
      </c>
      <c r="AN7" s="19">
        <f ca="1">IF(AJ7="","",IF(StaticData.Today=TODAY(),_xll.BDP(AJ7,"ASK"),_xll.BDH(AJ7,"ASK",StaticData.Today,StaticData.Today)))</f>
        <v>106.1</v>
      </c>
      <c r="AO7" s="179"/>
      <c r="AP7" s="180"/>
      <c r="AQ7" s="411"/>
      <c r="AR7" s="24" t="s">
        <v>1113</v>
      </c>
      <c r="AS7" s="25" t="s">
        <v>49</v>
      </c>
      <c r="AT7" s="25"/>
      <c r="AU7" s="25"/>
      <c r="AV7" s="25"/>
      <c r="AW7" s="6">
        <f ca="1">IF(AR7="","",IF(StaticData.Today=TODAY(),_xll.BDP(AR7,"LAST_PRICE"),_xll.BDH(AR7,"LAST_PRICE",StaticData.Today,StaticData.Today)))</f>
        <v>106.1</v>
      </c>
      <c r="AX7" s="6">
        <f ca="1">AW7</f>
        <v>106.1</v>
      </c>
    </row>
    <row r="8" spans="1:50" x14ac:dyDescent="0.25">
      <c r="B8" s="21" t="s">
        <v>281</v>
      </c>
      <c r="C8" s="22">
        <f>COUNTA(L7:L50)</f>
        <v>23</v>
      </c>
      <c r="D8" s="22">
        <f ca="1">COUNT(Q7:Q50)</f>
        <v>23</v>
      </c>
      <c r="E8" s="23">
        <f t="shared" ca="1" si="0"/>
        <v>0</v>
      </c>
      <c r="G8" s="24" t="str">
        <f>"JYSO1Z"&amp;$G$1&amp;" Curncy"</f>
        <v>JYSO1Z MTRT Curncy</v>
      </c>
      <c r="H8" s="25" t="s">
        <v>305</v>
      </c>
      <c r="I8" s="26">
        <f ca="1">IF(G8="","",IF(StaticData.Today=TODAY(),_xll.BDP(G8,"LAST_PRICE"),_xll.BDH(G8,"LAST_PRICE",StaticData.Today,StaticData.Today)))</f>
        <v>-5.5E-2</v>
      </c>
      <c r="J8" s="27">
        <f t="shared" ref="J8:J56" ca="1" si="1">I8/100</f>
        <v>-5.5000000000000003E-4</v>
      </c>
      <c r="L8" s="24" t="str">
        <f>"JYFR2/5"&amp;$L$1&amp;" Curncy"</f>
        <v>JYFR2/5 MTRT Curncy</v>
      </c>
      <c r="M8" s="25" t="s">
        <v>495</v>
      </c>
      <c r="N8" s="28"/>
      <c r="O8" s="29"/>
      <c r="P8" s="29"/>
      <c r="Q8" s="29">
        <f ca="1">IF(L8="","",IF(StaticData.Today=TODAY(),_xll.BDP(L8,"PX_LAST"),_xll.BDH(L8,"LAST_PRICE",StaticData.Today,StaticData.Today)))</f>
        <v>-0.09</v>
      </c>
      <c r="R8" s="27">
        <f ca="1">Q8/100</f>
        <v>-8.9999999999999998E-4</v>
      </c>
      <c r="T8" s="24" t="s">
        <v>1109</v>
      </c>
      <c r="U8" s="25" t="s">
        <v>49</v>
      </c>
      <c r="V8" s="341">
        <f ca="1">IF(T8="","",IF(StaticData.Today=TODAY(),_xll.BDP(T8,"PX_LAST"),_xll.BDH(T9,"PX_LAST",StaticData.Today,StaticData.Today)))</f>
        <v>-8.0500000000000002E-2</v>
      </c>
      <c r="W8" s="27">
        <f t="shared" ref="W8:W13" ca="1" si="2">V8/100</f>
        <v>-8.0500000000000005E-4</v>
      </c>
      <c r="Y8" s="24" t="str">
        <f>"JYBB1F"&amp;$Y$1&amp;" Curncy"</f>
        <v>JYBB1F MTRT Curncy</v>
      </c>
      <c r="Z8" s="25" t="s">
        <v>501</v>
      </c>
      <c r="AA8" s="341">
        <f ca="1">IF(Y8="","",IF(StaticData.Today=TODAY(),_xll.BDP(Y8,"LAST_PRICE"),_xll.BDH(Y8,"LAST_PRICE",StaticData.Today,StaticData.Today)))</f>
        <v>6.375</v>
      </c>
      <c r="AB8" s="27">
        <f ca="1">AA8/10000</f>
        <v>6.3750000000000005E-4</v>
      </c>
      <c r="AD8" s="24" t="s">
        <v>1109</v>
      </c>
      <c r="AE8" s="25" t="s">
        <v>49</v>
      </c>
      <c r="AF8" s="341">
        <f ca="1">IF(AD8="","",IF(StaticData.Today=TODAY(),_xll.BDP(AD8,"PX_LAST"),_xll.BDH(AD9,"PX_LAST",StaticData.Today,StaticData.Today)))</f>
        <v>-8.0500000000000002E-2</v>
      </c>
      <c r="AG8" s="27">
        <f ca="1">AF8/100</f>
        <v>-8.0500000000000005E-4</v>
      </c>
      <c r="AJ8" s="24" t="str">
        <f>"JPYON"&amp;$AJ$1&amp;" Curncy"</f>
        <v>JPYON BGN Curncy</v>
      </c>
      <c r="AK8" s="25" t="s">
        <v>298</v>
      </c>
      <c r="AL8" s="28"/>
      <c r="AM8" s="29">
        <f ca="1">IF(AJ8="","",IF(StaticData.Today=TODAY(),_xll.BDP(AJ8,"BID"),_xll.BDH(AJ8,"BID",StaticData.Today,StaticData.Today)))</f>
        <v>-0.23</v>
      </c>
      <c r="AN8" s="29">
        <f ca="1">IF(AJ8="","",IF(StaticData.Today=TODAY(),_xll.BDP(AJ8,"ASK"),_xll.BDH(AJ8,"ASK",StaticData.Today,StaticData.Today)))</f>
        <v>-0.01</v>
      </c>
      <c r="AO8" s="177">
        <f ca="1">IF(AJ8="","",IF(StaticData.Today=TODAY(),_xll.BDP(AJ8,"PX_LAST"),_xll.BDH(AJ8,"PX_LAST",StaticData.Today,StaticData.Today)))</f>
        <v>-0.125</v>
      </c>
      <c r="AP8" s="181">
        <f ca="1">AO8</f>
        <v>-0.125</v>
      </c>
      <c r="AQ8" s="411"/>
      <c r="AR8" s="24" t="str">
        <f>"JPYON"&amp;$AR$1&amp;" Curncy"</f>
        <v>JPYON MTRT Curncy</v>
      </c>
      <c r="AS8" s="25" t="s">
        <v>298</v>
      </c>
      <c r="AT8" s="25"/>
      <c r="AU8" s="29">
        <f ca="1">IF(AR8="","",IF(StaticData.Today=TODAY(),_xll.BDP(AR8,"BID"),_xll.BDH(AR8,"BID",StaticData.Today,StaticData.Today)))</f>
        <v>-0.23300000000000001</v>
      </c>
      <c r="AV8" s="29">
        <f ca="1">IF(AR8="","",IF(StaticData.Today=TODAY(),_xll.BDP(AR8,"ASK"),_xll.BDH(AR8,"ASK",StaticData.Today,StaticData.Today)))</f>
        <v>-3.3000000000000002E-2</v>
      </c>
      <c r="AW8" s="6">
        <f ca="1">IF(AR8="","",IF(StaticData.Today=TODAY(),_xll.BDP(AR8,"LAST_PRICE"),_xll.BDH(AR8,"LAST_PRICE",StaticData.Today,StaticData.Today)))</f>
        <v>-0.13300000000000001</v>
      </c>
      <c r="AX8" s="6">
        <f t="shared" ref="AX8:AX21" ca="1" si="3">AW8</f>
        <v>-0.13300000000000001</v>
      </c>
    </row>
    <row r="9" spans="1:50" x14ac:dyDescent="0.25">
      <c r="B9" s="21" t="s">
        <v>311</v>
      </c>
      <c r="C9" s="22">
        <f>COUNTA(L13:L20)*2</f>
        <v>16</v>
      </c>
      <c r="D9" s="22">
        <f>COUNT(O13:P20)</f>
        <v>0</v>
      </c>
      <c r="E9" s="23">
        <f t="shared" si="0"/>
        <v>16</v>
      </c>
      <c r="G9" s="24" t="str">
        <f>"JYSOA"&amp;$G$1&amp;" Curncy"</f>
        <v>JYSOA MTRT Curncy</v>
      </c>
      <c r="H9" s="25" t="s">
        <v>300</v>
      </c>
      <c r="I9" s="26">
        <f ca="1">IF(G9="","",IF(StaticData.Today=TODAY(),_xll.BDP(G9,"LAST_PRICE"),_xll.BDH(G9,"LAST_PRICE",StaticData.Today,StaticData.Today)))</f>
        <v>-4.2500000000000003E-2</v>
      </c>
      <c r="J9" s="27">
        <f t="shared" ca="1" si="1"/>
        <v>-4.2500000000000003E-4</v>
      </c>
      <c r="L9" s="24" t="str">
        <f>"JYFR3/6"&amp;$L$1&amp;" Curncy"</f>
        <v>JYFR3/6 MTRT Curncy</v>
      </c>
      <c r="M9" s="25" t="s">
        <v>496</v>
      </c>
      <c r="N9" s="28"/>
      <c r="O9" s="29"/>
      <c r="P9" s="29"/>
      <c r="Q9" s="29">
        <f ca="1">IF(L9="","",IF(StaticData.Today=TODAY(),_xll.BDP(L9,"PX_LAST"),_xll.BDH(L9,"LAST_PRICE",StaticData.Today,StaticData.Today)))</f>
        <v>-0.09</v>
      </c>
      <c r="R9" s="27">
        <f ca="1">Q9/100</f>
        <v>-8.9999999999999998E-4</v>
      </c>
      <c r="T9" s="24" t="s">
        <v>1110</v>
      </c>
      <c r="U9" s="25" t="s">
        <v>46</v>
      </c>
      <c r="V9" s="341">
        <f ca="1">IF(T9="","",IF(StaticData.Today=TODAY(),_xll.BDP(T9,"PX_LAST"),_xll.BDH(T10,"PX_LAST",StaticData.Today,StaticData.Today)))</f>
        <v>-4.8669999999999998E-2</v>
      </c>
      <c r="W9" s="27">
        <f t="shared" ca="1" si="2"/>
        <v>-4.8669999999999996E-4</v>
      </c>
      <c r="Y9" s="24" t="str">
        <f>"JYBB2"&amp;$Y$1&amp;" Curncy"</f>
        <v>JYBB2 MTRT Curncy</v>
      </c>
      <c r="Z9" s="25" t="s">
        <v>308</v>
      </c>
      <c r="AA9" s="341">
        <f ca="1">IF(Y9="","",IF(StaticData.Today=TODAY(),_xll.BDP(Y9,"LAST_PRICE"),_xll.BDH(Y9,"LAST_PRICE",StaticData.Today,StaticData.Today)))</f>
        <v>6.625</v>
      </c>
      <c r="AB9" s="27">
        <f t="shared" ref="AB9:AB24" ca="1" si="4">AA9/10000</f>
        <v>6.625E-4</v>
      </c>
      <c r="AD9" s="24" t="s">
        <v>1110</v>
      </c>
      <c r="AE9" s="25" t="s">
        <v>46</v>
      </c>
      <c r="AF9" s="341">
        <f ca="1">IF(AD9="","",IF(StaticData.Today=TODAY(),_xll.BDP(AD9,"PX_LAST"),_xll.BDH(AD10,"PX_LAST",StaticData.Today,StaticData.Today)))</f>
        <v>-4.8669999999999998E-2</v>
      </c>
      <c r="AG9" s="27">
        <f t="shared" ref="AG9:AG32" ca="1" si="5">AF9/100</f>
        <v>-4.8669999999999996E-4</v>
      </c>
      <c r="AJ9" s="24" t="str">
        <f>"JPYTN"&amp;$AJ$1&amp;" Curncy"</f>
        <v>JPYTN BGN Curncy</v>
      </c>
      <c r="AK9" s="25" t="s">
        <v>506</v>
      </c>
      <c r="AL9" s="28"/>
      <c r="AM9" s="29">
        <f ca="1">IF(AJ9="","",IF(StaticData.Today=TODAY(),_xll.BDP(AJ9,"BID"),_xll.BDH(AJ9,"BID",StaticData.Today,StaticData.Today)))</f>
        <v>-0.13200000000000001</v>
      </c>
      <c r="AN9" s="29">
        <f ca="1">IF(AJ9="","",IF(StaticData.Today=TODAY(),_xll.BDP(AJ9,"ASK"),_xll.BDH(AJ9,"ASK",StaticData.Today,StaticData.Today)))</f>
        <v>-0.10100000000000001</v>
      </c>
      <c r="AO9" s="177">
        <f ca="1">IF(AJ9="","",IF(StaticData.Today=TODAY(),_xll.BDP(AJ9,"PX_LAST"),_xll.BDH(AJ9,"PX_LAST",StaticData.Today,StaticData.Today)))</f>
        <v>-0.114</v>
      </c>
      <c r="AP9" s="181">
        <f ca="1">AO9</f>
        <v>-0.114</v>
      </c>
      <c r="AQ9" s="411"/>
      <c r="AR9" s="24" t="str">
        <f>"JPYTN"&amp;$AR$1&amp;" Curncy"</f>
        <v>JPYTN MTRT Curncy</v>
      </c>
      <c r="AS9" s="25" t="s">
        <v>506</v>
      </c>
      <c r="AT9" s="25"/>
      <c r="AU9" s="25"/>
      <c r="AV9" s="25"/>
      <c r="AW9" s="6">
        <f ca="1">IF(AR9="","",IF(StaticData.Today=TODAY(),_xll.BDP(AR9,"LAST_PRICE"),_xll.BDH(AR9,"LAST_PRICE",StaticData.Today,StaticData.Today)))</f>
        <v>-0.115</v>
      </c>
      <c r="AX9" s="6">
        <f t="shared" ca="1" si="3"/>
        <v>-0.115</v>
      </c>
    </row>
    <row r="10" spans="1:50" x14ac:dyDescent="0.25">
      <c r="B10" s="21" t="s">
        <v>283</v>
      </c>
      <c r="C10" s="22">
        <f>COUNTA(T7:T48)</f>
        <v>25</v>
      </c>
      <c r="D10" s="22">
        <f ca="1">COUNT(V7:V48)</f>
        <v>25</v>
      </c>
      <c r="E10" s="23">
        <f t="shared" ca="1" si="0"/>
        <v>0</v>
      </c>
      <c r="G10" s="24" t="str">
        <f>"JYSOB"&amp;$G$1&amp;" Curncy"</f>
        <v>JYSOB MTRT Curncy</v>
      </c>
      <c r="H10" s="25" t="s">
        <v>335</v>
      </c>
      <c r="I10" s="26">
        <f ca="1">IF(G10="","",IF(StaticData.Today=TODAY(),_xll.BDP(G10,"LAST_PRICE"),_xll.BDH(G10,"LAST_PRICE",StaticData.Today,StaticData.Today)))</f>
        <v>-4.3749999999999997E-2</v>
      </c>
      <c r="J10" s="27">
        <f t="shared" ca="1" si="1"/>
        <v>-4.3749999999999995E-4</v>
      </c>
      <c r="L10" s="24" t="str">
        <f>"JYFR6/9"&amp;$L$1&amp;" Curncy"</f>
        <v>JYFR6/9 MTRT Curncy</v>
      </c>
      <c r="M10" s="25" t="s">
        <v>497</v>
      </c>
      <c r="N10" s="28"/>
      <c r="O10" s="29"/>
      <c r="P10" s="29"/>
      <c r="Q10" s="29">
        <f ca="1">IF(L10="","",IF(StaticData.Today=TODAY(),_xll.BDP(L10,"PX_LAST"),_xll.BDH(L10,"LAST_PRICE",StaticData.Today,StaticData.Today)))</f>
        <v>-5.7500000000000002E-2</v>
      </c>
      <c r="R10" s="27">
        <f t="shared" ref="R10:R11" ca="1" si="6">Q10/100</f>
        <v>-5.7499999999999999E-4</v>
      </c>
      <c r="T10" s="24" t="str">
        <f>"JYFR1/7"&amp;$T$1&amp;" Curncy"</f>
        <v>JYFR1/7 MTRT Curncy</v>
      </c>
      <c r="U10" s="25" t="s">
        <v>1070</v>
      </c>
      <c r="V10" s="341">
        <f ca="1">IF(T10="","",IF(StaticData.Today=TODAY(),_xll.BDP(T10,"LAST_PRICE"),_xll.BDH(T10,"LAST_PRICE",StaticData.Today,StaticData.Today)))</f>
        <v>-4.1250000000000002E-2</v>
      </c>
      <c r="W10" s="27">
        <f t="shared" ca="1" si="2"/>
        <v>-4.125E-4</v>
      </c>
      <c r="Y10" s="24" t="str">
        <f>"JYBB3"&amp;$Y$1&amp;" Curncy"</f>
        <v>JYBB3 MTRT Curncy</v>
      </c>
      <c r="Z10" s="25" t="s">
        <v>316</v>
      </c>
      <c r="AA10" s="341">
        <f ca="1">IF(Y10="","",IF(StaticData.Today=TODAY(),_xll.BDP(Y10,"LAST_PRICE"),_xll.BDH(Y10,"LAST_PRICE",StaticData.Today,StaticData.Today)))</f>
        <v>6.875</v>
      </c>
      <c r="AB10" s="27">
        <f t="shared" ca="1" si="4"/>
        <v>6.8749999999999996E-4</v>
      </c>
      <c r="AD10" s="24" t="s">
        <v>1119</v>
      </c>
      <c r="AE10" s="25" t="s">
        <v>322</v>
      </c>
      <c r="AF10" s="341">
        <f ca="1">IF(AD10="","",IF(StaticData.Today=TODAY(),_xll.BDP(AD10,"PX_LAST"),_xll.BDH(AD11,"PX_LAST",StaticData.Today,StaticData.Today)))</f>
        <v>8.5330000000000003E-2</v>
      </c>
      <c r="AG10" s="27">
        <f t="shared" ca="1" si="5"/>
        <v>8.5329999999999998E-4</v>
      </c>
      <c r="AJ10" s="24" t="str">
        <f>"JPY1W"&amp;$AJ$1&amp;" Curncy"</f>
        <v>JPY1W BGN Curncy</v>
      </c>
      <c r="AK10" s="25" t="s">
        <v>305</v>
      </c>
      <c r="AL10" s="28"/>
      <c r="AM10" s="177">
        <f ca="1">IF(AJ10="","",IF(StaticData.Today=TODAY(),_xll.BDP(AJ10,"BID"),_xll.BDH(AJ10,"BID",StaticData.Today,StaticData.Today)))</f>
        <v>-0.83</v>
      </c>
      <c r="AN10" s="177">
        <f ca="1">IF(AJ10="","",IF(StaticData.Today=TODAY(),_xll.BDP(AJ10,"ASK"),_xll.BDH(AJ10,"ASK",StaticData.Today,StaticData.Today)))</f>
        <v>-0.71</v>
      </c>
      <c r="AO10" s="177">
        <f ca="1">IF(AJ10="","",IF(StaticData.Today=TODAY(),_xll.BDP(AJ10,"PX_LAST"),_xll.BDH(AJ10,"PX_LAST",StaticData.Today,StaticData.Today)))</f>
        <v>-0.77</v>
      </c>
      <c r="AP10" s="181">
        <f ca="1">AO10</f>
        <v>-0.77</v>
      </c>
      <c r="AQ10" s="411"/>
      <c r="AR10" s="24" t="str">
        <f>"JPY1W"&amp;$AR$1&amp;" Curncy"</f>
        <v>JPY1W MTRT Curncy</v>
      </c>
      <c r="AS10" s="25" t="s">
        <v>305</v>
      </c>
      <c r="AT10" s="25"/>
      <c r="AU10" s="25"/>
      <c r="AV10" s="25"/>
      <c r="AW10" s="6">
        <f ca="1">IF(AR10="","",IF(StaticData.Today=TODAY(),_xll.BDP(AR10,"LAST_PRICE"),_xll.BDH(AR10,"LAST_PRICE",StaticData.Today,StaticData.Today)))</f>
        <v>-0.77</v>
      </c>
      <c r="AX10" s="6">
        <f t="shared" ca="1" si="3"/>
        <v>-0.77</v>
      </c>
    </row>
    <row r="11" spans="1:50" x14ac:dyDescent="0.25">
      <c r="B11" s="21" t="s">
        <v>284</v>
      </c>
      <c r="C11" s="22">
        <f>COUNTA(Y7:Y48)</f>
        <v>18</v>
      </c>
      <c r="D11" s="22">
        <f ca="1">COUNT(AA7:AA48)</f>
        <v>18</v>
      </c>
      <c r="E11" s="23">
        <f t="shared" ca="1" si="0"/>
        <v>0</v>
      </c>
      <c r="G11" s="24" t="str">
        <f>"JYSOC"&amp;$G$1&amp;" Curncy"</f>
        <v>JYSOC MTRT Curncy</v>
      </c>
      <c r="H11" s="25" t="s">
        <v>49</v>
      </c>
      <c r="I11" s="26">
        <f ca="1">IF(G11="","",IF(StaticData.Today=TODAY(),_xll.BDP(G11,"LAST_PRICE"),_xll.BDH(G11,"LAST_PRICE",StaticData.Today,StaticData.Today)))</f>
        <v>-4.4999999999999998E-2</v>
      </c>
      <c r="J11" s="27">
        <f t="shared" ca="1" si="1"/>
        <v>-4.4999999999999999E-4</v>
      </c>
      <c r="L11" s="24" t="str">
        <f>"JYFR9/12"&amp;$L$1&amp;" Curncy"</f>
        <v>JYFR9/12 MTRT Curncy</v>
      </c>
      <c r="M11" s="25" t="s">
        <v>498</v>
      </c>
      <c r="N11" s="28"/>
      <c r="O11" s="29"/>
      <c r="P11" s="29"/>
      <c r="Q11" s="29">
        <f ca="1">IF(L11="","",IF(StaticData.Today=TODAY(),_xll.BDP(L11,"PX_LAST"),_xll.BDH(L11,"LAST_PRICE",StaticData.Today,StaticData.Today)))</f>
        <v>-0.06</v>
      </c>
      <c r="R11" s="27">
        <f t="shared" ca="1" si="6"/>
        <v>-5.9999999999999995E-4</v>
      </c>
      <c r="T11" s="24" t="str">
        <f>"JYFR2/8"&amp;$T$1&amp;" Curncy"</f>
        <v>JYFR2/8 MTRT Curncy</v>
      </c>
      <c r="U11" s="25" t="s">
        <v>1071</v>
      </c>
      <c r="V11" s="341">
        <f ca="1">IF(T11="","",IF(StaticData.Today=TODAY(),_xll.BDP(T11,"LAST_PRICE"),_xll.BDH(T11,"LAST_PRICE",StaticData.Today,StaticData.Today)))</f>
        <v>-0.04</v>
      </c>
      <c r="W11" s="338">
        <f t="shared" ca="1" si="2"/>
        <v>-4.0000000000000002E-4</v>
      </c>
      <c r="Y11" s="24" t="str">
        <f>"JYBB4"&amp;$Y$1&amp;" Curncy"</f>
        <v>JYBB4 MTRT Curncy</v>
      </c>
      <c r="Z11" s="25" t="s">
        <v>324</v>
      </c>
      <c r="AA11" s="341">
        <f ca="1">IF(Y11="","",IF(StaticData.Today=TODAY(),_xll.BDP(Y11,"LAST_PRICE"),_xll.BDH(Y11,"LAST_PRICE",StaticData.Today,StaticData.Today)))</f>
        <v>7.125</v>
      </c>
      <c r="AB11" s="27">
        <f t="shared" ca="1" si="4"/>
        <v>7.1250000000000003E-4</v>
      </c>
      <c r="AD11" s="24" t="str">
        <f>"JYFR1/7"&amp;$AD$1&amp;" Curncy"</f>
        <v>JYFR1/7 MTRT Curncy</v>
      </c>
      <c r="AE11" s="25" t="s">
        <v>1070</v>
      </c>
      <c r="AF11" s="26">
        <f ca="1">IF(AD11="","",IF(StaticData.Today=TODAY(),_xll.BDP(AD11,"LAST_PRICE"),_xll.BDH(AD11,"LAST_PRICE",StaticData.Today,StaticData.Today)))</f>
        <v>-4.1250000000000002E-2</v>
      </c>
      <c r="AG11" s="27">
        <f t="shared" ca="1" si="5"/>
        <v>-4.125E-4</v>
      </c>
      <c r="AJ11" s="24" t="str">
        <f>"JPY2W"&amp;$AJ$1&amp;" Curncy"</f>
        <v>JPY2W BGN Curncy</v>
      </c>
      <c r="AK11" s="25" t="s">
        <v>313</v>
      </c>
      <c r="AL11" s="28"/>
      <c r="AM11" s="177">
        <f ca="1">IF(AJ11="","",IF(StaticData.Today=TODAY(),_xll.BDP(AJ11,"BID"),_xll.BDH(AJ11,"BID",StaticData.Today,StaticData.Today)))</f>
        <v>-1.62</v>
      </c>
      <c r="AN11" s="177">
        <f ca="1">IF(AJ11="","",IF(StaticData.Today=TODAY(),_xll.BDP(AJ11,"ASK"),_xll.BDH(AJ11,"ASK",StaticData.Today,StaticData.Today)))</f>
        <v>-1.49</v>
      </c>
      <c r="AO11" s="177">
        <f ca="1">IF(AJ11="","",IF(StaticData.Today=TODAY(),_xll.BDP(AJ11,"PX_LAST"),_xll.BDH(AJ11,"PX_LAST",StaticData.Today,StaticData.Today)))</f>
        <v>-1.56</v>
      </c>
      <c r="AP11" s="181">
        <f ca="1">AO11</f>
        <v>-1.56</v>
      </c>
      <c r="AQ11" s="411"/>
      <c r="AR11" s="24" t="str">
        <f>"JPY2W"&amp;$AR$1&amp;" Curncy"</f>
        <v>JPY2W MTRT Curncy</v>
      </c>
      <c r="AS11" s="25" t="s">
        <v>313</v>
      </c>
      <c r="AT11" s="25"/>
      <c r="AU11" s="25"/>
      <c r="AV11" s="25"/>
      <c r="AW11" s="6">
        <f ca="1">IF(AR11="","",IF(StaticData.Today=TODAY(),_xll.BDP(AR11,"LAST_PRICE"),_xll.BDH(AR11,"LAST_PRICE",StaticData.Today,StaticData.Today)))</f>
        <v>-1.55</v>
      </c>
      <c r="AX11" s="6">
        <f t="shared" ca="1" si="3"/>
        <v>-1.55</v>
      </c>
    </row>
    <row r="12" spans="1:50" x14ac:dyDescent="0.25">
      <c r="B12" s="21" t="s">
        <v>285</v>
      </c>
      <c r="C12" s="22">
        <f>COUNTA(AD7:AD48)</f>
        <v>26</v>
      </c>
      <c r="D12" s="22">
        <f ca="1">COUNT(AF7:AF48)</f>
        <v>26</v>
      </c>
      <c r="E12" s="23">
        <f t="shared" ca="1" si="0"/>
        <v>0</v>
      </c>
      <c r="G12" s="24" t="str">
        <f>"JYSOD"&amp;$G$1&amp;" Curncy"</f>
        <v>JYSOD MTRT Curncy</v>
      </c>
      <c r="H12" s="25" t="s">
        <v>351</v>
      </c>
      <c r="I12" s="26">
        <f ca="1">IF(G12="","",IF(StaticData.Today=TODAY(),_xll.BDP(G12,"LAST_PRICE"),_xll.BDH(G12,"LAST_PRICE",StaticData.Today,StaticData.Today)))</f>
        <v>-4.7500000000000001E-2</v>
      </c>
      <c r="J12" s="27">
        <f t="shared" ca="1" si="1"/>
        <v>-4.75E-4</v>
      </c>
      <c r="L12" s="24" t="str">
        <f>"JYBC1"&amp;$L$1&amp;" Curncy"</f>
        <v>JYBC1 MTRT Curncy</v>
      </c>
      <c r="M12" s="25" t="s">
        <v>47</v>
      </c>
      <c r="N12" s="28"/>
      <c r="O12" s="29"/>
      <c r="P12" s="29"/>
      <c r="Q12" s="29">
        <f ca="1">IF(L12="","",IF(StaticData.Today=TODAY(),_xll.BDP(L12,"PX_LAST"),_xll.BDH(L12,"LAST_PRICE",StaticData.Today,StaticData.Today)))</f>
        <v>3.25</v>
      </c>
      <c r="R12" s="27">
        <f ca="1">Q12/10000</f>
        <v>3.2499999999999999E-4</v>
      </c>
      <c r="T12" s="24" t="str">
        <f>"JYFR3/9"&amp;$T$1&amp;" Curncy"</f>
        <v>JYFR3/9 MTRT Curncy</v>
      </c>
      <c r="U12" s="25" t="s">
        <v>1072</v>
      </c>
      <c r="V12" s="341">
        <f ca="1">IF(T12="","",IF(StaticData.Today=TODAY(),_xll.BDP(T12,"LAST_PRICE"),_xll.BDH(T12,"LAST_PRICE",StaticData.Today,StaticData.Today)))</f>
        <v>-3.875E-2</v>
      </c>
      <c r="W12" s="338">
        <f t="shared" ca="1" si="2"/>
        <v>-3.8749999999999999E-4</v>
      </c>
      <c r="Y12" s="24" t="str">
        <f>"JYBB5"&amp;$Y$1&amp;" Curncy"</f>
        <v>JYBB5 MTRT Curncy</v>
      </c>
      <c r="Z12" s="25" t="s">
        <v>331</v>
      </c>
      <c r="AA12" s="341">
        <f ca="1">IF(Y12="","",IF(StaticData.Today=TODAY(),_xll.BDP(Y12,"LAST_PRICE"),_xll.BDH(Y12,"LAST_PRICE",StaticData.Today,StaticData.Today)))</f>
        <v>7.25</v>
      </c>
      <c r="AB12" s="27">
        <f t="shared" ca="1" si="4"/>
        <v>7.2499999999999995E-4</v>
      </c>
      <c r="AD12" s="24" t="str">
        <f>"JYFR2/8"&amp;$AD$1&amp;" Curncy"</f>
        <v>JYFR2/8 MTRT Curncy</v>
      </c>
      <c r="AE12" s="25" t="s">
        <v>1071</v>
      </c>
      <c r="AF12" s="26">
        <f ca="1">IF(AD12="","",IF(StaticData.Today=TODAY(),_xll.BDP(AD12,"LAST_PRICE"),_xll.BDH(AD12,"LAST_PRICE",StaticData.Today,StaticData.Today)))</f>
        <v>-0.04</v>
      </c>
      <c r="AG12" s="27">
        <f t="shared" ca="1" si="5"/>
        <v>-4.0000000000000002E-4</v>
      </c>
      <c r="AJ12" s="24" t="str">
        <f>"JPY3W"&amp;$AJ$1&amp;" Curncy"</f>
        <v>JPY3W BGN Curncy</v>
      </c>
      <c r="AK12" s="25" t="s">
        <v>320</v>
      </c>
      <c r="AL12" s="31"/>
      <c r="AM12" s="177">
        <f ca="1">IF(AJ12="","",IF(StaticData.Today=TODAY(),_xll.BDP(AJ12,"BID"),_xll.BDH(AJ12,"BID",StaticData.Today,StaticData.Today)))</f>
        <v>-3.83</v>
      </c>
      <c r="AN12" s="177">
        <f ca="1">IF(AJ12="","",IF(StaticData.Today=TODAY(),_xll.BDP(AJ12,"ASK"),_xll.BDH(AJ12,"ASK",StaticData.Today,StaticData.Today)))</f>
        <v>-3.6</v>
      </c>
      <c r="AO12" s="177">
        <f ca="1">IF(AJ12="","",IF(StaticData.Today=TODAY(),_xll.BDP(AJ12,"LAST_PRICE"),_xll.BDH(AJ12,"LAST_PRICE",StaticData.Today,StaticData.Today)))</f>
        <v>-3.72</v>
      </c>
      <c r="AP12" s="181">
        <f ca="1">AO12</f>
        <v>-3.72</v>
      </c>
      <c r="AQ12" s="411"/>
      <c r="AR12" s="24" t="str">
        <f>"JPY3W"&amp;$AR$1&amp;" Curncy"</f>
        <v>JPY3W MTRT Curncy</v>
      </c>
      <c r="AS12" s="25" t="s">
        <v>320</v>
      </c>
      <c r="AT12" s="25"/>
      <c r="AU12" s="25"/>
      <c r="AV12" s="25"/>
      <c r="AW12" s="6">
        <f ca="1">IF(AR12="","",IF(StaticData.Today=TODAY(),_xll.BDP(AR12,"LAST_PRICE"),_xll.BDH(AR12,"LAST_PRICE",StaticData.Today,StaticData.Today)))</f>
        <v>-3.72</v>
      </c>
      <c r="AX12" s="6">
        <f t="shared" ca="1" si="3"/>
        <v>-3.72</v>
      </c>
    </row>
    <row r="13" spans="1:50" x14ac:dyDescent="0.25">
      <c r="B13" s="21"/>
      <c r="C13" s="22"/>
      <c r="D13" s="22"/>
      <c r="E13" s="22"/>
      <c r="G13" s="24" t="str">
        <f>"JYSOE"&amp;$G$1&amp;" Curncy"</f>
        <v>JYSOE MTRT Curncy</v>
      </c>
      <c r="H13" s="25" t="s">
        <v>360</v>
      </c>
      <c r="I13" s="26">
        <f ca="1">IF(G13="","",IF(StaticData.Today=TODAY(),_xll.BDP(G13,"LAST_PRICE"),_xll.BDH(G13,"LAST_PRICE",StaticData.Today,StaticData.Today)))</f>
        <v>-4.8750000000000002E-2</v>
      </c>
      <c r="J13" s="27">
        <f t="shared" ca="1" si="1"/>
        <v>-4.8750000000000003E-4</v>
      </c>
      <c r="L13" s="24" t="str">
        <f>"JYBC1F"&amp;$L$1&amp;" Curncy"</f>
        <v>JYBC1F MTRT Curncy</v>
      </c>
      <c r="M13" s="25" t="s">
        <v>501</v>
      </c>
      <c r="N13" s="31"/>
      <c r="O13" s="32"/>
      <c r="P13" s="32"/>
      <c r="Q13" s="30">
        <f ca="1">IF(L13="","",IF(StaticData.Today=TODAY(),_xll.BDP(L13,"LAST_PRICE"),_xll.BDH(L13,"LAST_PRICE",StaticData.Today,StaticData.Today)))</f>
        <v>3.5</v>
      </c>
      <c r="R13" s="27">
        <f t="shared" ref="R13:R29" ca="1" si="7">Q13/10000</f>
        <v>3.5E-4</v>
      </c>
      <c r="T13" s="24" t="str">
        <f>"JYFR6/12"&amp;$T$1&amp;" Curncy"</f>
        <v>JYFR6/12 MTRT Curncy</v>
      </c>
      <c r="U13" s="25" t="s">
        <v>1075</v>
      </c>
      <c r="V13" s="341">
        <f ca="1">IF(T13="","",IF(StaticData.Today=TODAY(),_xll.BDP(T13,"LAST_PRICE"),_xll.BDH(T13,"LAST_PRICE",StaticData.Today,StaticData.Today)))</f>
        <v>-0.03</v>
      </c>
      <c r="W13" s="338">
        <f t="shared" ca="1" si="2"/>
        <v>-2.9999999999999997E-4</v>
      </c>
      <c r="Y13" s="24" t="str">
        <f>"JYBB6"&amp;$Y$1&amp;" Curncy"</f>
        <v>JYBB6 MTRT Curncy</v>
      </c>
      <c r="Z13" s="25" t="s">
        <v>339</v>
      </c>
      <c r="AA13" s="341">
        <f ca="1">IF(Y13="","",IF(StaticData.Today=TODAY(),_xll.BDP(Y13,"LAST_PRICE"),_xll.BDH(Y13,"LAST_PRICE",StaticData.Today,StaticData.Today)))</f>
        <v>7.25</v>
      </c>
      <c r="AB13" s="27">
        <f t="shared" ca="1" si="4"/>
        <v>7.2499999999999995E-4</v>
      </c>
      <c r="AD13" s="24" t="str">
        <f>"JYFR3/9"&amp;$AD$1&amp;" Curncy"</f>
        <v>JYFR3/9 MTRT Curncy</v>
      </c>
      <c r="AE13" s="25" t="s">
        <v>1072</v>
      </c>
      <c r="AF13" s="26">
        <f ca="1">IF(AD13="","",IF(StaticData.Today=TODAY(),_xll.BDP(AD13,"LAST_PRICE"),_xll.BDH(AD13,"LAST_PRICE",StaticData.Today,StaticData.Today)))</f>
        <v>-3.875E-2</v>
      </c>
      <c r="AG13" s="27">
        <f t="shared" ca="1" si="5"/>
        <v>-3.8749999999999999E-4</v>
      </c>
      <c r="AJ13" s="24" t="str">
        <f>"JPY1M"&amp;$AJ$1&amp;" Curncy"</f>
        <v>JPY1M BGN Curncy</v>
      </c>
      <c r="AK13" s="25" t="s">
        <v>300</v>
      </c>
      <c r="AL13" s="31"/>
      <c r="AM13" s="177">
        <f ca="1">IF(AJ13="","",IF(StaticData.Today=TODAY(),_xll.BDP(AJ13,"BID"),_xll.BDH(AJ13,"BID",StaticData.Today,StaticData.Today)))</f>
        <v>-5.35</v>
      </c>
      <c r="AN13" s="177">
        <f ca="1">IF(AJ13="","",IF(StaticData.Today=TODAY(),_xll.BDP(AJ13,"ASK"),_xll.BDH(AJ13,"ASK",StaticData.Today,StaticData.Today)))</f>
        <v>-5.07</v>
      </c>
      <c r="AO13" s="177">
        <f ca="1">IF(AJ13="","",IF(StaticData.Today=TODAY(),_xll.BDP(AJ13,"LAST_PRICE"),_xll.BDH(AJ13,"LAST_PRICE",StaticData.Today,StaticData.Today)))</f>
        <v>-5.21</v>
      </c>
      <c r="AP13" s="181">
        <f t="shared" ref="AP13:AP32" ca="1" si="8">AO13</f>
        <v>-5.21</v>
      </c>
      <c r="AQ13" s="411"/>
      <c r="AR13" s="24" t="str">
        <f>"JPY1M"&amp;$AR$1&amp;" Curncy"</f>
        <v>JPY1M MTRT Curncy</v>
      </c>
      <c r="AS13" s="25" t="s">
        <v>300</v>
      </c>
      <c r="AT13" s="25"/>
      <c r="AU13" s="25"/>
      <c r="AV13" s="25"/>
      <c r="AW13" s="6">
        <f ca="1">IF(AR13="","",IF(StaticData.Today=TODAY(),_xll.BDP(AR13,"LAST_PRICE"),_xll.BDH(AR13,"LAST_PRICE",StaticData.Today,StaticData.Today)))</f>
        <v>-5.18</v>
      </c>
      <c r="AX13" s="6">
        <f t="shared" ca="1" si="3"/>
        <v>-5.18</v>
      </c>
    </row>
    <row r="14" spans="1:50" x14ac:dyDescent="0.25">
      <c r="B14" s="21"/>
      <c r="C14" s="22"/>
      <c r="D14" s="22"/>
      <c r="E14" s="22"/>
      <c r="G14" s="24" t="str">
        <f>"JYSOF"&amp;$G$1&amp;" Curncy"</f>
        <v>JYSOF MTRT Curncy</v>
      </c>
      <c r="H14" s="25" t="s">
        <v>46</v>
      </c>
      <c r="I14" s="26">
        <f ca="1">IF(G14="","",IF(StaticData.Today=TODAY(),_xll.BDP(G14,"LAST_PRICE"),_xll.BDH(G14,"LAST_PRICE",StaticData.Today,StaticData.Today)))</f>
        <v>-0.05</v>
      </c>
      <c r="J14" s="27">
        <f t="shared" ca="1" si="1"/>
        <v>-5.0000000000000001E-4</v>
      </c>
      <c r="L14" s="24" t="str">
        <f>"JYBC2"&amp;$L$1&amp;" Curncy"</f>
        <v>JYBC2 MTRT Curncy</v>
      </c>
      <c r="M14" s="25" t="s">
        <v>308</v>
      </c>
      <c r="N14" s="31"/>
      <c r="O14" s="32"/>
      <c r="P14" s="32"/>
      <c r="Q14" s="30">
        <f ca="1">IF(L14="","",IF(StaticData.Today=TODAY(),_xll.BDP(L14,"LAST_PRICE"),_xll.BDH(L14,"LAST_PRICE",StaticData.Today,StaticData.Today)))</f>
        <v>3.875</v>
      </c>
      <c r="R14" s="27">
        <f t="shared" ca="1" si="7"/>
        <v>3.8749999999999999E-4</v>
      </c>
      <c r="T14" s="24" t="str">
        <f>"JYJSLC1"&amp;$T$1&amp;" Curncy"</f>
        <v>JYJSLC1 MTRT Curncy</v>
      </c>
      <c r="U14" s="25" t="s">
        <v>47</v>
      </c>
      <c r="V14" s="341">
        <f ca="1">IF(T14="","",IF(StaticData.Today=TODAY(),_xll.BDP(T14,"LAST_PRICE"),_xll.BDH(T14,"LAST_PRICE",StaticData.Today,StaticData.Today)))</f>
        <v>0</v>
      </c>
      <c r="W14" s="338">
        <f ca="1">V14/10000</f>
        <v>0</v>
      </c>
      <c r="Y14" s="24" t="str">
        <f>"JYBB7"&amp;$Y$1&amp;" Curncy"</f>
        <v>JYBB7 MTRT Curncy</v>
      </c>
      <c r="Z14" s="25" t="s">
        <v>342</v>
      </c>
      <c r="AA14" s="340">
        <f ca="1">IF(Y14="","",IF(StaticData.Today=TODAY(),_xll.BDP(Y14,"LAST_PRICE"),_xll.BDH(Y14,"LAST_PRICE",StaticData.Today,StaticData.Today)))</f>
        <v>7.25</v>
      </c>
      <c r="AB14" s="27">
        <f t="shared" ca="1" si="4"/>
        <v>7.2499999999999995E-4</v>
      </c>
      <c r="AD14" s="24" t="str">
        <f>"JYFR6/12"&amp;$AD$1&amp;" Curncy"</f>
        <v>JYFR6/12 MTRT Curncy</v>
      </c>
      <c r="AE14" s="25" t="s">
        <v>1075</v>
      </c>
      <c r="AF14" s="26">
        <f ca="1">IF(AD14="","",IF(StaticData.Today=TODAY(),_xll.BDP(AD14,"LAST_PRICE"),_xll.BDH(AD14,"LAST_PRICE",StaticData.Today,StaticData.Today)))</f>
        <v>-0.03</v>
      </c>
      <c r="AG14" s="27">
        <f t="shared" ca="1" si="5"/>
        <v>-2.9999999999999997E-4</v>
      </c>
      <c r="AJ14" s="24" t="str">
        <f>"JPY2M"&amp;$AJ$1&amp;" Curncy"</f>
        <v>JPY2M BGN Curncy</v>
      </c>
      <c r="AK14" s="25" t="s">
        <v>335</v>
      </c>
      <c r="AL14" s="31"/>
      <c r="AM14" s="177">
        <f ca="1">IF(AJ14="","",IF(StaticData.Today=TODAY(),_xll.BDP(AJ14,"BID"),_xll.BDH(AJ14,"BID",StaticData.Today,StaticData.Today)))</f>
        <v>-9.24</v>
      </c>
      <c r="AN14" s="177">
        <f ca="1">IF(AJ14="","",IF(StaticData.Today=TODAY(),_xll.BDP(AJ14,"ASK"),_xll.BDH(AJ14,"ASK",StaticData.Today,StaticData.Today)))</f>
        <v>-8.94</v>
      </c>
      <c r="AO14" s="177">
        <f ca="1">IF(AJ14="","",IF(StaticData.Today=TODAY(),_xll.BDP(AJ14,"LAST_PRICE"),_xll.BDH(AJ14,"LAST_PRICE",StaticData.Today,StaticData.Today)))</f>
        <v>-9.09</v>
      </c>
      <c r="AP14" s="181">
        <f t="shared" ca="1" si="8"/>
        <v>-9.09</v>
      </c>
      <c r="AQ14" s="411"/>
      <c r="AR14" s="24" t="str">
        <f>"JPY2M"&amp;$AR$1&amp;" Curncy"</f>
        <v>JPY2M MTRT Curncy</v>
      </c>
      <c r="AS14" s="25" t="s">
        <v>335</v>
      </c>
      <c r="AT14" s="25"/>
      <c r="AU14" s="25"/>
      <c r="AV14" s="25"/>
      <c r="AW14" s="6">
        <f ca="1">IF(AR14="","",IF(StaticData.Today=TODAY(),_xll.BDP(AR14,"LAST_PRICE"),_xll.BDH(AR14,"LAST_PRICE",StaticData.Today,StaticData.Today)))</f>
        <v>-9.07</v>
      </c>
      <c r="AX14" s="6">
        <f t="shared" ca="1" si="3"/>
        <v>-9.07</v>
      </c>
    </row>
    <row r="15" spans="1:50" x14ac:dyDescent="0.25">
      <c r="B15" s="21"/>
      <c r="C15" s="22"/>
      <c r="D15" s="22"/>
      <c r="E15" s="22"/>
      <c r="G15" s="24" t="str">
        <f>"JYSOI"&amp;$G$1&amp;" Curncy"</f>
        <v>JYSOI MTRT Curncy</v>
      </c>
      <c r="H15" s="25" t="s">
        <v>376</v>
      </c>
      <c r="I15" s="26">
        <f ca="1">IF(G15="","",IF(StaticData.Today=TODAY(),_xll.BDP(G15,"LAST_PRICE"),_xll.BDH(G15,"LAST_PRICE",StaticData.Today,StaticData.Today)))</f>
        <v>-5.5E-2</v>
      </c>
      <c r="J15" s="27">
        <f t="shared" ca="1" si="1"/>
        <v>-5.5000000000000003E-4</v>
      </c>
      <c r="L15" s="24" t="str">
        <f>"JYBC3"&amp;$L$1&amp;" Curncy"</f>
        <v>JYBC3 MTRT Curncy</v>
      </c>
      <c r="M15" s="25" t="s">
        <v>316</v>
      </c>
      <c r="N15" s="31"/>
      <c r="O15" s="32"/>
      <c r="P15" s="32"/>
      <c r="Q15" s="30">
        <f ca="1">IF(L15="","",IF(StaticData.Today=TODAY(),_xll.BDP(L15,"LAST_PRICE"),_xll.BDH(L15,"LAST_PRICE",StaticData.Today,StaticData.Today)))</f>
        <v>4.25</v>
      </c>
      <c r="R15" s="27">
        <f t="shared" ca="1" si="7"/>
        <v>4.2499999999999998E-4</v>
      </c>
      <c r="T15" s="24" t="str">
        <f>"JYJSLC1F"&amp;$T$1&amp;" Curncy"</f>
        <v>JYJSLC1F MTRT Curncy</v>
      </c>
      <c r="U15" s="25" t="s">
        <v>501</v>
      </c>
      <c r="V15" s="340">
        <f ca="1">IF(T15="","",IF(StaticData.Today=TODAY(),_xll.BDP(T15,"LAST_PRICE"),_xll.BDH(T15,"LAST_PRICE",StaticData.Today,StaticData.Today)))</f>
        <v>0</v>
      </c>
      <c r="W15" s="338">
        <f t="shared" ref="W15:W31" ca="1" si="9">V15/10000</f>
        <v>0</v>
      </c>
      <c r="Y15" s="24" t="str">
        <f>"JYBB8"&amp;$Y$1&amp;" Curncy"</f>
        <v>JYBB8 MTRT Curncy</v>
      </c>
      <c r="Z15" s="25" t="s">
        <v>355</v>
      </c>
      <c r="AA15" s="26">
        <f ca="1">IF(Y15="","",IF(StaticData.Today=TODAY(),_xll.BDP(Y15,"LAST_PRICE"),_xll.BDH(Y15,"LAST_PRICE",StaticData.Today,StaticData.Today)))</f>
        <v>7.25</v>
      </c>
      <c r="AB15" s="27">
        <f t="shared" ca="1" si="4"/>
        <v>7.2499999999999995E-4</v>
      </c>
      <c r="AD15" s="24" t="str">
        <f>"JYSW1"&amp;$AD$1&amp;" Curncy"</f>
        <v>JYSW1 MTRT Curncy</v>
      </c>
      <c r="AE15" s="25" t="s">
        <v>47</v>
      </c>
      <c r="AF15" s="26">
        <f ca="1">IF(AD15="","",IF(StaticData.Today=TODAY(),_xll.BDP(AD15,"LAST_PRICE"),_xll.BDH(AD15,"LAST_PRICE",StaticData.Today,StaticData.Today)))</f>
        <v>-0.04</v>
      </c>
      <c r="AG15" s="27">
        <f t="shared" ca="1" si="5"/>
        <v>-4.0000000000000002E-4</v>
      </c>
      <c r="AJ15" s="24" t="str">
        <f>"JPY3M"&amp;$AJ$1&amp;" Curncy"</f>
        <v>JPY3M BGN Curncy</v>
      </c>
      <c r="AK15" s="25" t="s">
        <v>49</v>
      </c>
      <c r="AL15" s="31"/>
      <c r="AM15" s="177">
        <f ca="1">IF(AJ15="","",IF(StaticData.Today=TODAY(),_xll.BDP(AJ15,"BID"),_xll.BDH(AJ15,"BID",StaticData.Today,StaticData.Today)))</f>
        <v>-13.08</v>
      </c>
      <c r="AN15" s="177">
        <f ca="1">IF(AJ15="","",IF(StaticData.Today=TODAY(),_xll.BDP(AJ15,"ASK"),_xll.BDH(AJ15,"ASK",StaticData.Today,StaticData.Today)))</f>
        <v>-12.71</v>
      </c>
      <c r="AO15" s="177">
        <f ca="1">IF(AJ15="","",IF(StaticData.Today=TODAY(),_xll.BDP(AJ15,"LAST_PRICE"),_xll.BDH(AJ15,"LAST_PRICE",StaticData.Today,StaticData.Today)))</f>
        <v>-12.9</v>
      </c>
      <c r="AP15" s="181">
        <f t="shared" ca="1" si="8"/>
        <v>-12.9</v>
      </c>
      <c r="AQ15" s="411"/>
      <c r="AR15" s="24" t="str">
        <f>"JPY3M"&amp;$AR$1&amp;" Curncy"</f>
        <v>JPY3M MTRT Curncy</v>
      </c>
      <c r="AS15" s="25" t="s">
        <v>49</v>
      </c>
      <c r="AT15" s="25"/>
      <c r="AU15" s="25"/>
      <c r="AV15" s="25"/>
      <c r="AW15" s="6">
        <f ca="1">IF(AR15="","",IF(StaticData.Today=TODAY(),_xll.BDP(AR15,"LAST_PRICE"),_xll.BDH(AR15,"LAST_PRICE",StaticData.Today,StaticData.Today)))</f>
        <v>-12.89</v>
      </c>
      <c r="AX15" s="6">
        <f t="shared" ca="1" si="3"/>
        <v>-12.89</v>
      </c>
    </row>
    <row r="16" spans="1:50" x14ac:dyDescent="0.25">
      <c r="B16" s="21"/>
      <c r="C16" s="22"/>
      <c r="D16" s="22"/>
      <c r="E16" s="22"/>
      <c r="G16" s="24" t="str">
        <f>"JYSO1"&amp;$G$1&amp;" Curncy"</f>
        <v>JYSO1 MTRT Curncy</v>
      </c>
      <c r="H16" s="25" t="s">
        <v>47</v>
      </c>
      <c r="I16" s="26">
        <f ca="1">IF(G16="","",IF(StaticData.Today=TODAY(),_xll.BDP(G16,"LAST_PRICE"),_xll.BDH(G16,"LAST_PRICE",StaticData.Today,StaticData.Today)))</f>
        <v>-5.7500000000000002E-2</v>
      </c>
      <c r="J16" s="27">
        <f t="shared" ca="1" si="1"/>
        <v>-5.7499999999999999E-4</v>
      </c>
      <c r="L16" s="24" t="str">
        <f>"JYBC4"&amp;$L$1&amp;" Curncy"</f>
        <v>JYBC4 MTRT Curncy</v>
      </c>
      <c r="M16" s="25" t="s">
        <v>324</v>
      </c>
      <c r="N16" s="31"/>
      <c r="O16" s="32"/>
      <c r="P16" s="32"/>
      <c r="Q16" s="30">
        <f ca="1">IF(L16="","",IF(StaticData.Today=TODAY(),_xll.BDP(L16,"LAST_PRICE"),_xll.BDH(L16,"LAST_PRICE",StaticData.Today,StaticData.Today)))</f>
        <v>4.5</v>
      </c>
      <c r="R16" s="27">
        <f t="shared" ca="1" si="7"/>
        <v>4.4999999999999999E-4</v>
      </c>
      <c r="T16" s="24" t="str">
        <f>"JYJSLC2"&amp;$T$1&amp;" Curncy"</f>
        <v>JYJSLC2 MTRT Curncy</v>
      </c>
      <c r="U16" s="25" t="s">
        <v>308</v>
      </c>
      <c r="V16" s="26">
        <f ca="1">IF(T16="","",IF(StaticData.Today=TODAY(),_xll.BDP(T16,"LAST_PRICE"),_xll.BDH(T16,"LAST_PRICE",StaticData.Today,StaticData.Today)))</f>
        <v>0</v>
      </c>
      <c r="W16" s="338">
        <f t="shared" ca="1" si="9"/>
        <v>0</v>
      </c>
      <c r="Y16" s="24" t="str">
        <f>"JYBB9"&amp;$Y$1&amp;" Curncy"</f>
        <v>JYBB9 MTRT Curncy</v>
      </c>
      <c r="Z16" s="25" t="s">
        <v>364</v>
      </c>
      <c r="AA16" s="26">
        <f ca="1">IF(Y16="","",IF(StaticData.Today=TODAY(),_xll.BDP(Y16,"LAST_PRICE"),_xll.BDH(Y16,"LAST_PRICE",StaticData.Today,StaticData.Today)))</f>
        <v>7.25</v>
      </c>
      <c r="AB16" s="27">
        <f t="shared" ca="1" si="4"/>
        <v>7.2499999999999995E-4</v>
      </c>
      <c r="AD16" s="24" t="str">
        <f>"JYSW1F"&amp;$AD$1&amp;" Curncy"</f>
        <v>JYSW1F MTRT Curncy</v>
      </c>
      <c r="AE16" s="25" t="s">
        <v>501</v>
      </c>
      <c r="AF16" s="26">
        <f ca="1">IF(AD16="","",IF(StaticData.Today=TODAY(),_xll.BDP(AD16,"LAST_PRICE"),_xll.BDH(AD16,"LAST_PRICE",StaticData.Today,StaticData.Today)))</f>
        <v>-4.1250000000000002E-2</v>
      </c>
      <c r="AG16" s="27">
        <f t="shared" ca="1" si="5"/>
        <v>-4.125E-4</v>
      </c>
      <c r="AJ16" s="24" t="str">
        <f>"JPY4M"&amp;$AJ$1&amp;" Curncy"</f>
        <v>JPY4M BGN Curncy</v>
      </c>
      <c r="AK16" s="25" t="s">
        <v>351</v>
      </c>
      <c r="AL16" s="31"/>
      <c r="AM16" s="177">
        <f ca="1">IF(AJ16="","",IF(StaticData.Today=TODAY(),_xll.BDP(AJ16,"BID"),_xll.BDH(AJ16,"BID",StaticData.Today,StaticData.Today)))</f>
        <v>-26.3</v>
      </c>
      <c r="AN16" s="177">
        <f ca="1">IF(AJ16="","",IF(StaticData.Today=TODAY(),_xll.BDP(AJ16,"ASK"),_xll.BDH(AJ16,"ASK",StaticData.Today,StaticData.Today)))</f>
        <v>-25.89</v>
      </c>
      <c r="AO16" s="177">
        <f ca="1">IF(AJ16="","",IF(StaticData.Today=TODAY(),_xll.BDP(AJ16,"LAST_PRICE"),_xll.BDH(AJ16,"LAST_PRICE",StaticData.Today,StaticData.Today)))</f>
        <v>-26.09</v>
      </c>
      <c r="AP16" s="181">
        <f t="shared" ca="1" si="8"/>
        <v>-26.09</v>
      </c>
      <c r="AQ16" s="411"/>
      <c r="AR16" s="24" t="str">
        <f>"JPY4M"&amp;$AR$1&amp;" Curncy"</f>
        <v>JPY4M MTRT Curncy</v>
      </c>
      <c r="AS16" s="25" t="s">
        <v>351</v>
      </c>
      <c r="AT16" s="25"/>
      <c r="AU16" s="25"/>
      <c r="AV16" s="25"/>
      <c r="AW16" s="6">
        <f ca="1">IF(AR16="","",IF(StaticData.Today=TODAY(),_xll.BDP(AR16,"LAST_PRICE"),_xll.BDH(AR16,"LAST_PRICE",StaticData.Today,StaticData.Today)))</f>
        <v>-26.1</v>
      </c>
      <c r="AX16" s="6">
        <f t="shared" ca="1" si="3"/>
        <v>-26.1</v>
      </c>
    </row>
    <row r="17" spans="2:50" x14ac:dyDescent="0.25">
      <c r="B17" s="34"/>
      <c r="C17" s="35"/>
      <c r="D17" s="35"/>
      <c r="E17" s="35"/>
      <c r="G17" s="24" t="str">
        <f>"JYSO1F"&amp;$G$1&amp;" Curncy"</f>
        <v>JYSO1F MTRT Curncy</v>
      </c>
      <c r="H17" s="25" t="s">
        <v>501</v>
      </c>
      <c r="I17" s="26">
        <f ca="1">IF(G17="","",IF(StaticData.Today=TODAY(),_xll.BDP(G17,"LAST_PRICE"),_xll.BDH(G17,"LAST_PRICE",StaticData.Today,StaticData.Today)))</f>
        <v>-6.7500000000000004E-2</v>
      </c>
      <c r="J17" s="27">
        <f t="shared" ca="1" si="1"/>
        <v>-6.7500000000000004E-4</v>
      </c>
      <c r="L17" s="24" t="str">
        <f>"JYBC5"&amp;$L$1&amp;" Curncy"</f>
        <v>JYBC5 MTRT Curncy</v>
      </c>
      <c r="M17" s="25" t="s">
        <v>331</v>
      </c>
      <c r="N17" s="31"/>
      <c r="O17" s="32"/>
      <c r="P17" s="32"/>
      <c r="Q17" s="30">
        <f ca="1">IF(L17="","",IF(StaticData.Today=TODAY(),_xll.BDP(L17,"LAST_PRICE"),_xll.BDH(L17,"LAST_PRICE",StaticData.Today,StaticData.Today)))</f>
        <v>4.625</v>
      </c>
      <c r="R17" s="27">
        <f t="shared" ca="1" si="7"/>
        <v>4.6250000000000002E-4</v>
      </c>
      <c r="T17" s="24" t="str">
        <f>"JYJSLC3"&amp;$T$1&amp;" Curncy"</f>
        <v>JYJSLC3 MTRT Curncy</v>
      </c>
      <c r="U17" s="25" t="s">
        <v>316</v>
      </c>
      <c r="V17" s="26">
        <f ca="1">IF(T17="","",IF(StaticData.Today=TODAY(),_xll.BDP(T17,"LAST_PRICE"),_xll.BDH(T17,"LAST_PRICE",StaticData.Today,StaticData.Today)))</f>
        <v>0</v>
      </c>
      <c r="W17" s="338">
        <f t="shared" ca="1" si="9"/>
        <v>0</v>
      </c>
      <c r="Y17" s="24" t="str">
        <f>"JYBB10"&amp;$Y$1&amp;" Curncy"</f>
        <v>JYBB10 MTRT Curncy</v>
      </c>
      <c r="Z17" s="25" t="s">
        <v>349</v>
      </c>
      <c r="AA17" s="26">
        <f ca="1">IF(Y17="","",IF(StaticData.Today=TODAY(),_xll.BDP(Y17,"LAST_PRICE"),_xll.BDH(Y17,"LAST_PRICE",StaticData.Today,StaticData.Today)))</f>
        <v>7.25</v>
      </c>
      <c r="AB17" s="27">
        <f t="shared" ca="1" si="4"/>
        <v>7.2499999999999995E-4</v>
      </c>
      <c r="AD17" s="24" t="str">
        <f>"JYSW2"&amp;$AD$1&amp;" Curncy"</f>
        <v>JYSW2 MTRT Curncy</v>
      </c>
      <c r="AE17" s="25" t="s">
        <v>308</v>
      </c>
      <c r="AF17" s="26">
        <f ca="1">IF(AD17="","",IF(StaticData.Today=TODAY(),_xll.BDP(AD17,"LAST_PRICE"),_xll.BDH(AD17,"LAST_PRICE",StaticData.Today,StaticData.Today)))</f>
        <v>-4.2500000000000003E-2</v>
      </c>
      <c r="AG17" s="27">
        <f t="shared" ca="1" si="5"/>
        <v>-4.2500000000000003E-4</v>
      </c>
      <c r="AJ17" s="24" t="str">
        <f>"JPY5M"&amp;$AJ$1&amp;" Curncy"</f>
        <v>JPY5M BGN Curncy</v>
      </c>
      <c r="AK17" s="25" t="s">
        <v>360</v>
      </c>
      <c r="AL17" s="31"/>
      <c r="AM17" s="177">
        <f ca="1">IF(AJ17="","",IF(StaticData.Today=TODAY(),_xll.BDP(AJ17,"BID"),_xll.BDH(AJ17,"BID",StaticData.Today,StaticData.Today)))</f>
        <v>-30.55</v>
      </c>
      <c r="AN17" s="177">
        <f ca="1">IF(AJ17="","",IF(StaticData.Today=TODAY(),_xll.BDP(AJ17,"ASK"),_xll.BDH(AJ17,"ASK",StaticData.Today,StaticData.Today)))</f>
        <v>-29.99</v>
      </c>
      <c r="AO17" s="177">
        <f ca="1">IF(AJ17="","",IF(StaticData.Today=TODAY(),_xll.BDP(AJ17,"LAST_PRICE"),_xll.BDH(AJ17,"LAST_PRICE",StaticData.Today,StaticData.Today)))</f>
        <v>-30.27</v>
      </c>
      <c r="AP17" s="181">
        <f t="shared" ca="1" si="8"/>
        <v>-30.27</v>
      </c>
      <c r="AQ17" s="411"/>
      <c r="AR17" s="24" t="str">
        <f>"JPY5M"&amp;$AR$1&amp;" Curncy"</f>
        <v>JPY5M MTRT Curncy</v>
      </c>
      <c r="AS17" s="25" t="s">
        <v>360</v>
      </c>
      <c r="AT17" s="25"/>
      <c r="AU17" s="25"/>
      <c r="AV17" s="25"/>
      <c r="AW17" s="6">
        <f ca="1">IF(AR17="","",IF(StaticData.Today=TODAY(),_xll.BDP(AR17,"LAST_PRICE"),_xll.BDH(AR17,"LAST_PRICE",StaticData.Today,StaticData.Today)))</f>
        <v>-30.43</v>
      </c>
      <c r="AX17" s="6">
        <f t="shared" ca="1" si="3"/>
        <v>-30.43</v>
      </c>
    </row>
    <row r="18" spans="2:50" x14ac:dyDescent="0.25">
      <c r="B18" s="36"/>
      <c r="C18" s="36"/>
      <c r="D18" s="36"/>
      <c r="E18" s="36"/>
      <c r="G18" s="24" t="str">
        <f>"JYSO2"&amp;$G$1&amp;" Curncy"</f>
        <v>JYSO2 MTRT Curncy</v>
      </c>
      <c r="H18" s="25" t="s">
        <v>308</v>
      </c>
      <c r="I18" s="26">
        <f ca="1">IF(G18="","",IF(StaticData.Today=TODAY(),_xll.BDP(G18,"LAST_PRICE"),_xll.BDH(G18,"LAST_PRICE",StaticData.Today,StaticData.Today)))</f>
        <v>-7.8750000000000001E-2</v>
      </c>
      <c r="J18" s="27">
        <f t="shared" ca="1" si="1"/>
        <v>-7.8750000000000001E-4</v>
      </c>
      <c r="L18" s="24" t="str">
        <f>"JYBC6"&amp;$L$1&amp;" Curncy"</f>
        <v>JYBC6 MTRT Curncy</v>
      </c>
      <c r="M18" s="25" t="s">
        <v>339</v>
      </c>
      <c r="N18" s="31"/>
      <c r="O18" s="32"/>
      <c r="P18" s="32"/>
      <c r="Q18" s="30">
        <f ca="1">IF(L18="","",IF(StaticData.Today=TODAY(),_xll.BDP(L18,"LAST_PRICE"),_xll.BDH(L18,"LAST_PRICE",StaticData.Today,StaticData.Today)))</f>
        <v>4.625</v>
      </c>
      <c r="R18" s="27">
        <f t="shared" ca="1" si="7"/>
        <v>4.6250000000000002E-4</v>
      </c>
      <c r="T18" s="24" t="str">
        <f>"JYJSLC4"&amp;$T$1&amp;" Curncy"</f>
        <v>JYJSLC4 MTRT Curncy</v>
      </c>
      <c r="U18" s="25" t="s">
        <v>324</v>
      </c>
      <c r="V18" s="26">
        <f ca="1">IF(T18="","",IF(StaticData.Today=TODAY(),_xll.BDP(T18,"LAST_PRICE"),_xll.BDH(T18,"LAST_PRICE",StaticData.Today,StaticData.Today)))</f>
        <v>0</v>
      </c>
      <c r="W18" s="338">
        <f t="shared" ca="1" si="9"/>
        <v>0</v>
      </c>
      <c r="Y18" s="24" t="str">
        <f>"JYBB12"&amp;$Y$1&amp;" Curncy"</f>
        <v>JYBB12 MTRT Curncy</v>
      </c>
      <c r="Z18" s="25" t="s">
        <v>358</v>
      </c>
      <c r="AA18" s="26">
        <f ca="1">IF(Y18="","",IF(StaticData.Today=TODAY(),_xll.BDP(Y18,"LAST_PRICE"),_xll.BDH(Y18,"LAST_PRICE",StaticData.Today,StaticData.Today)))</f>
        <v>7.125</v>
      </c>
      <c r="AB18" s="27">
        <f t="shared" ca="1" si="4"/>
        <v>7.1250000000000003E-4</v>
      </c>
      <c r="AD18" s="24" t="str">
        <f>"JYSW3"&amp;$AD$1&amp;" Curncy"</f>
        <v>JYSW3 MTRT Curncy</v>
      </c>
      <c r="AE18" s="25" t="s">
        <v>316</v>
      </c>
      <c r="AF18" s="26">
        <f ca="1">IF(AD18="","",IF(StaticData.Today=TODAY(),_xll.BDP(AD18,"LAST_PRICE"),_xll.BDH(AD18,"LAST_PRICE",StaticData.Today,StaticData.Today)))</f>
        <v>-4.4999999999999998E-2</v>
      </c>
      <c r="AG18" s="27">
        <f t="shared" ca="1" si="5"/>
        <v>-4.4999999999999999E-4</v>
      </c>
      <c r="AJ18" s="24" t="str">
        <f>"JPY6M"&amp;$AJ$1&amp;" Curncy"</f>
        <v>JPY6M BGN Curncy</v>
      </c>
      <c r="AK18" s="25" t="s">
        <v>46</v>
      </c>
      <c r="AL18" s="31"/>
      <c r="AM18" s="177">
        <f ca="1">IF(AJ18="","",IF(StaticData.Today=TODAY(),_xll.BDP(AJ18,"BID"),_xll.BDH(AJ18,"BID",StaticData.Today,StaticData.Today)))</f>
        <v>-34.520000000000003</v>
      </c>
      <c r="AN18" s="177">
        <f ca="1">IF(AJ18="","",IF(StaticData.Today=TODAY(),_xll.BDP(AJ18,"ASK"),_xll.BDH(AJ18,"ASK",StaticData.Today,StaticData.Today)))</f>
        <v>-33.72</v>
      </c>
      <c r="AO18" s="177">
        <f ca="1">IF(AJ18="","",IF(StaticData.Today=TODAY(),_xll.BDP(AJ18,"LAST_PRICE"),_xll.BDH(AJ18,"LAST_PRICE",StaticData.Today,StaticData.Today)))</f>
        <v>-34.119999999999997</v>
      </c>
      <c r="AP18" s="181">
        <f t="shared" ca="1" si="8"/>
        <v>-34.119999999999997</v>
      </c>
      <c r="AQ18" s="411"/>
      <c r="AR18" s="24" t="str">
        <f>"JPY6M"&amp;$AR$1&amp;" Curncy"</f>
        <v>JPY6M MTRT Curncy</v>
      </c>
      <c r="AS18" s="25" t="s">
        <v>46</v>
      </c>
      <c r="AT18" s="25"/>
      <c r="AU18" s="25"/>
      <c r="AV18" s="25"/>
      <c r="AW18" s="6">
        <f ca="1">IF(AR18="","",IF(StaticData.Today=TODAY(),_xll.BDP(AR18,"LAST_PRICE"),_xll.BDH(AR18,"LAST_PRICE",StaticData.Today,StaticData.Today)))</f>
        <v>-34.24</v>
      </c>
      <c r="AX18" s="6">
        <f t="shared" ca="1" si="3"/>
        <v>-34.24</v>
      </c>
    </row>
    <row r="19" spans="2:50" x14ac:dyDescent="0.25">
      <c r="B19" s="36"/>
      <c r="C19" s="36"/>
      <c r="D19" s="36"/>
      <c r="E19" s="36"/>
      <c r="G19" s="24" t="str">
        <f>"JYSO3"&amp;$G$1&amp;" Curncy"</f>
        <v>JYSO3 MTRT Curncy</v>
      </c>
      <c r="H19" s="25" t="s">
        <v>316</v>
      </c>
      <c r="I19" s="26">
        <f ca="1">IF(G19="","",IF(StaticData.Today=TODAY(),_xll.BDP(G19,"LAST_PRICE"),_xll.BDH(G19,"LAST_PRICE",StaticData.Today,StaticData.Today)))</f>
        <v>-8.8749999999999996E-2</v>
      </c>
      <c r="J19" s="27">
        <f t="shared" ca="1" si="1"/>
        <v>-8.8749999999999994E-4</v>
      </c>
      <c r="L19" s="24" t="str">
        <f>"JYBC7"&amp;$L$1&amp;" Curncy"</f>
        <v>JYBC7 MTRT Curncy</v>
      </c>
      <c r="M19" s="25" t="s">
        <v>342</v>
      </c>
      <c r="N19" s="31"/>
      <c r="O19" s="32" t="str">
        <f>"UDSW3"&amp;$O$2&amp;" Curncy"</f>
        <v>UDSW3 Curncy</v>
      </c>
      <c r="P19" s="32"/>
      <c r="Q19" s="30">
        <f ca="1">IF(L19="","",IF(StaticData.Today=TODAY(),_xll.BDP(L19,"LAST_PRICE"),_xll.BDH(L19,"LAST_PRICE",StaticData.Today,StaticData.Today)))</f>
        <v>4.625</v>
      </c>
      <c r="R19" s="27">
        <f t="shared" ca="1" si="7"/>
        <v>4.6250000000000002E-4</v>
      </c>
      <c r="T19" s="24" t="str">
        <f>"JYJSLC5"&amp;$T$1&amp;" Curncy"</f>
        <v>JYJSLC5 MTRT Curncy</v>
      </c>
      <c r="U19" s="25" t="s">
        <v>331</v>
      </c>
      <c r="V19" s="26">
        <f ca="1">IF(T19="","",IF(StaticData.Today=TODAY(),_xll.BDP(T19,"LAST_PRICE"),_xll.BDH(T19,"LAST_PRICE",StaticData.Today,StaticData.Today)))</f>
        <v>0</v>
      </c>
      <c r="W19" s="338">
        <f t="shared" ca="1" si="9"/>
        <v>0</v>
      </c>
      <c r="Y19" s="24" t="str">
        <f>"JYBB15"&amp;$Y$1&amp;" Curncy"</f>
        <v>JYBB15 MTRT Curncy</v>
      </c>
      <c r="Z19" s="25" t="s">
        <v>367</v>
      </c>
      <c r="AA19" s="26">
        <f ca="1">IF(Y19="","",IF(StaticData.Today=TODAY(),_xll.BDP(Y19,"LAST_PRICE"),_xll.BDH(Y19,"LAST_PRICE",StaticData.Today,StaticData.Today)))</f>
        <v>7.125</v>
      </c>
      <c r="AB19" s="27">
        <f t="shared" ca="1" si="4"/>
        <v>7.1250000000000003E-4</v>
      </c>
      <c r="AD19" s="24" t="str">
        <f>"JYSW4"&amp;$AD$1&amp;" Curncy"</f>
        <v>JYSW4 MTRT Curncy</v>
      </c>
      <c r="AE19" s="25" t="s">
        <v>324</v>
      </c>
      <c r="AF19" s="26">
        <f ca="1">IF(AD19="","",IF(StaticData.Today=TODAY(),_xll.BDP(AD19,"LAST_PRICE"),_xll.BDH(AD19,"LAST_PRICE",StaticData.Today,StaticData.Today)))</f>
        <v>-4.4999999999999998E-2</v>
      </c>
      <c r="AG19" s="27">
        <f t="shared" ca="1" si="5"/>
        <v>-4.4999999999999999E-4</v>
      </c>
      <c r="AJ19" s="24" t="str">
        <f>"JPY9M"&amp;$AJ$1&amp;" Curncy"</f>
        <v>JPY9M BGN Curncy</v>
      </c>
      <c r="AK19" s="25" t="s">
        <v>376</v>
      </c>
      <c r="AL19" s="31"/>
      <c r="AM19" s="178">
        <f ca="1">IF(AJ19="","",IF(StaticData.Today=TODAY(),_xll.BDP(AJ19,"BID"),_xll.BDH(AJ19,"BID",StaticData.Today,StaticData.Today)))</f>
        <v>-49.76</v>
      </c>
      <c r="AN19" s="178">
        <f ca="1">IF(AJ19="","",IF(StaticData.Today=TODAY(),_xll.BDP(AJ19,"ASK"),_xll.BDH(AJ19,"ASK",StaticData.Today,StaticData.Today)))</f>
        <v>-48.75</v>
      </c>
      <c r="AO19" s="30">
        <f ca="1">IF(AJ19="","",IF(StaticData.Today=TODAY(),_xll.BDP(AJ19,"LAST_PRICE"),_xll.BDH(AJ19,"LAST_PRICE",StaticData.Today,StaticData.Today)))</f>
        <v>-49.26</v>
      </c>
      <c r="AP19" s="181">
        <f t="shared" ca="1" si="8"/>
        <v>-49.26</v>
      </c>
      <c r="AQ19" s="411"/>
      <c r="AR19" s="24" t="str">
        <f>"JPY7M"&amp;$AR$1&amp;" Curncy"</f>
        <v>JPY7M MTRT Curncy</v>
      </c>
      <c r="AS19" s="25" t="s">
        <v>1570</v>
      </c>
      <c r="AT19" s="25"/>
      <c r="AU19" s="25"/>
      <c r="AV19" s="25"/>
      <c r="AW19" s="6">
        <f ca="1">IF(AR19="","",IF(StaticData.Today=TODAY(),_xll.BDP(AR19,"LAST_PRICE"),_xll.BDH(AR19,"LAST_PRICE",StaticData.Today,StaticData.Today)))</f>
        <v>-40.14</v>
      </c>
      <c r="AX19" s="6">
        <f t="shared" ref="AX19:AX20" ca="1" si="10">AW19</f>
        <v>-40.14</v>
      </c>
    </row>
    <row r="20" spans="2:50" x14ac:dyDescent="0.25">
      <c r="B20" s="36"/>
      <c r="C20" s="36"/>
      <c r="D20" s="36"/>
      <c r="E20" s="36"/>
      <c r="G20" s="24" t="str">
        <f>"JYSO4"&amp;$G$1&amp;" Curncy"</f>
        <v>JYSO4 MTRT Curncy</v>
      </c>
      <c r="H20" s="25" t="s">
        <v>324</v>
      </c>
      <c r="I20" s="26">
        <f ca="1">IF(G20="","",IF(StaticData.Today=TODAY(),_xll.BDP(G20,"LAST_PRICE"),_xll.BDH(G20,"LAST_PRICE",StaticData.Today,StaticData.Today)))</f>
        <v>-9.375E-2</v>
      </c>
      <c r="J20" s="27">
        <f t="shared" ca="1" si="1"/>
        <v>-9.3749999999999997E-4</v>
      </c>
      <c r="K20" s="37"/>
      <c r="L20" s="24" t="str">
        <f>"JYBC8"&amp;$L$1&amp;" Curncy"</f>
        <v>JYBC8 MTRT Curncy</v>
      </c>
      <c r="M20" s="25" t="s">
        <v>355</v>
      </c>
      <c r="N20" s="31"/>
      <c r="O20" s="32"/>
      <c r="P20" s="32"/>
      <c r="Q20" s="30">
        <f ca="1">IF(L20="","",IF(StaticData.Today=TODAY(),_xll.BDP(L20,"LAST_PRICE"),_xll.BDH(L20,"LAST_PRICE",StaticData.Today,StaticData.Today)))</f>
        <v>4.625</v>
      </c>
      <c r="R20" s="27">
        <f t="shared" ca="1" si="7"/>
        <v>4.6250000000000002E-4</v>
      </c>
      <c r="T20" s="24" t="str">
        <f>"JYJSLC6"&amp;$T$1&amp;" Curncy"</f>
        <v>JYJSLC6 MTRT Curncy</v>
      </c>
      <c r="U20" s="25" t="s">
        <v>339</v>
      </c>
      <c r="V20" s="26">
        <f ca="1">IF(T20="","",IF(StaticData.Today=TODAY(),_xll.BDP(T20,"LAST_PRICE"),_xll.BDH(T20,"LAST_PRICE",StaticData.Today,StaticData.Today)))</f>
        <v>0</v>
      </c>
      <c r="W20" s="338">
        <f t="shared" ca="1" si="9"/>
        <v>0</v>
      </c>
      <c r="Y20" s="24" t="str">
        <f>"JYBB20"&amp;$Y$1&amp;" Curncy"</f>
        <v>JYBB20 MTRT Curncy</v>
      </c>
      <c r="Z20" s="25" t="s">
        <v>374</v>
      </c>
      <c r="AA20" s="26">
        <f ca="1">IF(Y20="","",IF(StaticData.Today=TODAY(),_xll.BDP(Y20,"LAST_PRICE"),_xll.BDH(Y20,"LAST_PRICE",StaticData.Today,StaticData.Today)))</f>
        <v>7.125</v>
      </c>
      <c r="AB20" s="27">
        <f t="shared" ca="1" si="4"/>
        <v>7.1250000000000003E-4</v>
      </c>
      <c r="AD20" s="24" t="str">
        <f>"JYSW5"&amp;$AD$1&amp;" Curncy"</f>
        <v>JYSW5 MTRT Curncy</v>
      </c>
      <c r="AE20" s="25" t="s">
        <v>331</v>
      </c>
      <c r="AF20" s="26">
        <f ca="1">IF(AD20="","",IF(StaticData.Today=TODAY(),_xll.BDP(AD20,"LAST_PRICE"),_xll.BDH(AD20,"LAST_PRICE",StaticData.Today,StaticData.Today)))</f>
        <v>-0.04</v>
      </c>
      <c r="AG20" s="27">
        <f t="shared" ca="1" si="5"/>
        <v>-4.0000000000000002E-4</v>
      </c>
      <c r="AJ20" s="24" t="str">
        <f>"JPY12M"&amp;$AJ$1&amp;" Curncy"</f>
        <v>JPY12M BGN Curncy</v>
      </c>
      <c r="AK20" s="25" t="s">
        <v>322</v>
      </c>
      <c r="AL20" s="28"/>
      <c r="AM20" s="178">
        <f ca="1">IF(AJ20="","",IF(StaticData.Today=TODAY(),_xll.BDP(AJ20,"BID"),_xll.BDH(AJ20,"BID",StaticData.Today,StaticData.Today)))</f>
        <v>-65.86</v>
      </c>
      <c r="AN20" s="178">
        <f ca="1">IF(AJ20="","",IF(StaticData.Today=TODAY(),_xll.BDP(AJ20,"ASK"),_xll.BDH(AJ20,"ASK",StaticData.Today,StaticData.Today)))</f>
        <v>-64.540000000000006</v>
      </c>
      <c r="AO20" s="30">
        <f ca="1">IF(AJ20="","",IF(StaticData.Today=TODAY(),_xll.BDP(AJ20,"LAST_PRICE"),_xll.BDH(AJ20,"LAST_PRICE",StaticData.Today,StaticData.Today)))</f>
        <v>-65.2</v>
      </c>
      <c r="AP20" s="181">
        <f t="shared" ca="1" si="8"/>
        <v>-65.2</v>
      </c>
      <c r="AQ20" s="411"/>
      <c r="AR20" s="24" t="str">
        <f>"JPY8M"&amp;$AR$1&amp;" Curncy"</f>
        <v>JPY8M MTRT Curncy</v>
      </c>
      <c r="AS20" s="25" t="s">
        <v>1571</v>
      </c>
      <c r="AT20" s="25"/>
      <c r="AU20" s="25"/>
      <c r="AV20" s="25"/>
      <c r="AW20" s="6">
        <f ca="1">IF(AR20="","",IF(StaticData.Today=TODAY(),_xll.BDP(AR20,"LAST_PRICE"),_xll.BDH(AR20,"LAST_PRICE",StaticData.Today,StaticData.Today)))</f>
        <v>-44.62</v>
      </c>
      <c r="AX20" s="6">
        <f t="shared" ca="1" si="10"/>
        <v>-44.62</v>
      </c>
    </row>
    <row r="21" spans="2:50" x14ac:dyDescent="0.25">
      <c r="B21" s="36"/>
      <c r="C21" s="36"/>
      <c r="D21" s="36"/>
      <c r="E21" s="36"/>
      <c r="G21" s="24" t="str">
        <f>"JYSO5"&amp;$G$1&amp;" Curncy"</f>
        <v>JYSO5 MTRT Curncy</v>
      </c>
      <c r="H21" s="25" t="s">
        <v>331</v>
      </c>
      <c r="I21" s="26">
        <f ca="1">IF(G21="","",IF(StaticData.Today=TODAY(),_xll.BDP(G21,"LAST_PRICE"),_xll.BDH(G21,"LAST_PRICE",StaticData.Today,StaticData.Today)))</f>
        <v>-9.2499999999999999E-2</v>
      </c>
      <c r="J21" s="27">
        <f t="shared" ca="1" si="1"/>
        <v>-9.2500000000000004E-4</v>
      </c>
      <c r="L21" s="24" t="str">
        <f>"JYBC9"&amp;$L$1&amp;" Curncy"</f>
        <v>JYBC9 MTRT Curncy</v>
      </c>
      <c r="M21" s="25" t="s">
        <v>364</v>
      </c>
      <c r="N21" s="31"/>
      <c r="O21" s="185"/>
      <c r="P21" s="185"/>
      <c r="Q21" s="30">
        <f ca="1">IF(L21="","",IF(StaticData.Today=TODAY(),_xll.BDP(L21,"LAST_PRICE"),_xll.BDH(L21,"LAST_PRICE",StaticData.Today,StaticData.Today)))</f>
        <v>4.625</v>
      </c>
      <c r="R21" s="27">
        <f t="shared" ca="1" si="7"/>
        <v>4.6250000000000002E-4</v>
      </c>
      <c r="T21" s="24" t="str">
        <f>"JYJSLC7"&amp;$T$1&amp;" Curncy"</f>
        <v>JYJSLC7 MTRT Curncy</v>
      </c>
      <c r="U21" s="25" t="s">
        <v>342</v>
      </c>
      <c r="V21" s="26">
        <f ca="1">IF(T21="","",IF(StaticData.Today=TODAY(),_xll.BDP(T21,"LAST_PRICE"),_xll.BDH(T21,"LAST_PRICE",StaticData.Today,StaticData.Today)))</f>
        <v>0</v>
      </c>
      <c r="W21" s="338">
        <f t="shared" ca="1" si="9"/>
        <v>0</v>
      </c>
      <c r="Y21" s="24" t="str">
        <f>"JYBB25"&amp;$Y$1&amp;" Curncy"</f>
        <v>JYBB25 MTRT Curncy</v>
      </c>
      <c r="Z21" s="25" t="s">
        <v>382</v>
      </c>
      <c r="AA21" s="26">
        <f ca="1">IF(Y21="","",IF(StaticData.Today=TODAY(),_xll.BDP(Y21,"LAST_PRICE"),_xll.BDH(Y21,"LAST_PRICE",StaticData.Today,StaticData.Today)))</f>
        <v>7</v>
      </c>
      <c r="AB21" s="27">
        <f t="shared" ca="1" si="4"/>
        <v>6.9999999999999999E-4</v>
      </c>
      <c r="AD21" s="24" t="str">
        <f>"JYSW6"&amp;$AD$1&amp;" Curncy"</f>
        <v>JYSW6 MTRT Curncy</v>
      </c>
      <c r="AE21" s="25" t="s">
        <v>339</v>
      </c>
      <c r="AF21" s="26">
        <f ca="1">IF(AD21="","",IF(StaticData.Today=TODAY(),_xll.BDP(AD21,"LAST_PRICE"),_xll.BDH(AD21,"LAST_PRICE",StaticData.Today,StaticData.Today)))</f>
        <v>-3.2500000000000001E-2</v>
      </c>
      <c r="AG21" s="27">
        <f t="shared" ca="1" si="5"/>
        <v>-3.2499999999999999E-4</v>
      </c>
      <c r="AJ21" s="24" t="str">
        <f>"JPY15M"&amp;$AJ$1&amp;" Curncy"</f>
        <v>JPY15M BGN Curncy</v>
      </c>
      <c r="AK21" s="25" t="s">
        <v>823</v>
      </c>
      <c r="AL21" s="28"/>
      <c r="AM21" s="178">
        <f ca="1">IF(AJ21="","",IF(StaticData.Today=TODAY(),_xll.BDP(AJ21,"BID"),_xll.BDH(AJ21,"BID",StaticData.Today,StaticData.Today)))</f>
        <v>-83.97</v>
      </c>
      <c r="AN21" s="178">
        <f ca="1">IF(AJ21="","",IF(StaticData.Today=TODAY(),_xll.BDP(AJ21,"ASK"),_xll.BDH(AJ21,"ASK",StaticData.Today,StaticData.Today)))</f>
        <v>-80.25</v>
      </c>
      <c r="AO21" s="30">
        <f ca="1">IF(AJ21="","",IF(StaticData.Today=TODAY(),_xll.BDP(AJ21,"LAST_PRICE"),_xll.BDH(AJ21,"LAST_PRICE",StaticData.Today,StaticData.Today)))</f>
        <v>-82.11</v>
      </c>
      <c r="AP21" s="181">
        <f t="shared" ca="1" si="8"/>
        <v>-82.11</v>
      </c>
      <c r="AQ21" s="411"/>
      <c r="AR21" s="24" t="str">
        <f>"JPY9M"&amp;$AR$1&amp;" Curncy"</f>
        <v>JPY9M MTRT Curncy</v>
      </c>
      <c r="AS21" s="25" t="s">
        <v>376</v>
      </c>
      <c r="AT21" s="25"/>
      <c r="AU21" s="25"/>
      <c r="AV21" s="25"/>
      <c r="AW21" s="6">
        <f ca="1">IF(AR21="","",IF(StaticData.Today=TODAY(),_xll.BDP(AR21,"LAST_PRICE"),_xll.BDH(AR21,"LAST_PRICE",StaticData.Today,StaticData.Today)))</f>
        <v>-49.27</v>
      </c>
      <c r="AX21" s="6">
        <f t="shared" ca="1" si="3"/>
        <v>-49.27</v>
      </c>
    </row>
    <row r="22" spans="2:50" x14ac:dyDescent="0.25">
      <c r="B22" s="36"/>
      <c r="C22" s="36"/>
      <c r="D22" s="36"/>
      <c r="E22" s="36"/>
      <c r="G22" s="24" t="str">
        <f>"JYSO6"&amp;$G$1&amp;" Curncy"</f>
        <v>JYSO6 MTRT Curncy</v>
      </c>
      <c r="H22" s="25" t="s">
        <v>339</v>
      </c>
      <c r="I22" s="26">
        <f ca="1">IF(G22="","",IF(StaticData.Today=TODAY(),_xll.BDP(G22,"LAST_PRICE"),_xll.BDH(G22,"LAST_PRICE",StaticData.Today,StaticData.Today)))</f>
        <v>-8.5000000000000006E-2</v>
      </c>
      <c r="J22" s="27">
        <f t="shared" ca="1" si="1"/>
        <v>-8.5000000000000006E-4</v>
      </c>
      <c r="L22" s="24" t="str">
        <f>"JYBC10"&amp;$L$1&amp;" Curncy"</f>
        <v>JYBC10 MTRT Curncy</v>
      </c>
      <c r="M22" s="25" t="s">
        <v>349</v>
      </c>
      <c r="N22" s="28"/>
      <c r="O22" s="185"/>
      <c r="P22" s="185"/>
      <c r="Q22" s="30">
        <f ca="1">IF(L22="","",IF(StaticData.Today=TODAY(),_xll.BDP(L22,"LAST_PRICE"),_xll.BDH(L22,"LAST_PRICE",StaticData.Today,StaticData.Today)))</f>
        <v>4.625</v>
      </c>
      <c r="R22" s="27">
        <f t="shared" ca="1" si="7"/>
        <v>4.6250000000000002E-4</v>
      </c>
      <c r="T22" s="24" t="str">
        <f>"JYJSLC8"&amp;$T$1&amp;" Curncy"</f>
        <v>JYJSLC8 MTRT Curncy</v>
      </c>
      <c r="U22" s="25" t="s">
        <v>355</v>
      </c>
      <c r="V22" s="26">
        <f ca="1">IF(T22="","",IF(StaticData.Today=TODAY(),_xll.BDP(T22,"LAST_PRICE"),_xll.BDH(T22,"LAST_PRICE",StaticData.Today,StaticData.Today)))</f>
        <v>-0.125</v>
      </c>
      <c r="W22" s="338">
        <f t="shared" ca="1" si="9"/>
        <v>-1.2500000000000001E-5</v>
      </c>
      <c r="Y22" s="24" t="str">
        <f>"JYBB30"&amp;$Y$1&amp;" Curncy"</f>
        <v>JYBB30 MTRT Curncy</v>
      </c>
      <c r="Z22" s="25" t="s">
        <v>389</v>
      </c>
      <c r="AA22" s="26">
        <f ca="1">IF(Y22="","",IF(StaticData.Today=TODAY(),_xll.BDP(Y22,"LAST_PRICE"),_xll.BDH(Y22,"LAST_PRICE",StaticData.Today,StaticData.Today)))</f>
        <v>6.875</v>
      </c>
      <c r="AB22" s="27">
        <f t="shared" ca="1" si="4"/>
        <v>6.8749999999999996E-4</v>
      </c>
      <c r="AD22" s="24" t="str">
        <f>"JYSW7"&amp;$AD$1&amp;" Curncy"</f>
        <v>JYSW7 MTRT Curncy</v>
      </c>
      <c r="AE22" s="25" t="s">
        <v>342</v>
      </c>
      <c r="AF22" s="26">
        <f ca="1">IF(AD22="","",IF(StaticData.Today=TODAY(),_xll.BDP(AD22,"LAST_PRICE"),_xll.BDH(AD22,"LAST_PRICE",StaticData.Today,StaticData.Today)))</f>
        <v>-0.02</v>
      </c>
      <c r="AG22" s="27">
        <f t="shared" ca="1" si="5"/>
        <v>-2.0000000000000001E-4</v>
      </c>
      <c r="AJ22" s="24" t="str">
        <f>"JPY18M"&amp;$AJ$1&amp;" Curncy"</f>
        <v>JPY18M BGN Curncy</v>
      </c>
      <c r="AK22" s="25" t="s">
        <v>501</v>
      </c>
      <c r="AL22" s="28"/>
      <c r="AM22" s="178">
        <f ca="1">IF(AJ22="","",IF(StaticData.Today=TODAY(),_xll.BDP(AJ22,"BID"),_xll.BDH(AJ22,"BID",StaticData.Today,StaticData.Today)))</f>
        <v>-105.72</v>
      </c>
      <c r="AN22" s="178">
        <f ca="1">IF(AJ22="","",IF(StaticData.Today=TODAY(),_xll.BDP(AJ22,"ASK"),_xll.BDH(AJ22,"ASK",StaticData.Today,StaticData.Today)))</f>
        <v>-100.88</v>
      </c>
      <c r="AO22" s="30">
        <f ca="1">IF(AJ22="","",IF(StaticData.Today=TODAY(),_xll.BDP(AJ22,"LAST_PRICE"),_xll.BDH(AJ22,"LAST_PRICE",StaticData.Today,StaticData.Today)))</f>
        <v>-103.3</v>
      </c>
      <c r="AP22" s="181">
        <f t="shared" ca="1" si="8"/>
        <v>-103.3</v>
      </c>
      <c r="AQ22" s="411"/>
      <c r="AR22" s="24" t="str">
        <f>"JYBSC"&amp;$AR$1&amp;" Curncy"</f>
        <v>JYBSC MTRT Curncy</v>
      </c>
      <c r="AS22" s="25" t="s">
        <v>49</v>
      </c>
      <c r="AT22" s="25"/>
      <c r="AU22" s="25"/>
      <c r="AV22" s="25"/>
      <c r="AW22" s="6">
        <f ca="1">IF(AR22="","",IF(StaticData.Today=TODAY(),_xll.BDP(AR22,"LAST_PRICE"),_xll.BDH(AR22,"LAST_PRICE",StaticData.Today,StaticData.Today)))</f>
        <v>-15.5</v>
      </c>
      <c r="AX22" s="446">
        <f ca="1">AW22/10000</f>
        <v>-1.5499999999999999E-3</v>
      </c>
    </row>
    <row r="23" spans="2:50" x14ac:dyDescent="0.25">
      <c r="B23" s="36"/>
      <c r="C23" s="36"/>
      <c r="D23" s="36"/>
      <c r="E23" s="36"/>
      <c r="G23" s="24" t="str">
        <f>"JYSO7"&amp;$G$1&amp;" Curncy"</f>
        <v>JYSO7 MTRT Curncy</v>
      </c>
      <c r="H23" s="25" t="s">
        <v>342</v>
      </c>
      <c r="I23" s="26">
        <f ca="1">IF(G23="","",IF(StaticData.Today=TODAY(),_xll.BDP(G23,"LAST_PRICE"),_xll.BDH(G23,"LAST_PRICE",StaticData.Today,StaticData.Today)))</f>
        <v>-7.3749999999999996E-2</v>
      </c>
      <c r="J23" s="27">
        <f t="shared" ca="1" si="1"/>
        <v>-7.3749999999999998E-4</v>
      </c>
      <c r="L23" s="24" t="str">
        <f>"JYBC12"&amp;$L$1&amp;" Curncy"</f>
        <v>JYBC12 MTRT Curncy</v>
      </c>
      <c r="M23" s="25" t="s">
        <v>358</v>
      </c>
      <c r="N23" s="28"/>
      <c r="O23" s="185"/>
      <c r="P23" s="185"/>
      <c r="Q23" s="30">
        <f ca="1">IF(L23="","",IF(StaticData.Today=TODAY(),_xll.BDP(L23,"LAST_PRICE"),_xll.BDH(L23,"LAST_PRICE",StaticData.Today,StaticData.Today)))</f>
        <v>4.625</v>
      </c>
      <c r="R23" s="27">
        <f t="shared" ca="1" si="7"/>
        <v>4.6250000000000002E-4</v>
      </c>
      <c r="T23" s="24" t="str">
        <f>"JYJSLC9"&amp;$T$1&amp;" Curncy"</f>
        <v>JYJSLC9 MTRT Curncy</v>
      </c>
      <c r="U23" s="25" t="s">
        <v>364</v>
      </c>
      <c r="V23" s="26">
        <f ca="1">IF(T23="","",IF(StaticData.Today=TODAY(),_xll.BDP(T23,"LAST_PRICE"),_xll.BDH(T23,"LAST_PRICE",StaticData.Today,StaticData.Today)))</f>
        <v>-0.25</v>
      </c>
      <c r="W23" s="338">
        <f t="shared" ca="1" si="9"/>
        <v>-2.5000000000000001E-5</v>
      </c>
      <c r="Y23" s="24" t="str">
        <f>"JYBB35"&amp;$Y$1&amp;" Curncy"</f>
        <v>JYBB35 MTRT Curncy</v>
      </c>
      <c r="Z23" s="25" t="s">
        <v>1107</v>
      </c>
      <c r="AA23" s="26">
        <f ca="1">IF(Y23="","",IF(StaticData.Today=TODAY(),_xll.BDP(Y23,"LAST_PRICE"),_xll.BDH(Y23,"LAST_PRICE",StaticData.Today,StaticData.Today)))</f>
        <v>6.75</v>
      </c>
      <c r="AB23" s="27">
        <f t="shared" ca="1" si="4"/>
        <v>6.7500000000000004E-4</v>
      </c>
      <c r="AD23" s="24" t="str">
        <f>"JYSW8"&amp;$AD$1&amp;" Curncy"</f>
        <v>JYSW8 MTRT Curncy</v>
      </c>
      <c r="AE23" s="25" t="s">
        <v>355</v>
      </c>
      <c r="AF23" s="26">
        <f ca="1">IF(AD23="","",IF(StaticData.Today=TODAY(),_xll.BDP(AD23,"LAST_PRICE"),_xll.BDH(AD23,"LAST_PRICE",StaticData.Today,StaticData.Today)))</f>
        <v>-3.7499999999999999E-3</v>
      </c>
      <c r="AG23" s="27">
        <f t="shared" ca="1" si="5"/>
        <v>-3.7499999999999997E-5</v>
      </c>
      <c r="AJ23" s="24" t="str">
        <f>"JPY21M"&amp;$AJ$1&amp;" Curncy"</f>
        <v>JPY21M BGN Curncy</v>
      </c>
      <c r="AK23" s="25" t="s">
        <v>834</v>
      </c>
      <c r="AL23" s="28"/>
      <c r="AM23" s="178">
        <f ca="1">IF(AJ23="","",IF(StaticData.Today=TODAY(),_xll.BDP(AJ23,"BID"),_xll.BDH(AJ23,"BID",StaticData.Today,StaticData.Today)))</f>
        <v>-124.2</v>
      </c>
      <c r="AN23" s="178">
        <f ca="1">IF(AJ23="","",IF(StaticData.Today=TODAY(),_xll.BDP(AJ23,"ASK"),_xll.BDH(AJ23,"ASK",StaticData.Today,StaticData.Today)))</f>
        <v>-118.4</v>
      </c>
      <c r="AO23" s="30">
        <f ca="1">IF(AJ23="","",IF(StaticData.Today=TODAY(),_xll.BDP(AJ23,"LAST_PRICE"),_xll.BDH(AJ23,"LAST_PRICE",StaticData.Today,StaticData.Today)))</f>
        <v>-121.3</v>
      </c>
      <c r="AP23" s="181">
        <f t="shared" ca="1" si="8"/>
        <v>-121.3</v>
      </c>
      <c r="AQ23" s="411"/>
      <c r="AR23" s="24" t="str">
        <f>"JYBSF"&amp;$AR$1&amp;" Curncy"</f>
        <v>JYBSF MTRT Curncy</v>
      </c>
      <c r="AS23" s="25" t="s">
        <v>46</v>
      </c>
      <c r="AT23" s="25"/>
      <c r="AU23" s="25"/>
      <c r="AV23" s="25"/>
      <c r="AW23" s="6">
        <f ca="1">IF(AR23="","",IF(StaticData.Today=TODAY(),_xll.BDP(AR23,"LAST_PRICE"),_xll.BDH(AR23,"LAST_PRICE",StaticData.Today,StaticData.Today)))</f>
        <v>-28.75</v>
      </c>
      <c r="AX23" s="446">
        <f t="shared" ref="AX23:AX40" ca="1" si="11">AW23/10000</f>
        <v>-2.875E-3</v>
      </c>
    </row>
    <row r="24" spans="2:50" x14ac:dyDescent="0.25">
      <c r="G24" s="24" t="str">
        <f>"JYSO8"&amp;$G$1&amp;" Curncy"</f>
        <v>JYSO8 MTRT Curncy</v>
      </c>
      <c r="H24" s="25" t="s">
        <v>355</v>
      </c>
      <c r="I24" s="26">
        <f ca="1">IF(G24="","",IF(StaticData.Today=TODAY(),_xll.BDP(G24,"LAST_PRICE"),_xll.BDH(G24,"LAST_PRICE",StaticData.Today,StaticData.Today)))</f>
        <v>-5.8749999999999997E-2</v>
      </c>
      <c r="J24" s="27">
        <f t="shared" ca="1" si="1"/>
        <v>-5.8749999999999991E-4</v>
      </c>
      <c r="L24" s="24" t="str">
        <f>"JYBC15"&amp;$L$1&amp;" Curncy"</f>
        <v>JYBC15 MTRT Curncy</v>
      </c>
      <c r="M24" s="25" t="s">
        <v>367</v>
      </c>
      <c r="N24" s="28"/>
      <c r="O24" s="185"/>
      <c r="P24" s="185"/>
      <c r="Q24" s="30">
        <f ca="1">IF(L24="","",IF(StaticData.Today=TODAY(),_xll.BDP(L24,"LAST_PRICE"),_xll.BDH(L24,"LAST_PRICE",StaticData.Today,StaticData.Today)))</f>
        <v>4.625</v>
      </c>
      <c r="R24" s="27">
        <f t="shared" ca="1" si="7"/>
        <v>4.6250000000000002E-4</v>
      </c>
      <c r="T24" s="24" t="str">
        <f>"JYJSLC10"&amp;$T$1&amp;" Curncy"</f>
        <v>JYJSLC10 MTRT Curncy</v>
      </c>
      <c r="U24" s="25" t="s">
        <v>349</v>
      </c>
      <c r="V24" s="26">
        <f ca="1">IF(T24="","",IF(StaticData.Today=TODAY(),_xll.BDP(T24,"LAST_PRICE"),_xll.BDH(T24,"LAST_PRICE",StaticData.Today,StaticData.Today)))</f>
        <v>-0.375</v>
      </c>
      <c r="W24" s="338">
        <f t="shared" ca="1" si="9"/>
        <v>-3.7499999999999997E-5</v>
      </c>
      <c r="Y24" s="24" t="str">
        <f>"JYBB40"&amp;$Y$1&amp;" Curncy"</f>
        <v>JYBB40 MTRT Curncy</v>
      </c>
      <c r="Z24" s="25" t="s">
        <v>445</v>
      </c>
      <c r="AA24" s="26">
        <f ca="1">IF(Y24="","",IF(StaticData.Today=TODAY(),_xll.BDP(Y24,"LAST_PRICE"),_xll.BDH(Y24,"LAST_PRICE",StaticData.Today,StaticData.Today)))</f>
        <v>6.75</v>
      </c>
      <c r="AB24" s="27">
        <f t="shared" ca="1" si="4"/>
        <v>6.7500000000000004E-4</v>
      </c>
      <c r="AD24" s="24" t="str">
        <f>"JYSW9"&amp;$AD$1&amp;" Curncy"</f>
        <v>JYSW9 MTRT Curncy</v>
      </c>
      <c r="AE24" s="25" t="s">
        <v>364</v>
      </c>
      <c r="AF24" s="26">
        <f ca="1">IF(AD24="","",IF(StaticData.Today=TODAY(),_xll.BDP(AD24,"LAST_PRICE"),_xll.BDH(AD24,"LAST_PRICE",StaticData.Today,StaticData.Today)))</f>
        <v>1.6250000000000001E-2</v>
      </c>
      <c r="AG24" s="27">
        <f t="shared" ca="1" si="5"/>
        <v>1.6249999999999999E-4</v>
      </c>
      <c r="AJ24" s="24" t="str">
        <f>"JPY2Y"&amp;$AJ$1&amp;" Curncy"</f>
        <v>JPY2Y BGN Curncy</v>
      </c>
      <c r="AK24" s="25" t="s">
        <v>308</v>
      </c>
      <c r="AL24" s="28"/>
      <c r="AM24" s="178">
        <f ca="1">IF(AJ24="","",IF(StaticData.Today=TODAY(),_xll.BDP(AJ24,"BID"),_xll.BDH(AJ24,"BID",StaticData.Today,StaticData.Today)))</f>
        <v>-143.21</v>
      </c>
      <c r="AN24" s="178">
        <f ca="1">IF(AJ24="","",IF(StaticData.Today=TODAY(),_xll.BDP(AJ24,"ASK"),_xll.BDH(AJ24,"ASK",StaticData.Today,StaticData.Today)))</f>
        <v>-136.79</v>
      </c>
      <c r="AO24" s="30">
        <f ca="1">IF(AJ24="","",IF(StaticData.Today=TODAY(),_xll.BDP(AJ24,"LAST_PRICE"),_xll.BDH(AJ24,"LAST_PRICE",StaticData.Today,StaticData.Today)))</f>
        <v>-140</v>
      </c>
      <c r="AP24" s="181">
        <f t="shared" ca="1" si="8"/>
        <v>-140</v>
      </c>
      <c r="AQ24" s="411"/>
      <c r="AR24" s="24" t="str">
        <f>"JYBSI"&amp;$AR$1&amp;" Curncy"</f>
        <v>JYBSI MTRT Curncy</v>
      </c>
      <c r="AS24" s="25" t="s">
        <v>376</v>
      </c>
      <c r="AT24" s="25"/>
      <c r="AU24" s="25"/>
      <c r="AV24" s="25"/>
      <c r="AW24" s="6">
        <f ca="1">IF(AR24="","",IF(StaticData.Today=TODAY(),_xll.BDP(AR24,"LAST_PRICE"),_xll.BDH(AR24,"LAST_PRICE",StaticData.Today,StaticData.Today)))</f>
        <v>-28.625</v>
      </c>
      <c r="AX24" s="446">
        <f t="shared" ca="1" si="11"/>
        <v>-2.8625E-3</v>
      </c>
    </row>
    <row r="25" spans="2:50" x14ac:dyDescent="0.25">
      <c r="G25" s="24" t="str">
        <f>"JYSO9"&amp;$G$1&amp;" Curncy"</f>
        <v>JYSO9 MTRT Curncy</v>
      </c>
      <c r="H25" s="25" t="s">
        <v>364</v>
      </c>
      <c r="I25" s="26">
        <f ca="1">IF(G25="","",IF(StaticData.Today=TODAY(),_xll.BDP(G25,"LAST_PRICE"),_xll.BDH(G25,"LAST_PRICE",StaticData.Today,StaticData.Today)))</f>
        <v>-3.875E-2</v>
      </c>
      <c r="J25" s="27">
        <f t="shared" ca="1" si="1"/>
        <v>-3.8749999999999999E-4</v>
      </c>
      <c r="L25" s="24" t="str">
        <f>"JYBC20"&amp;$L$1&amp;" Curncy"</f>
        <v>JYBC20 MTRT Curncy</v>
      </c>
      <c r="M25" s="25" t="s">
        <v>374</v>
      </c>
      <c r="N25" s="28"/>
      <c r="O25" s="185"/>
      <c r="P25" s="185"/>
      <c r="Q25" s="30">
        <f ca="1">IF(L25="","",IF(StaticData.Today=TODAY(),_xll.BDP(L25,"LAST_PRICE"),_xll.BDH(L25,"LAST_PRICE",StaticData.Today,StaticData.Today)))</f>
        <v>4.625</v>
      </c>
      <c r="R25" s="27">
        <f t="shared" ca="1" si="7"/>
        <v>4.6250000000000002E-4</v>
      </c>
      <c r="T25" s="24" t="str">
        <f>"JYJSLC12"&amp;$T$1&amp;" Curncy"</f>
        <v>JYJSLC12 MTRT Curncy</v>
      </c>
      <c r="U25" s="25" t="s">
        <v>358</v>
      </c>
      <c r="V25" s="26">
        <f ca="1">IF(T25="","",IF(StaticData.Today=TODAY(),_xll.BDP(T25,"LAST_PRICE"),_xll.BDH(T25,"LAST_PRICE",StaticData.Today,StaticData.Today)))</f>
        <v>-0.625</v>
      </c>
      <c r="W25" s="338">
        <f t="shared" ca="1" si="9"/>
        <v>-6.2500000000000001E-5</v>
      </c>
      <c r="Y25" s="24"/>
      <c r="Z25" s="25"/>
      <c r="AA25" s="26" t="str">
        <f ca="1">IF(Y25="","",IF(StaticData.Today=TODAY(),_xll.BDP(Y25,"LAST_PRICE"),_xll.BDH(Y25,"LAST_PRICE",StaticData.Today,StaticData.Today)))</f>
        <v/>
      </c>
      <c r="AB25" s="27"/>
      <c r="AD25" s="24" t="str">
        <f>"JYSW10"&amp;$AD$1&amp;" Curncy"</f>
        <v>JYSW10 MTRT Curncy</v>
      </c>
      <c r="AE25" s="25" t="s">
        <v>349</v>
      </c>
      <c r="AF25" s="26">
        <f ca="1">IF(AD25="","",IF(StaticData.Today=TODAY(),_xll.BDP(AD25,"LAST_PRICE"),_xll.BDH(AD25,"LAST_PRICE",StaticData.Today,StaticData.Today)))</f>
        <v>3.7499999999999999E-2</v>
      </c>
      <c r="AG25" s="27">
        <f t="shared" ca="1" si="5"/>
        <v>3.7500000000000001E-4</v>
      </c>
      <c r="AJ25" s="24" t="str">
        <f>"JPY3Y"&amp;$AJ$1&amp;" Curncy"</f>
        <v>JPY3Y BGN Curncy</v>
      </c>
      <c r="AK25" s="25" t="s">
        <v>316</v>
      </c>
      <c r="AL25" s="28"/>
      <c r="AM25" s="178">
        <f ca="1">IF(AJ25="","",IF(StaticData.Today=TODAY(),_xll.BDP(AJ25,"BID"),_xll.BDH(AJ25,"BID",StaticData.Today,StaticData.Today)))</f>
        <v>-235.39</v>
      </c>
      <c r="AN25" s="178">
        <f ca="1">IF(AJ25="","",IF(StaticData.Today=TODAY(),_xll.BDP(AJ25,"ASK"),_xll.BDH(AJ25,"ASK",StaticData.Today,StaticData.Today)))</f>
        <v>-222.21</v>
      </c>
      <c r="AO25" s="30">
        <f ca="1">IF(AJ25="","",IF(StaticData.Today=TODAY(),_xll.BDP(AJ25,"LAST_PRICE"),_xll.BDH(AJ25,"LAST_PRICE",StaticData.Today,StaticData.Today)))</f>
        <v>-228.8</v>
      </c>
      <c r="AP25" s="181">
        <f t="shared" ca="1" si="8"/>
        <v>-228.8</v>
      </c>
      <c r="AQ25" s="411"/>
      <c r="AR25" s="24" t="str">
        <f>"JYBS1"&amp;$AR$1&amp;" Curncy"</f>
        <v>JYBS1 MTRT Curncy</v>
      </c>
      <c r="AS25" s="25" t="s">
        <v>47</v>
      </c>
      <c r="AT25" s="25"/>
      <c r="AU25" s="25"/>
      <c r="AV25" s="25"/>
      <c r="AW25" s="6">
        <f ca="1">IF(AR25="","",IF(StaticData.Today=TODAY(),_xll.BDP(AR25,"LAST_PRICE"),_xll.BDH(AR25,"LAST_PRICE",StaticData.Today,StaticData.Today)))</f>
        <v>-29.75</v>
      </c>
      <c r="AX25" s="446">
        <f t="shared" ca="1" si="11"/>
        <v>-2.9750000000000002E-3</v>
      </c>
    </row>
    <row r="26" spans="2:50" x14ac:dyDescent="0.25">
      <c r="G26" s="24" t="str">
        <f>"JYSO10"&amp;$G$1&amp;" Curncy"</f>
        <v>JYSO10 MTRT Curncy</v>
      </c>
      <c r="H26" s="25" t="s">
        <v>349</v>
      </c>
      <c r="I26" s="26">
        <f ca="1">IF(G26="","",IF(StaticData.Today=TODAY(),_xll.BDP(G26,"LAST_PRICE"),_xll.BDH(G26,"LAST_PRICE",StaticData.Today,StaticData.Today)))</f>
        <v>-1.7500000000000002E-2</v>
      </c>
      <c r="J26" s="27">
        <f t="shared" ca="1" si="1"/>
        <v>-1.7500000000000003E-4</v>
      </c>
      <c r="L26" s="24" t="str">
        <f>"JYBC25"&amp;$L$1&amp;" Curncy"</f>
        <v>JYBC25 MTRT Curncy</v>
      </c>
      <c r="M26" s="25" t="s">
        <v>382</v>
      </c>
      <c r="N26" s="28"/>
      <c r="O26" s="185"/>
      <c r="P26" s="185"/>
      <c r="Q26" s="30">
        <f ca="1">IF(L26="","",IF(StaticData.Today=TODAY(),_xll.BDP(L26,"LAST_PRICE"),_xll.BDH(L26,"LAST_PRICE",StaticData.Today,StaticData.Today)))</f>
        <v>4.625</v>
      </c>
      <c r="R26" s="27">
        <f t="shared" ca="1" si="7"/>
        <v>4.6250000000000002E-4</v>
      </c>
      <c r="T26" s="24" t="str">
        <f>"JYJSLC15"&amp;$T$1&amp;" Curncy"</f>
        <v>JYJSLC15 MTRT Curncy</v>
      </c>
      <c r="U26" s="25" t="s">
        <v>367</v>
      </c>
      <c r="V26" s="26">
        <f ca="1">IF(T26="","",IF(StaticData.Today=TODAY(),_xll.BDP(T26,"LAST_PRICE"),_xll.BDH(T26,"LAST_PRICE",StaticData.Today,StaticData.Today)))</f>
        <v>-0.75</v>
      </c>
      <c r="W26" s="338">
        <f t="shared" ca="1" si="9"/>
        <v>-7.4999999999999993E-5</v>
      </c>
      <c r="Y26" s="24"/>
      <c r="Z26" s="25"/>
      <c r="AA26" s="26" t="str">
        <f ca="1">IF(Y26="","",IF(StaticData.Today=TODAY(),_xll.BDP(Y26,"LAST_PRICE"),_xll.BDH(Y26,"LAST_PRICE",StaticData.Today,StaticData.Today)))</f>
        <v/>
      </c>
      <c r="AB26" s="27"/>
      <c r="AD26" s="24" t="str">
        <f>"JYSW12"&amp;$AD$1&amp;" Curncy"</f>
        <v>JYSW12 MTRT Curncy</v>
      </c>
      <c r="AE26" s="25" t="s">
        <v>358</v>
      </c>
      <c r="AF26" s="26">
        <f ca="1">IF(AD26="","",IF(StaticData.Today=TODAY(),_xll.BDP(AD26,"LAST_PRICE"),_xll.BDH(AD26,"LAST_PRICE",StaticData.Today,StaticData.Today)))</f>
        <v>8.3750000000000005E-2</v>
      </c>
      <c r="AG26" s="27">
        <f t="shared" ca="1" si="5"/>
        <v>8.3750000000000003E-4</v>
      </c>
      <c r="AJ26" s="24" t="str">
        <f>"JPY4Y"&amp;$AJ$1&amp;" Curncy"</f>
        <v>JPY4Y BGN Curncy</v>
      </c>
      <c r="AK26" s="25" t="s">
        <v>324</v>
      </c>
      <c r="AL26" s="28"/>
      <c r="AM26" s="178">
        <f ca="1">IF(AJ26="","",IF(StaticData.Today=TODAY(),_xll.BDP(AJ26,"BID"),_xll.BDH(AJ26,"BID",StaticData.Today,StaticData.Today)))</f>
        <v>-342.31</v>
      </c>
      <c r="AN26" s="178">
        <f ca="1">IF(AJ26="","",IF(StaticData.Today=TODAY(),_xll.BDP(AJ26,"ASK"),_xll.BDH(AJ26,"ASK",StaticData.Today,StaticData.Today)))</f>
        <v>-327.5</v>
      </c>
      <c r="AO26" s="30">
        <f ca="1">IF(AJ26="","",IF(StaticData.Today=TODAY(),_xll.BDP(AJ26,"LAST_PRICE"),_xll.BDH(AJ26,"LAST_PRICE",StaticData.Today,StaticData.Today)))</f>
        <v>-334.9</v>
      </c>
      <c r="AP26" s="181">
        <f t="shared" ca="1" si="8"/>
        <v>-334.9</v>
      </c>
      <c r="AQ26" s="411"/>
      <c r="AR26" s="24" t="str">
        <f>"JYBS1F"&amp;$AR$1&amp;" Curncy"</f>
        <v>JYBS1F MTRT Curncy</v>
      </c>
      <c r="AS26" s="25" t="s">
        <v>501</v>
      </c>
      <c r="AT26" s="25"/>
      <c r="AU26" s="25"/>
      <c r="AV26" s="25"/>
      <c r="AW26" s="6">
        <f ca="1">IF(AR26="","",IF(StaticData.Today=TODAY(),_xll.BDP(AR26,"LAST_PRICE"),_xll.BDH(AR26,"LAST_PRICE",StaticData.Today,StaticData.Today)))</f>
        <v>-33.625</v>
      </c>
      <c r="AX26" s="446">
        <f t="shared" ca="1" si="11"/>
        <v>-3.3625E-3</v>
      </c>
    </row>
    <row r="27" spans="2:50" x14ac:dyDescent="0.25">
      <c r="G27" s="24" t="str">
        <f>"JYSO12"&amp;$G$1&amp;" Curncy"</f>
        <v>JYSO12 MTRT Curncy</v>
      </c>
      <c r="H27" s="25" t="s">
        <v>358</v>
      </c>
      <c r="I27" s="26">
        <f ca="1">IF(G27="","",IF(StaticData.Today=TODAY(),_xll.BDP(G27,"LAST_PRICE"),_xll.BDH(G27,"LAST_PRICE",StaticData.Today,StaticData.Today)))</f>
        <v>0.03</v>
      </c>
      <c r="J27" s="27">
        <f ca="1">I27/10000</f>
        <v>3.0000000000000001E-6</v>
      </c>
      <c r="L27" s="24" t="str">
        <f>"JYBC30"&amp;$L$1&amp;" Curncy"</f>
        <v>JYBC30 MTRT Curncy</v>
      </c>
      <c r="M27" s="25" t="s">
        <v>389</v>
      </c>
      <c r="N27" s="28"/>
      <c r="O27" s="185"/>
      <c r="P27" s="185"/>
      <c r="Q27" s="30">
        <f ca="1">IF(L27="","",IF(StaticData.Today=TODAY(),_xll.BDP(L27,"LAST_PRICE"),_xll.BDH(L27,"LAST_PRICE",StaticData.Today,StaticData.Today)))</f>
        <v>4.625</v>
      </c>
      <c r="R27" s="27">
        <f t="shared" ca="1" si="7"/>
        <v>4.6250000000000002E-4</v>
      </c>
      <c r="T27" s="24" t="str">
        <f>"JYJSLC20"&amp;$T$1&amp;" Curncy"</f>
        <v>JYJSLC20 MTRT Curncy</v>
      </c>
      <c r="U27" s="25" t="s">
        <v>374</v>
      </c>
      <c r="V27" s="26">
        <f ca="1">IF(T27="","",IF(StaticData.Today=TODAY(),_xll.BDP(T27,"LAST_PRICE"),_xll.BDH(T27,"LAST_PRICE",StaticData.Today,StaticData.Today)))</f>
        <v>-1</v>
      </c>
      <c r="W27" s="338">
        <f t="shared" ca="1" si="9"/>
        <v>-1E-4</v>
      </c>
      <c r="Y27" s="24"/>
      <c r="Z27" s="25"/>
      <c r="AA27" s="26" t="str">
        <f ca="1">IF(Y27="","",IF(StaticData.Today=TODAY(),_xll.BDP(Y27,"LAST_PRICE"),_xll.BDH(Y27,"LAST_PRICE",StaticData.Today,StaticData.Today)))</f>
        <v/>
      </c>
      <c r="AB27" s="27"/>
      <c r="AD27" s="24" t="str">
        <f>"JYSW15"&amp;$AD$1&amp;" Curncy"</f>
        <v>JYSW15 MTRT Curncy</v>
      </c>
      <c r="AE27" s="25" t="s">
        <v>367</v>
      </c>
      <c r="AF27" s="26">
        <f ca="1">IF(AD27="","",IF(StaticData.Today=TODAY(),_xll.BDP(AD27,"LAST_PRICE"),_xll.BDH(AD27,"LAST_PRICE",StaticData.Today,StaticData.Today)))</f>
        <v>0.15625</v>
      </c>
      <c r="AG27" s="27">
        <f t="shared" ca="1" si="5"/>
        <v>1.5625000000000001E-3</v>
      </c>
      <c r="AJ27" s="24" t="str">
        <f>"JPY5Y"&amp;$AJ$1&amp;" Curncy"</f>
        <v>JPY5Y BGN Curncy</v>
      </c>
      <c r="AK27" s="25" t="s">
        <v>331</v>
      </c>
      <c r="AL27" s="28"/>
      <c r="AM27" s="178">
        <f ca="1">IF(AJ27="","",IF(StaticData.Today=TODAY(),_xll.BDP(AJ27,"BID"),_xll.BDH(AJ27,"BID",StaticData.Today,StaticData.Today)))</f>
        <v>-468.14</v>
      </c>
      <c r="AN27" s="178">
        <f ca="1">IF(AJ27="","",IF(StaticData.Today=TODAY(),_xll.BDP(AJ27,"ASK"),_xll.BDH(AJ27,"ASK",StaticData.Today,StaticData.Today)))</f>
        <v>-452.67</v>
      </c>
      <c r="AO27" s="30">
        <f ca="1">IF(AJ27="","",IF(StaticData.Today=TODAY(),_xll.BDP(AJ27,"LAST_PRICE"),_xll.BDH(AJ27,"LAST_PRICE",StaticData.Today,StaticData.Today)))</f>
        <v>-460.41</v>
      </c>
      <c r="AP27" s="181">
        <f t="shared" ca="1" si="8"/>
        <v>-460.41</v>
      </c>
      <c r="AQ27" s="411"/>
      <c r="AR27" s="24" t="str">
        <f>"JYBS2"&amp;$AR$1&amp;" Curncy"</f>
        <v>JYBS2 MTRT Curncy</v>
      </c>
      <c r="AS27" s="25" t="s">
        <v>308</v>
      </c>
      <c r="AW27" s="6">
        <f ca="1">IF(AR27="","",IF(StaticData.Today=TODAY(),_xll.BDP(AR27,"LAST_PRICE"),_xll.BDH(AR27,"LAST_PRICE",StaticData.Today,StaticData.Today)))</f>
        <v>-34.75</v>
      </c>
      <c r="AX27" s="446">
        <f t="shared" ca="1" si="11"/>
        <v>-3.4749999999999998E-3</v>
      </c>
    </row>
    <row r="28" spans="2:50" x14ac:dyDescent="0.25">
      <c r="G28" s="24" t="str">
        <f>"JYSO15"&amp;$G$1&amp;" Curncy"</f>
        <v>JYSO15 MTRT Curncy</v>
      </c>
      <c r="H28" s="25" t="s">
        <v>367</v>
      </c>
      <c r="I28" s="26">
        <f ca="1">IF(G28="","",IF(StaticData.Today=TODAY(),_xll.BDP(G28,"LAST_PRICE"),_xll.BDH(G28,"LAST_PRICE",StaticData.Today,StaticData.Today)))</f>
        <v>0.10249999999999999</v>
      </c>
      <c r="J28" s="27">
        <f t="shared" ref="J28:J51" ca="1" si="12">I28/10000</f>
        <v>1.025E-5</v>
      </c>
      <c r="L28" s="24" t="str">
        <f>"JYBC35"&amp;$L$1&amp;" Curncy"</f>
        <v>JYBC35 MTRT Curncy</v>
      </c>
      <c r="M28" s="25" t="s">
        <v>1107</v>
      </c>
      <c r="N28" s="28"/>
      <c r="O28" s="185"/>
      <c r="P28" s="185"/>
      <c r="Q28" s="30">
        <f ca="1">IF(L28="","",IF(StaticData.Today=TODAY(),_xll.BDP(L28,"LAST_PRICE"),_xll.BDH(L28,"LAST_PRICE",StaticData.Today,StaticData.Today)))</f>
        <v>4.625</v>
      </c>
      <c r="R28" s="27">
        <f t="shared" ca="1" si="7"/>
        <v>4.6250000000000002E-4</v>
      </c>
      <c r="T28" s="24" t="str">
        <f>"JYJSLC25"&amp;$T$1&amp;" Curncy"</f>
        <v>JYJSLC25 MTRT Curncy</v>
      </c>
      <c r="U28" s="25" t="s">
        <v>382</v>
      </c>
      <c r="V28" s="26">
        <f ca="1">IF(T28="","",IF(StaticData.Today=TODAY(),_xll.BDP(T28,"LAST_PRICE"),_xll.BDH(T28,"LAST_PRICE",StaticData.Today,StaticData.Today)))</f>
        <v>-1.25</v>
      </c>
      <c r="W28" s="338">
        <f t="shared" ca="1" si="9"/>
        <v>-1.25E-4</v>
      </c>
      <c r="Y28" s="24"/>
      <c r="Z28" s="25"/>
      <c r="AA28" s="26" t="str">
        <f ca="1">IF(Y28="","",IF(StaticData.Today=TODAY(),_xll.BDP(Y28,"LAST_PRICE"),_xll.BDH(Y28,"LAST_PRICE",StaticData.Today,StaticData.Today)))</f>
        <v/>
      </c>
      <c r="AB28" s="27"/>
      <c r="AD28" s="24" t="str">
        <f>"JYSW20"&amp;$AD$1&amp;" Curncy"</f>
        <v>JYSW20 MTRT Curncy</v>
      </c>
      <c r="AE28" s="25" t="s">
        <v>374</v>
      </c>
      <c r="AF28" s="26">
        <f ca="1">IF(AD28="","",IF(StaticData.Today=TODAY(),_xll.BDP(AD28,"LAST_PRICE"),_xll.BDH(AD28,"LAST_PRICE",StaticData.Today,StaticData.Today)))</f>
        <v>0.24875</v>
      </c>
      <c r="AG28" s="27">
        <f t="shared" ca="1" si="5"/>
        <v>2.4875000000000001E-3</v>
      </c>
      <c r="AJ28" s="24" t="str">
        <f>"JPY6Y"&amp;$AJ$1&amp;" Curncy"</f>
        <v>JPY6Y BGN Curncy</v>
      </c>
      <c r="AK28" s="25" t="s">
        <v>339</v>
      </c>
      <c r="AL28" s="28"/>
      <c r="AM28" s="178">
        <f ca="1">IF(AJ28="","",IF(StaticData.Today=TODAY(),_xll.BDP(AJ28,"BID"),_xll.BDH(AJ28,"BID",StaticData.Today,StaticData.Today)))</f>
        <v>-614.1</v>
      </c>
      <c r="AN28" s="178">
        <f ca="1">IF(AJ28="","",IF(StaticData.Today=TODAY(),_xll.BDP(AJ28,"ASK"),_xll.BDH(AJ28,"ASK",StaticData.Today,StaticData.Today)))</f>
        <v>-589.1</v>
      </c>
      <c r="AO28" s="30">
        <f ca="1">IF(AJ28="","",IF(StaticData.Today=TODAY(),_xll.BDP(AJ28,"LAST_PRICE"),_xll.BDH(AJ28,"LAST_PRICE",StaticData.Today,StaticData.Today)))</f>
        <v>-601.6</v>
      </c>
      <c r="AP28" s="181">
        <f t="shared" ca="1" si="8"/>
        <v>-601.6</v>
      </c>
      <c r="AQ28" s="411"/>
      <c r="AR28" s="24" t="str">
        <f>"JYBS3"&amp;$AR$1&amp;" Curncy"</f>
        <v>JYBS3 MTRT Curncy</v>
      </c>
      <c r="AS28" s="25" t="s">
        <v>316</v>
      </c>
      <c r="AW28" s="6">
        <f ca="1">IF(AR28="","",IF(StaticData.Today=TODAY(),_xll.BDP(AR28,"LAST_PRICE"),_xll.BDH(AR28,"LAST_PRICE",StaticData.Today,StaticData.Today)))</f>
        <v>-39.375</v>
      </c>
      <c r="AX28" s="446">
        <f t="shared" ca="1" si="11"/>
        <v>-3.9375E-3</v>
      </c>
    </row>
    <row r="29" spans="2:50" x14ac:dyDescent="0.25">
      <c r="G29" s="24" t="str">
        <f>"JYSO20"&amp;$G$1&amp;" Curncy"</f>
        <v>JYSO20 MTRT Curncy</v>
      </c>
      <c r="H29" s="25" t="s">
        <v>374</v>
      </c>
      <c r="I29" s="26">
        <f ca="1">IF(G29="","",IF(StaticData.Today=TODAY(),_xll.BDP(G29,"LAST_PRICE"),_xll.BDH(G29,"LAST_PRICE",StaticData.Today,StaticData.Today)))</f>
        <v>0.19750000000000001</v>
      </c>
      <c r="J29" s="27">
        <f t="shared" ca="1" si="12"/>
        <v>1.9750000000000002E-5</v>
      </c>
      <c r="L29" s="24" t="str">
        <f>"JYBC40"&amp;$L$1&amp;" Curncy"</f>
        <v>JYBC40 MTRT Curncy</v>
      </c>
      <c r="M29" s="25" t="s">
        <v>445</v>
      </c>
      <c r="N29" s="28"/>
      <c r="O29" s="185"/>
      <c r="P29" s="185"/>
      <c r="Q29" s="30">
        <f ca="1">IF(L29="","",IF(StaticData.Today=TODAY(),_xll.BDP(L29,"LAST_PRICE"),_xll.BDH(L29,"LAST_PRICE",StaticData.Today,StaticData.Today)))</f>
        <v>4.625</v>
      </c>
      <c r="R29" s="27">
        <f t="shared" ca="1" si="7"/>
        <v>4.6250000000000002E-4</v>
      </c>
      <c r="T29" s="24" t="str">
        <f>"JYJSLC30"&amp;$T$1&amp;" Curncy"</f>
        <v>JYJSLC30 MTRT Curncy</v>
      </c>
      <c r="U29" s="25" t="s">
        <v>389</v>
      </c>
      <c r="V29" s="26">
        <f ca="1">IF(T29="","",IF(StaticData.Today=TODAY(),_xll.BDP(T29,"LAST_PRICE"),_xll.BDH(T29,"LAST_PRICE",StaticData.Today,StaticData.Today)))</f>
        <v>-1.5</v>
      </c>
      <c r="W29" s="338">
        <f t="shared" ca="1" si="9"/>
        <v>-1.4999999999999999E-4</v>
      </c>
      <c r="Y29" s="24"/>
      <c r="Z29" s="25"/>
      <c r="AA29" s="26" t="str">
        <f ca="1">IF(Y29="","",IF(StaticData.Today=TODAY(),_xll.BDP(Y29,"LAST_PRICE"),_xll.BDH(Y29,"LAST_PRICE",StaticData.Today,StaticData.Today)))</f>
        <v/>
      </c>
      <c r="AB29" s="27"/>
      <c r="AD29" s="24" t="str">
        <f>"JYSW25"&amp;$AD$1&amp;" Curncy"</f>
        <v>JYSW25 MTRT Curncy</v>
      </c>
      <c r="AE29" s="25" t="s">
        <v>382</v>
      </c>
      <c r="AF29" s="26">
        <f ca="1">IF(AD29="","",IF(StaticData.Today=TODAY(),_xll.BDP(AD29,"LAST_PRICE"),_xll.BDH(AD29,"LAST_PRICE",StaticData.Today,StaticData.Today)))</f>
        <v>0.30875000000000002</v>
      </c>
      <c r="AG29" s="27">
        <f t="shared" ca="1" si="5"/>
        <v>3.0875000000000004E-3</v>
      </c>
      <c r="AJ29" s="24" t="str">
        <f>"JPY7Y"&amp;$AJ$1&amp;" Curncy"</f>
        <v>JPY7Y BGN Curncy</v>
      </c>
      <c r="AK29" s="25" t="s">
        <v>342</v>
      </c>
      <c r="AL29" s="28"/>
      <c r="AM29" s="178">
        <f ca="1">IF(AJ29="","",IF(StaticData.Today=TODAY(),_xll.BDP(AJ29,"BID"),_xll.BDH(AJ29,"BID",StaticData.Today,StaticData.Today)))</f>
        <v>-771.44</v>
      </c>
      <c r="AN29" s="178">
        <f ca="1">IF(AJ29="","",IF(StaticData.Today=TODAY(),_xll.BDP(AJ29,"ASK"),_xll.BDH(AJ29,"ASK",StaticData.Today,StaticData.Today)))</f>
        <v>-740.58</v>
      </c>
      <c r="AO29" s="30">
        <f ca="1">IF(AJ29="","",IF(StaticData.Today=TODAY(),_xll.BDP(AJ29,"LAST_PRICE"),_xll.BDH(AJ29,"LAST_PRICE",StaticData.Today,StaticData.Today)))</f>
        <v>-756.01</v>
      </c>
      <c r="AP29" s="181">
        <f t="shared" ca="1" si="8"/>
        <v>-756.01</v>
      </c>
      <c r="AQ29" s="411"/>
      <c r="AR29" s="24" t="str">
        <f>"JYBS4"&amp;$AR$1&amp;" Curncy"</f>
        <v>JYBS4 MTRT Curncy</v>
      </c>
      <c r="AS29" s="25" t="s">
        <v>324</v>
      </c>
      <c r="AW29" s="6">
        <f ca="1">IF(AR29="","",IF(StaticData.Today=TODAY(),_xll.BDP(AR29,"LAST_PRICE"),_xll.BDH(AR29,"LAST_PRICE",StaticData.Today,StaticData.Today)))</f>
        <v>-43.25</v>
      </c>
      <c r="AX29" s="446">
        <f t="shared" ca="1" si="11"/>
        <v>-4.3249999999999999E-3</v>
      </c>
    </row>
    <row r="30" spans="2:50" x14ac:dyDescent="0.25">
      <c r="G30" s="24" t="str">
        <f>"JYSO25"&amp;$G$1&amp;" Curncy"</f>
        <v>JYSO25 MTRT Curncy</v>
      </c>
      <c r="H30" s="25" t="s">
        <v>382</v>
      </c>
      <c r="I30" s="26">
        <f ca="1">IF(G30="","",IF(StaticData.Today=TODAY(),_xll.BDP(G30,"LAST_PRICE"),_xll.BDH(G30,"LAST_PRICE",StaticData.Today,StaticData.Today)))</f>
        <v>0.26</v>
      </c>
      <c r="J30" s="27">
        <f t="shared" ca="1" si="12"/>
        <v>2.6000000000000002E-5</v>
      </c>
      <c r="L30" s="24"/>
      <c r="M30" s="25"/>
      <c r="N30" s="28"/>
      <c r="O30" s="185"/>
      <c r="P30" s="185"/>
      <c r="Q30" s="30"/>
      <c r="R30" s="27"/>
      <c r="T30" s="24" t="str">
        <f>"JYJSLC35"&amp;$T$1&amp;" Curncy"</f>
        <v>JYJSLC35 MTRT Curncy</v>
      </c>
      <c r="U30" s="25" t="s">
        <v>1107</v>
      </c>
      <c r="V30" s="26">
        <f ca="1">IF(T30="","",IF(StaticData.Today=TODAY(),_xll.BDP(T30,"LAST_PRICE"),_xll.BDH(T30,"LAST_PRICE",StaticData.Today,StaticData.Today)))</f>
        <v>-1.625</v>
      </c>
      <c r="W30" s="338">
        <f t="shared" ca="1" si="9"/>
        <v>-1.6249999999999999E-4</v>
      </c>
      <c r="Y30" s="24"/>
      <c r="Z30" s="25"/>
      <c r="AA30" s="26" t="str">
        <f ca="1">IF(Y30="","",IF(StaticData.Today=TODAY(),_xll.BDP(Y30,"LAST_PRICE"),_xll.BDH(Y30,"LAST_PRICE",StaticData.Today,StaticData.Today)))</f>
        <v/>
      </c>
      <c r="AB30" s="27"/>
      <c r="AD30" s="24" t="str">
        <f>"JYSW30"&amp;$AD$1&amp;" Curncy"</f>
        <v>JYSW30 MTRT Curncy</v>
      </c>
      <c r="AE30" s="25" t="s">
        <v>389</v>
      </c>
      <c r="AF30" s="26">
        <f ca="1">IF(AD30="","",IF(StaticData.Today=TODAY(),_xll.BDP(AD30,"LAST_PRICE"),_xll.BDH(AD30,"LAST_PRICE",StaticData.Today,StaticData.Today)))</f>
        <v>0.34875</v>
      </c>
      <c r="AG30" s="27">
        <f t="shared" ca="1" si="5"/>
        <v>3.4875000000000001E-3</v>
      </c>
      <c r="AJ30" s="24" t="str">
        <f>"JPY8Y"&amp;$AJ$1&amp;" Curncy"</f>
        <v>JPY8Y BGN Curncy</v>
      </c>
      <c r="AK30" s="25" t="s">
        <v>355</v>
      </c>
      <c r="AL30" s="28"/>
      <c r="AM30" s="178">
        <f ca="1">IF(AJ30="","",IF(StaticData.Today=TODAY(),_xll.BDP(AJ30,"BID"),_xll.BDH(AJ30,"BID",StaticData.Today,StaticData.Today)))</f>
        <v>-929.84</v>
      </c>
      <c r="AN30" s="178">
        <f ca="1">IF(AJ30="","",IF(StaticData.Today=TODAY(),_xll.BDP(AJ30,"ASK"),_xll.BDH(AJ30,"ASK",StaticData.Today,StaticData.Today)))</f>
        <v>-901.54</v>
      </c>
      <c r="AO30" s="30">
        <f ca="1">IF(AJ30="","",IF(StaticData.Today=TODAY(),_xll.BDP(AJ30,"LAST_PRICE"),_xll.BDH(AJ30,"LAST_PRICE",StaticData.Today,StaticData.Today)))</f>
        <v>-915.69</v>
      </c>
      <c r="AP30" s="181">
        <f t="shared" ca="1" si="8"/>
        <v>-915.69</v>
      </c>
      <c r="AQ30" s="411"/>
      <c r="AR30" s="24" t="str">
        <f>"JYBS5"&amp;$AR$1&amp;" Curncy"</f>
        <v>JYBS5 MTRT Curncy</v>
      </c>
      <c r="AS30" s="25" t="s">
        <v>331</v>
      </c>
      <c r="AW30" s="6">
        <f ca="1">IF(AR30="","",IF(StaticData.Today=TODAY(),_xll.BDP(AR30,"LAST_PRICE"),_xll.BDH(AR30,"LAST_PRICE",StaticData.Today,StaticData.Today)))</f>
        <v>-46.25</v>
      </c>
      <c r="AX30" s="446">
        <f t="shared" ca="1" si="11"/>
        <v>-4.6249999999999998E-3</v>
      </c>
    </row>
    <row r="31" spans="2:50" x14ac:dyDescent="0.25">
      <c r="G31" s="24" t="str">
        <f>"JYSO30"&amp;$G$1&amp;" Curncy"</f>
        <v>JYSO30 MTRT Curncy</v>
      </c>
      <c r="H31" s="25" t="s">
        <v>389</v>
      </c>
      <c r="I31" s="26">
        <f ca="1">IF(G31="","",IF(StaticData.Today=TODAY(),_xll.BDP(G31,"LAST_PRICE"),_xll.BDH(G31,"LAST_PRICE",StaticData.Today,StaticData.Today)))</f>
        <v>0.30125000000000002</v>
      </c>
      <c r="J31" s="27">
        <f t="shared" ca="1" si="12"/>
        <v>3.0125E-5</v>
      </c>
      <c r="L31" s="24"/>
      <c r="M31" s="25"/>
      <c r="N31" s="28"/>
      <c r="O31" s="185"/>
      <c r="P31" s="185"/>
      <c r="Q31" s="30"/>
      <c r="R31" s="27"/>
      <c r="T31" s="24" t="str">
        <f>"JYJSLC40"&amp;$T$1&amp;" Curncy"</f>
        <v>JYJSLC40 MTRT Curncy</v>
      </c>
      <c r="U31" s="25" t="s">
        <v>445</v>
      </c>
      <c r="V31" s="26">
        <f ca="1">IF(T31="","",IF(StaticData.Today=TODAY(),_xll.BDP(T31,"LAST_PRICE"),_xll.BDH(T31,"LAST_PRICE",StaticData.Today,StaticData.Today)))</f>
        <v>-1.75</v>
      </c>
      <c r="W31" s="338">
        <f t="shared" ca="1" si="9"/>
        <v>-1.75E-4</v>
      </c>
      <c r="Y31" s="24"/>
      <c r="Z31" s="25"/>
      <c r="AA31" s="26" t="str">
        <f ca="1">IF(Y31="","",IF(StaticData.Today=TODAY(),_xll.BDP(Y31,"LAST_PRICE"),_xll.BDH(Y31,"LAST_PRICE",StaticData.Today,StaticData.Today)))</f>
        <v/>
      </c>
      <c r="AB31" s="27"/>
      <c r="AD31" s="24" t="str">
        <f>"JYSW35"&amp;$AD$1&amp;" Curncy"</f>
        <v>JYSW35 MTRT Curncy</v>
      </c>
      <c r="AE31" s="25" t="s">
        <v>1107</v>
      </c>
      <c r="AF31" s="26">
        <f ca="1">IF(AD31="","",IF(StaticData.Today=TODAY(),_xll.BDP(AD31,"LAST_PRICE"),_xll.BDH(AD31,"LAST_PRICE",StaticData.Today,StaticData.Today)))</f>
        <v>0.35875000000000001</v>
      </c>
      <c r="AG31" s="27">
        <f t="shared" ca="1" si="5"/>
        <v>3.5875E-3</v>
      </c>
      <c r="AJ31" s="24" t="str">
        <f>"JPY9Y"&amp;$AJ$1&amp;" Curncy"</f>
        <v>JPY9Y BGN Curncy</v>
      </c>
      <c r="AK31" s="25" t="s">
        <v>364</v>
      </c>
      <c r="AL31" s="28"/>
      <c r="AM31" s="178">
        <f ca="1">IF(AJ31="","",IF(StaticData.Today=TODAY(),_xll.BDP(AJ31,"BID"),_xll.BDH(AJ31,"BID",StaticData.Today,StaticData.Today)))</f>
        <v>-1090.71</v>
      </c>
      <c r="AN31" s="178">
        <f ca="1">IF(AJ31="","",IF(StaticData.Today=TODAY(),_xll.BDP(AJ31,"ASK"),_xll.BDH(AJ31,"ASK",StaticData.Today,StaticData.Today)))</f>
        <v>-1061.3599999999999</v>
      </c>
      <c r="AO31" s="30">
        <f ca="1">IF(AJ31="","",IF(StaticData.Today=TODAY(),_xll.BDP(AJ31,"LAST_PRICE"),_xll.BDH(AJ31,"LAST_PRICE",StaticData.Today,StaticData.Today)))</f>
        <v>-1076.04</v>
      </c>
      <c r="AP31" s="181">
        <f t="shared" ca="1" si="8"/>
        <v>-1076.04</v>
      </c>
      <c r="AQ31" s="411"/>
      <c r="AR31" s="24" t="str">
        <f>"JYBS6"&amp;$AR$1&amp;" Curncy"</f>
        <v>JYBS6 MTRT Curncy</v>
      </c>
      <c r="AS31" s="25" t="s">
        <v>339</v>
      </c>
      <c r="AW31" s="6">
        <f ca="1">IF(AR31="","",IF(StaticData.Today=TODAY(),_xll.BDP(AR31,"LAST_PRICE"),_xll.BDH(AR31,"LAST_PRICE",StaticData.Today,StaticData.Today)))</f>
        <v>-48.625</v>
      </c>
      <c r="AX31" s="446">
        <f t="shared" ca="1" si="11"/>
        <v>-4.8624999999999996E-3</v>
      </c>
    </row>
    <row r="32" spans="2:50" x14ac:dyDescent="0.25">
      <c r="G32" s="24" t="str">
        <f>"JYSO35"&amp;$G$1&amp;" Curncy"</f>
        <v>JYSO35 MTRT Curncy</v>
      </c>
      <c r="H32" s="25" t="s">
        <v>1107</v>
      </c>
      <c r="I32" s="26">
        <f ca="1">IF(G32="","",IF(StaticData.Today=TODAY(),_xll.BDP(G32,"LAST_PRICE"),_xll.BDH(G32,"LAST_PRICE",StaticData.Today,StaticData.Today)))</f>
        <v>0.31125000000000003</v>
      </c>
      <c r="J32" s="27">
        <f t="shared" ca="1" si="12"/>
        <v>3.1125000000000004E-5</v>
      </c>
      <c r="L32" s="24"/>
      <c r="M32" s="25"/>
      <c r="N32" s="28"/>
      <c r="O32" s="185"/>
      <c r="P32" s="185"/>
      <c r="Q32" s="30"/>
      <c r="R32" s="27"/>
      <c r="T32" s="24"/>
      <c r="U32" s="25"/>
      <c r="V32" s="26"/>
      <c r="W32" s="27"/>
      <c r="Y32" s="24"/>
      <c r="Z32" s="25"/>
      <c r="AA32" s="26" t="str">
        <f ca="1">IF(Y32="","",IF(StaticData.Today=TODAY(),_xll.BDP(Y32,"LAST_PRICE"),_xll.BDH(Y32,"LAST_PRICE",StaticData.Today,StaticData.Today)))</f>
        <v/>
      </c>
      <c r="AB32" s="27"/>
      <c r="AD32" s="24" t="str">
        <f>"JYSW40"&amp;$AD$1&amp;" Curncy"</f>
        <v>JYSW40 MTRT Curncy</v>
      </c>
      <c r="AE32" s="25" t="s">
        <v>445</v>
      </c>
      <c r="AF32" s="26">
        <f ca="1">IF(AD32="","",IF(StaticData.Today=TODAY(),_xll.BDP(AD32,"LAST_PRICE"),_xll.BDH(AD32,"LAST_PRICE",StaticData.Today,StaticData.Today)))</f>
        <v>0.36375000000000002</v>
      </c>
      <c r="AG32" s="27">
        <f t="shared" ca="1" si="5"/>
        <v>3.6375000000000001E-3</v>
      </c>
      <c r="AJ32" s="24" t="str">
        <f>"JPY10Y"&amp;$AJ$1&amp;" Curncy"</f>
        <v>JPY10Y BGN Curncy</v>
      </c>
      <c r="AK32" s="25" t="s">
        <v>349</v>
      </c>
      <c r="AL32" s="28"/>
      <c r="AM32" s="178">
        <f ca="1">IF(AJ32="","",IF(StaticData.Today=TODAY(),_xll.BDP(AJ32,"BID"),_xll.BDH(AJ32,"BID",StaticData.Today,StaticData.Today)))</f>
        <v>-1246.25</v>
      </c>
      <c r="AN32" s="178">
        <f ca="1">IF(AJ32="","",IF(StaticData.Today=TODAY(),_xll.BDP(AJ32,"ASK"),_xll.BDH(AJ32,"ASK",StaticData.Today,StaticData.Today)))</f>
        <v>-1218.49</v>
      </c>
      <c r="AO32" s="30">
        <f ca="1">IF(AJ32="","",IF(StaticData.Today=TODAY(),_xll.BDP(AJ32,"LAST_PRICE"),_xll.BDH(AJ32,"LAST_PRICE",StaticData.Today,StaticData.Today)))</f>
        <v>-1232.3699999999999</v>
      </c>
      <c r="AP32" s="181">
        <f t="shared" ca="1" si="8"/>
        <v>-1232.3699999999999</v>
      </c>
      <c r="AQ32" s="411"/>
      <c r="AR32" s="24" t="str">
        <f>"JYBS7"&amp;$AR$1&amp;" Curncy"</f>
        <v>JYBS7 MTRT Curncy</v>
      </c>
      <c r="AS32" s="25" t="s">
        <v>342</v>
      </c>
      <c r="AW32" s="6">
        <f ca="1">IF(AR32="","",IF(StaticData.Today=TODAY(),_xll.BDP(AR32,"LAST_PRICE"),_xll.BDH(AR32,"LAST_PRICE",StaticData.Today,StaticData.Today)))</f>
        <v>-50.5</v>
      </c>
      <c r="AX32" s="446">
        <f t="shared" ca="1" si="11"/>
        <v>-5.0499999999999998E-3</v>
      </c>
    </row>
    <row r="33" spans="7:50" x14ac:dyDescent="0.25">
      <c r="G33" s="24" t="str">
        <f>"JYSO40"&amp;$G$1&amp;" Curncy"</f>
        <v>JYSO40 MTRT Curncy</v>
      </c>
      <c r="H33" s="25" t="s">
        <v>445</v>
      </c>
      <c r="I33" s="26">
        <f ca="1">IF(G33="","",IF(StaticData.Today=TODAY(),_xll.BDP(G33,"LAST_PRICE"),_xll.BDH(G33,"LAST_PRICE",StaticData.Today,StaticData.Today)))</f>
        <v>0.31624999999999998</v>
      </c>
      <c r="J33" s="27">
        <f t="shared" ca="1" si="12"/>
        <v>3.1624999999999996E-5</v>
      </c>
      <c r="L33" s="24"/>
      <c r="M33" s="25"/>
      <c r="N33" s="28"/>
      <c r="O33" s="185"/>
      <c r="P33" s="185"/>
      <c r="Q33" s="30"/>
      <c r="R33" s="27"/>
      <c r="T33" s="24"/>
      <c r="U33" s="25"/>
      <c r="V33" s="26"/>
      <c r="W33" s="27"/>
      <c r="Y33" s="24"/>
      <c r="Z33" s="25"/>
      <c r="AA33" s="26" t="str">
        <f ca="1">IF(Y33="","",IF(StaticData.Today=TODAY(),_xll.BDP(Y33,"LAST_PRICE"),_xll.BDH(Y33,"LAST_PRICE",StaticData.Today,StaticData.Today)))</f>
        <v/>
      </c>
      <c r="AB33" s="27"/>
      <c r="AD33" s="24"/>
      <c r="AE33" s="25"/>
      <c r="AF33" s="26" t="str">
        <f ca="1">IF(AD33="","",IF(StaticData.Today=TODAY(),_xll.BDP(AD33,"LAST_PRICE"),_xll.BDH(AD33,"LAST_PRICE",StaticData.Today,StaticData.Today)))</f>
        <v/>
      </c>
      <c r="AG33" s="27"/>
      <c r="AJ33" s="24"/>
      <c r="AK33" s="25"/>
      <c r="AL33" s="28"/>
      <c r="AM33" s="29"/>
      <c r="AN33" s="29"/>
      <c r="AO33" s="30"/>
      <c r="AP33" s="27"/>
      <c r="AQ33" s="448"/>
      <c r="AR33" s="24" t="str">
        <f>"JYBS8"&amp;$AR$1&amp;" Curncy"</f>
        <v>JYBS8 MTRT Curncy</v>
      </c>
      <c r="AS33" s="25" t="s">
        <v>355</v>
      </c>
      <c r="AW33" s="6">
        <f ca="1">IF(AR33="","",IF(StaticData.Today=TODAY(),_xll.BDP(AR33,"LAST_PRICE"),_xll.BDH(AR33,"LAST_PRICE",StaticData.Today,StaticData.Today)))</f>
        <v>-52</v>
      </c>
      <c r="AX33" s="446">
        <f t="shared" ca="1" si="11"/>
        <v>-5.1999999999999998E-3</v>
      </c>
    </row>
    <row r="34" spans="7:50" x14ac:dyDescent="0.25">
      <c r="G34" s="24" t="str">
        <f>"JYBSL1"&amp;$G$1&amp;" Curncy"</f>
        <v>JYBSL1 MTRT Curncy</v>
      </c>
      <c r="H34" s="25" t="s">
        <v>47</v>
      </c>
      <c r="I34" s="26">
        <f ca="1">IF(G34="","",IF(StaticData.Today=TODAY(),_xll.BDP(G34,"LAST_PRICE"),_xll.BDH(G34,"LAST_PRICE",StaticData.Today,StaticData.Today)))</f>
        <v>1.75</v>
      </c>
      <c r="J34" s="27">
        <f t="shared" ca="1" si="12"/>
        <v>1.75E-4</v>
      </c>
      <c r="L34" s="24"/>
      <c r="M34" s="25"/>
      <c r="N34" s="28"/>
      <c r="O34" s="185"/>
      <c r="P34" s="185"/>
      <c r="Q34" s="30"/>
      <c r="R34" s="27"/>
      <c r="T34" s="24"/>
      <c r="U34" s="25"/>
      <c r="V34" s="26"/>
      <c r="W34" s="27"/>
      <c r="Y34" s="24"/>
      <c r="Z34" s="25"/>
      <c r="AA34" s="26" t="str">
        <f ca="1">IF(Y34="","",IF(StaticData.Today=TODAY(),_xll.BDP(Y34,"LAST_PRICE"),_xll.BDH(Y34,"LAST_PRICE",StaticData.Today,StaticData.Today)))</f>
        <v/>
      </c>
      <c r="AB34" s="27"/>
      <c r="AD34" s="24"/>
      <c r="AE34" s="25"/>
      <c r="AF34" s="26" t="str">
        <f ca="1">IF(AD34="","",IF(StaticData.Today=TODAY(),_xll.BDP(AD34,"LAST_PRICE"),_xll.BDH(AD34,"LAST_PRICE",StaticData.Today,StaticData.Today)))</f>
        <v/>
      </c>
      <c r="AG34" s="27"/>
      <c r="AJ34" s="24"/>
      <c r="AK34" s="25"/>
      <c r="AL34" s="28"/>
      <c r="AM34" s="29"/>
      <c r="AN34" s="29"/>
      <c r="AO34" s="30"/>
      <c r="AP34" s="27"/>
      <c r="AQ34" s="448"/>
      <c r="AR34" s="24" t="str">
        <f>"JYBS9"&amp;$AR$1&amp;" Curncy"</f>
        <v>JYBS9 MTRT Curncy</v>
      </c>
      <c r="AS34" s="25" t="s">
        <v>364</v>
      </c>
      <c r="AW34" s="6">
        <f ca="1">IF(AR34="","",IF(StaticData.Today=TODAY(),_xll.BDP(AR34,"LAST_PRICE"),_xll.BDH(AR34,"LAST_PRICE",StaticData.Today,StaticData.Today)))</f>
        <v>-53.125</v>
      </c>
      <c r="AX34" s="446">
        <f t="shared" ca="1" si="11"/>
        <v>-5.3125000000000004E-3</v>
      </c>
    </row>
    <row r="35" spans="7:50" x14ac:dyDescent="0.25">
      <c r="G35" s="24" t="str">
        <f>"JYBSL1F"&amp;$G$1&amp;" Curncy"</f>
        <v>JYBSL1F MTRT Curncy</v>
      </c>
      <c r="H35" s="25" t="s">
        <v>501</v>
      </c>
      <c r="I35" s="26">
        <f ca="1">IF(G35="","",IF(StaticData.Today=TODAY(),_xll.BDP(G35,"LAST_PRICE"),_xll.BDH(G35,"LAST_PRICE",StaticData.Today,StaticData.Today)))</f>
        <v>2.625</v>
      </c>
      <c r="J35" s="27">
        <f t="shared" ca="1" si="12"/>
        <v>2.6249999999999998E-4</v>
      </c>
      <c r="L35" s="24"/>
      <c r="M35" s="25"/>
      <c r="N35" s="28"/>
      <c r="O35" s="185"/>
      <c r="P35" s="185"/>
      <c r="Q35" s="30"/>
      <c r="R35" s="27"/>
      <c r="T35" s="24"/>
      <c r="U35" s="25"/>
      <c r="V35" s="26"/>
      <c r="W35" s="27"/>
      <c r="Y35" s="24"/>
      <c r="Z35" s="25"/>
      <c r="AA35" s="26" t="str">
        <f ca="1">IF(Y35="","",IF(StaticData.Today=TODAY(),_xll.BDP(Y35,"LAST_PRICE"),_xll.BDH(Y35,"LAST_PRICE",StaticData.Today,StaticData.Today)))</f>
        <v/>
      </c>
      <c r="AB35" s="27"/>
      <c r="AD35" s="24"/>
      <c r="AE35" s="25"/>
      <c r="AF35" s="26" t="str">
        <f ca="1">IF(AD35="","",IF(StaticData.Today=TODAY(),_xll.BDP(AD35,"LAST_PRICE"),_xll.BDH(AD35,"LAST_PRICE",StaticData.Today,StaticData.Today)))</f>
        <v/>
      </c>
      <c r="AG35" s="27"/>
      <c r="AJ35" s="24"/>
      <c r="AK35" s="25"/>
      <c r="AL35" s="28"/>
      <c r="AM35" s="29"/>
      <c r="AN35" s="29"/>
      <c r="AO35" s="30"/>
      <c r="AP35" s="27"/>
      <c r="AQ35" s="448"/>
      <c r="AR35" s="24" t="str">
        <f>"JYBS10"&amp;$AR$1&amp;" Curncy"</f>
        <v>JYBS10 MTRT Curncy</v>
      </c>
      <c r="AS35" s="25" t="s">
        <v>349</v>
      </c>
      <c r="AW35" s="6">
        <f ca="1">IF(AR35="","",IF(StaticData.Today=TODAY(),_xll.BDP(AR35,"LAST_PRICE"),_xll.BDH(AR35,"LAST_PRICE",StaticData.Today,StaticData.Today)))</f>
        <v>-54</v>
      </c>
      <c r="AX35" s="446">
        <f t="shared" ca="1" si="11"/>
        <v>-5.4000000000000003E-3</v>
      </c>
    </row>
    <row r="36" spans="7:50" x14ac:dyDescent="0.25">
      <c r="G36" s="24" t="str">
        <f>"JYBSL2"&amp;$G$1&amp;" Curncy"</f>
        <v>JYBSL2 MTRT Curncy</v>
      </c>
      <c r="H36" s="25" t="s">
        <v>308</v>
      </c>
      <c r="I36" s="26">
        <f ca="1">IF(G36="","",IF(StaticData.Today=TODAY(),_xll.BDP(G36,"LAST_PRICE"),_xll.BDH(G36,"LAST_PRICE",StaticData.Today,StaticData.Today)))</f>
        <v>3.625</v>
      </c>
      <c r="J36" s="27">
        <f t="shared" ca="1" si="12"/>
        <v>3.6249999999999998E-4</v>
      </c>
      <c r="K36" s="37"/>
      <c r="L36" s="24"/>
      <c r="M36" s="25"/>
      <c r="N36" s="28"/>
      <c r="O36" s="185"/>
      <c r="P36" s="185"/>
      <c r="Q36" s="30"/>
      <c r="R36" s="27"/>
      <c r="T36" s="24"/>
      <c r="U36" s="25"/>
      <c r="V36" s="26"/>
      <c r="W36" s="27"/>
      <c r="Y36" s="24"/>
      <c r="Z36" s="25"/>
      <c r="AA36" s="26" t="str">
        <f ca="1">IF(Y36="","",IF(StaticData.Today=TODAY(),_xll.BDP(Y36,"LAST_PRICE"),_xll.BDH(Y36,"LAST_PRICE",StaticData.Today,StaticData.Today)))</f>
        <v/>
      </c>
      <c r="AB36" s="27"/>
      <c r="AD36" s="24"/>
      <c r="AE36" s="25"/>
      <c r="AF36" s="26" t="str">
        <f ca="1">IF(AD36="","",IF(StaticData.Today=TODAY(),_xll.BDP(AD36,"LAST_PRICE"),_xll.BDH(AD36,"LAST_PRICE",StaticData.Today,StaticData.Today)))</f>
        <v/>
      </c>
      <c r="AG36" s="27"/>
      <c r="AJ36" s="24"/>
      <c r="AK36" s="25"/>
      <c r="AL36" s="28"/>
      <c r="AM36" s="29"/>
      <c r="AN36" s="29"/>
      <c r="AO36" s="30"/>
      <c r="AP36" s="27"/>
      <c r="AQ36" s="448"/>
      <c r="AR36" s="24" t="str">
        <f>"JYBS12"&amp;$AR$1&amp;" Curncy"</f>
        <v>JYBS12 MTRT Curncy</v>
      </c>
      <c r="AS36" s="25" t="s">
        <v>358</v>
      </c>
      <c r="AW36" s="6">
        <f ca="1">IF(AR36="","",IF(StaticData.Today=TODAY(),_xll.BDP(AR36,"LAST_PRICE"),_xll.BDH(AR36,"LAST_PRICE",StaticData.Today,StaticData.Today)))</f>
        <v>-55.25</v>
      </c>
      <c r="AX36" s="446">
        <f t="shared" ca="1" si="11"/>
        <v>-5.5250000000000004E-3</v>
      </c>
    </row>
    <row r="37" spans="7:50" x14ac:dyDescent="0.25">
      <c r="G37" s="24" t="str">
        <f>"JYBSL3"&amp;$G$1&amp;" Curncy"</f>
        <v>JYBSL3 MTRT Curncy</v>
      </c>
      <c r="H37" s="25" t="s">
        <v>316</v>
      </c>
      <c r="I37" s="26">
        <f ca="1">IF(G37="","",IF(StaticData.Today=TODAY(),_xll.BDP(G37,"LAST_PRICE"),_xll.BDH(G37,"LAST_PRICE",StaticData.Today,StaticData.Today)))</f>
        <v>4.375</v>
      </c>
      <c r="J37" s="27">
        <f t="shared" ca="1" si="12"/>
        <v>4.3750000000000001E-4</v>
      </c>
      <c r="K37" s="37"/>
      <c r="L37" s="24"/>
      <c r="M37" s="25"/>
      <c r="N37" s="28"/>
      <c r="O37" s="29"/>
      <c r="P37" s="29"/>
      <c r="Q37" s="30"/>
      <c r="R37" s="27"/>
      <c r="T37" s="24"/>
      <c r="U37" s="25"/>
      <c r="V37" s="26"/>
      <c r="W37" s="27"/>
      <c r="Y37" s="24"/>
      <c r="Z37" s="25"/>
      <c r="AA37" s="26" t="str">
        <f ca="1">IF(Y37="","",IF(StaticData.Today=TODAY(),_xll.BDP(Y37,"LAST_PRICE"),_xll.BDH(Y37,"LAST_PRICE",StaticData.Today,StaticData.Today)))</f>
        <v/>
      </c>
      <c r="AB37" s="27"/>
      <c r="AD37" s="24"/>
      <c r="AE37" s="25"/>
      <c r="AF37" s="26" t="str">
        <f ca="1">IF(AD37="","",IF(StaticData.Today=TODAY(),_xll.BDP(AD37,"LAST_PRICE"),_xll.BDH(AD37,"LAST_PRICE",StaticData.Today,StaticData.Today)))</f>
        <v/>
      </c>
      <c r="AG37" s="27"/>
      <c r="AJ37" s="24"/>
      <c r="AK37" s="25"/>
      <c r="AL37" s="28"/>
      <c r="AM37" s="29"/>
      <c r="AN37" s="29"/>
      <c r="AO37" s="30"/>
      <c r="AP37" s="27"/>
      <c r="AQ37" s="448"/>
      <c r="AR37" s="24" t="str">
        <f>"JYBS15"&amp;$AR$1&amp;" Curncy"</f>
        <v>JYBS15 MTRT Curncy</v>
      </c>
      <c r="AS37" s="25" t="s">
        <v>367</v>
      </c>
      <c r="AW37" s="6">
        <f ca="1">IF(AR37="","",IF(StaticData.Today=TODAY(),_xll.BDP(AR37,"LAST_PRICE"),_xll.BDH(AR37,"LAST_PRICE",StaticData.Today,StaticData.Today)))</f>
        <v>-55.5</v>
      </c>
      <c r="AX37" s="446">
        <f t="shared" ca="1" si="11"/>
        <v>-5.5500000000000002E-3</v>
      </c>
    </row>
    <row r="38" spans="7:50" x14ac:dyDescent="0.25">
      <c r="G38" s="24" t="str">
        <f>"JYBSL4"&amp;$G$1&amp;" Curncy"</f>
        <v>JYBSL4 MTRT Curncy</v>
      </c>
      <c r="H38" s="25" t="s">
        <v>324</v>
      </c>
      <c r="I38" s="26">
        <f ca="1">IF(G38="","",IF(StaticData.Today=TODAY(),_xll.BDP(G38,"LAST_PRICE"),_xll.BDH(G38,"LAST_PRICE",StaticData.Today,StaticData.Today)))</f>
        <v>4.875</v>
      </c>
      <c r="J38" s="27">
        <f t="shared" ca="1" si="12"/>
        <v>4.8749999999999998E-4</v>
      </c>
      <c r="L38" s="24"/>
      <c r="M38" s="25"/>
      <c r="N38" s="28"/>
      <c r="O38" s="29"/>
      <c r="P38" s="29"/>
      <c r="Q38" s="30"/>
      <c r="R38" s="27"/>
      <c r="T38" s="24"/>
      <c r="U38" s="25"/>
      <c r="V38" s="26"/>
      <c r="W38" s="27"/>
      <c r="Y38" s="24"/>
      <c r="Z38" s="25"/>
      <c r="AA38" s="26" t="str">
        <f ca="1">IF(Y38="","",IF(StaticData.Today=TODAY(),_xll.BDP(Y38,"LAST_PRICE"),_xll.BDH(Y38,"LAST_PRICE",StaticData.Today,StaticData.Today)))</f>
        <v/>
      </c>
      <c r="AB38" s="27"/>
      <c r="AD38" s="24"/>
      <c r="AE38" s="25"/>
      <c r="AF38" s="26" t="str">
        <f ca="1">IF(AD38="","",IF(StaticData.Today=TODAY(),_xll.BDP(AD38,"LAST_PRICE"),_xll.BDH(AD38,"LAST_PRICE",StaticData.Today,StaticData.Today)))</f>
        <v/>
      </c>
      <c r="AG38" s="27"/>
      <c r="AJ38" s="24"/>
      <c r="AK38" s="25"/>
      <c r="AL38" s="28"/>
      <c r="AM38" s="29"/>
      <c r="AN38" s="29"/>
      <c r="AO38" s="30"/>
      <c r="AP38" s="27"/>
      <c r="AQ38" s="448"/>
      <c r="AR38" s="24" t="str">
        <f>"JYBS20"&amp;$AR$1&amp;" Curncy"</f>
        <v>JYBS20 MTRT Curncy</v>
      </c>
      <c r="AS38" s="25" t="s">
        <v>374</v>
      </c>
      <c r="AW38" s="6">
        <f ca="1">IF(AR38="","",IF(StaticData.Today=TODAY(),_xll.BDP(AR38,"LAST_PRICE"),_xll.BDH(AR38,"LAST_PRICE",StaticData.Today,StaticData.Today)))</f>
        <v>-55.25</v>
      </c>
      <c r="AX38" s="446">
        <f t="shared" ca="1" si="11"/>
        <v>-5.5250000000000004E-3</v>
      </c>
    </row>
    <row r="39" spans="7:50" x14ac:dyDescent="0.25">
      <c r="G39" s="24" t="str">
        <f>"JYBSL5"&amp;$G$1&amp;" Curncy"</f>
        <v>JYBSL5 MTRT Curncy</v>
      </c>
      <c r="H39" s="25" t="s">
        <v>331</v>
      </c>
      <c r="I39" s="26">
        <f ca="1">IF(G39="","",IF(StaticData.Today=TODAY(),_xll.BDP(G39,"LAST_PRICE"),_xll.BDH(G39,"LAST_PRICE",StaticData.Today,StaticData.Today)))</f>
        <v>5.25</v>
      </c>
      <c r="J39" s="27">
        <f t="shared" ca="1" si="12"/>
        <v>5.2499999999999997E-4</v>
      </c>
      <c r="L39" s="24"/>
      <c r="M39" s="25"/>
      <c r="N39" s="28"/>
      <c r="O39" s="29"/>
      <c r="P39" s="29"/>
      <c r="Q39" s="30"/>
      <c r="R39" s="27"/>
      <c r="T39" s="24"/>
      <c r="U39" s="25"/>
      <c r="V39" s="26" t="str">
        <f ca="1">IF(T39="","",IF(StaticData.Today=TODAY(),_xll.BDP(T39,"LAST_PRICE"),_xll.BDH(T39,"LAST_PRICE",StaticData.Today,StaticData.Today)))</f>
        <v/>
      </c>
      <c r="W39" s="27"/>
      <c r="Y39" s="24"/>
      <c r="Z39" s="25"/>
      <c r="AA39" s="26" t="str">
        <f ca="1">IF(Y39="","",IF(StaticData.Today=TODAY(),_xll.BDP(Y39,"LAST_PRICE"),_xll.BDH(Y39,"LAST_PRICE",StaticData.Today,StaticData.Today)))</f>
        <v/>
      </c>
      <c r="AB39" s="27"/>
      <c r="AD39" s="24"/>
      <c r="AE39" s="25"/>
      <c r="AF39" s="26" t="str">
        <f ca="1">IF(AD39="","",IF(StaticData.Today=TODAY(),_xll.BDP(AD39,"LAST_PRICE"),_xll.BDH(AD39,"LAST_PRICE",StaticData.Today,StaticData.Today)))</f>
        <v/>
      </c>
      <c r="AG39" s="27"/>
      <c r="AJ39" s="24"/>
      <c r="AK39" s="25"/>
      <c r="AL39" s="28"/>
      <c r="AM39" s="29"/>
      <c r="AN39" s="29"/>
      <c r="AO39" s="30" t="str">
        <f ca="1">IF(AJ39="","",IF(StaticData.Today=TODAY(),_xll.BDP(AJ39,"LAST_PRICE"),_xll.BDH(AJ39,"LAST_PRICE",StaticData.Today,StaticData.Today)))</f>
        <v/>
      </c>
      <c r="AP39" s="27"/>
      <c r="AQ39" s="448"/>
      <c r="AR39" s="24" t="str">
        <f>"JYBS25"&amp;$AR$1&amp;" Curncy"</f>
        <v>JYBS25 MTRT Curncy</v>
      </c>
      <c r="AS39" s="25" t="s">
        <v>382</v>
      </c>
      <c r="AW39" s="6">
        <f ca="1">IF(AR39="","",IF(StaticData.Today=TODAY(),_xll.BDP(AR39,"LAST_PRICE"),_xll.BDH(AR39,"LAST_PRICE",StaticData.Today,StaticData.Today)))</f>
        <v>-55.125</v>
      </c>
      <c r="AX39" s="446">
        <f t="shared" ca="1" si="11"/>
        <v>-5.5125E-3</v>
      </c>
    </row>
    <row r="40" spans="7:50" x14ac:dyDescent="0.25">
      <c r="G40" s="24" t="str">
        <f>"JYBSL6"&amp;$G$1&amp;" Curncy"</f>
        <v>JYBSL6 MTRT Curncy</v>
      </c>
      <c r="H40" s="25" t="s">
        <v>339</v>
      </c>
      <c r="I40" s="26">
        <f ca="1">IF(G40="","",IF(StaticData.Today=TODAY(),_xll.BDP(G40,"LAST_PRICE"),_xll.BDH(G40,"LAST_PRICE",StaticData.Today,StaticData.Today)))</f>
        <v>5.25</v>
      </c>
      <c r="J40" s="27">
        <f t="shared" ca="1" si="12"/>
        <v>5.2499999999999997E-4</v>
      </c>
      <c r="L40" s="24"/>
      <c r="M40" s="25"/>
      <c r="N40" s="28"/>
      <c r="O40" s="29"/>
      <c r="P40" s="29"/>
      <c r="Q40" s="30"/>
      <c r="R40" s="27"/>
      <c r="T40" s="24"/>
      <c r="U40" s="25"/>
      <c r="V40" s="26" t="str">
        <f ca="1">IF(T40="","",IF(StaticData.Today=TODAY(),_xll.BDP(T40,"LAST_PRICE"),_xll.BDH(T40,"LAST_PRICE",StaticData.Today,StaticData.Today)))</f>
        <v/>
      </c>
      <c r="W40" s="27"/>
      <c r="Y40" s="24"/>
      <c r="Z40" s="25"/>
      <c r="AA40" s="26" t="str">
        <f ca="1">IF(Y40="","",IF(StaticData.Today=TODAY(),_xll.BDP(Y40,"LAST_PRICE"),_xll.BDH(Y40,"LAST_PRICE",StaticData.Today,StaticData.Today)))</f>
        <v/>
      </c>
      <c r="AB40" s="27"/>
      <c r="AD40" s="24"/>
      <c r="AE40" s="25"/>
      <c r="AF40" s="26" t="str">
        <f ca="1">IF(AD40="","",IF(StaticData.Today=TODAY(),_xll.BDP(AD40,"LAST_PRICE"),_xll.BDH(AD40,"LAST_PRICE",StaticData.Today,StaticData.Today)))</f>
        <v/>
      </c>
      <c r="AG40" s="27"/>
      <c r="AJ40" s="24"/>
      <c r="AK40" s="25"/>
      <c r="AL40" s="28"/>
      <c r="AM40" s="29"/>
      <c r="AN40" s="29"/>
      <c r="AO40" s="30" t="str">
        <f ca="1">IF(AJ40="","",IF(StaticData.Today=TODAY(),_xll.BDP(AJ40,"LAST_PRICE"),_xll.BDH(AJ40,"LAST_PRICE",StaticData.Today,StaticData.Today)))</f>
        <v/>
      </c>
      <c r="AP40" s="27"/>
      <c r="AQ40" s="448"/>
      <c r="AR40" s="24" t="str">
        <f>"JYBS30"&amp;$AR$1&amp;" Curncy"</f>
        <v>JYBS30 MTRT Curncy</v>
      </c>
      <c r="AS40" s="25" t="s">
        <v>389</v>
      </c>
      <c r="AW40" s="6">
        <f ca="1">IF(AR40="","",IF(StaticData.Today=TODAY(),_xll.BDP(AR40,"LAST_PRICE"),_xll.BDH(AR40,"LAST_PRICE",StaticData.Today,StaticData.Today)))</f>
        <v>-55.125</v>
      </c>
      <c r="AX40" s="446">
        <f t="shared" ca="1" si="11"/>
        <v>-5.5125E-3</v>
      </c>
    </row>
    <row r="41" spans="7:50" x14ac:dyDescent="0.25">
      <c r="G41" s="24" t="str">
        <f>"JYBSL7"&amp;$G$1&amp;" Curncy"</f>
        <v>JYBSL7 MTRT Curncy</v>
      </c>
      <c r="H41" s="25" t="s">
        <v>342</v>
      </c>
      <c r="I41" s="26">
        <f ca="1">IF(G41="","",IF(StaticData.Today=TODAY(),_xll.BDP(G41,"LAST_PRICE"),_xll.BDH(G41,"LAST_PRICE",StaticData.Today,StaticData.Today)))</f>
        <v>5.375</v>
      </c>
      <c r="J41" s="27">
        <f t="shared" ca="1" si="12"/>
        <v>5.375E-4</v>
      </c>
      <c r="L41" s="24"/>
      <c r="M41" s="25"/>
      <c r="N41" s="28"/>
      <c r="O41" s="29"/>
      <c r="P41" s="29"/>
      <c r="Q41" s="30"/>
      <c r="R41" s="27"/>
      <c r="T41" s="24"/>
      <c r="U41" s="25"/>
      <c r="V41" s="26" t="str">
        <f ca="1">IF(T41="","",IF(StaticData.Today=TODAY(),_xll.BDP(T41,"LAST_PRICE"),_xll.BDH(T41,"LAST_PRICE",StaticData.Today,StaticData.Today)))</f>
        <v/>
      </c>
      <c r="W41" s="27"/>
      <c r="Y41" s="24"/>
      <c r="Z41" s="25"/>
      <c r="AA41" s="26" t="str">
        <f ca="1">IF(Y41="","",IF(StaticData.Today=TODAY(),_xll.BDP(Y41,"LAST_PRICE"),_xll.BDH(Y41,"LAST_PRICE",StaticData.Today,StaticData.Today)))</f>
        <v/>
      </c>
      <c r="AB41" s="27"/>
      <c r="AD41" s="24"/>
      <c r="AE41" s="25"/>
      <c r="AF41" s="26" t="str">
        <f ca="1">IF(AD41="","",IF(StaticData.Today=TODAY(),_xll.BDP(AD41,"LAST_PRICE"),_xll.BDH(AD41,"LAST_PRICE",StaticData.Today,StaticData.Today)))</f>
        <v/>
      </c>
      <c r="AG41" s="27"/>
      <c r="AJ41" s="24"/>
      <c r="AK41" s="25"/>
      <c r="AL41" s="28"/>
      <c r="AM41" s="29"/>
      <c r="AN41" s="29"/>
      <c r="AO41" s="30" t="str">
        <f ca="1">IF(AJ41="","",IF(StaticData.Today=TODAY(),_xll.BDP(AJ41,"LAST_PRICE"),_xll.BDH(AJ41,"LAST_PRICE",StaticData.Today,StaticData.Today)))</f>
        <v/>
      </c>
      <c r="AP41" s="27"/>
      <c r="AQ41" s="448"/>
    </row>
    <row r="42" spans="7:50" x14ac:dyDescent="0.25">
      <c r="G42" s="24" t="str">
        <f>"JYBSL8"&amp;$G$1&amp;" Curncy"</f>
        <v>JYBSL8 MTRT Curncy</v>
      </c>
      <c r="H42" s="25" t="s">
        <v>355</v>
      </c>
      <c r="I42" s="26">
        <f ca="1">IF(G42="","",IF(StaticData.Today=TODAY(),_xll.BDP(G42,"LAST_PRICE"),_xll.BDH(G42,"LAST_PRICE",StaticData.Today,StaticData.Today)))</f>
        <v>5.5</v>
      </c>
      <c r="J42" s="27">
        <f t="shared" ca="1" si="12"/>
        <v>5.5000000000000003E-4</v>
      </c>
      <c r="L42" s="24"/>
      <c r="M42" s="25"/>
      <c r="N42" s="28"/>
      <c r="O42" s="29"/>
      <c r="P42" s="29"/>
      <c r="Q42" s="30"/>
      <c r="R42" s="27"/>
      <c r="T42" s="24"/>
      <c r="U42" s="25"/>
      <c r="V42" s="26" t="str">
        <f ca="1">IF(T42="","",IF(StaticData.Today=TODAY(),_xll.BDP(T42,"LAST_PRICE"),_xll.BDH(T42,"LAST_PRICE",StaticData.Today,StaticData.Today)))</f>
        <v/>
      </c>
      <c r="W42" s="27"/>
      <c r="Y42" s="24"/>
      <c r="Z42" s="25"/>
      <c r="AA42" s="26" t="str">
        <f ca="1">IF(Y42="","",IF(StaticData.Today=TODAY(),_xll.BDP(Y42,"LAST_PRICE"),_xll.BDH(Y42,"LAST_PRICE",StaticData.Today,StaticData.Today)))</f>
        <v/>
      </c>
      <c r="AB42" s="27"/>
      <c r="AD42" s="24"/>
      <c r="AE42" s="25"/>
      <c r="AF42" s="26" t="str">
        <f ca="1">IF(AD42="","",IF(StaticData.Today=TODAY(),_xll.BDP(AD42,"LAST_PRICE"),_xll.BDH(AD42,"LAST_PRICE",StaticData.Today,StaticData.Today)))</f>
        <v/>
      </c>
      <c r="AG42" s="27"/>
      <c r="AJ42" s="24"/>
      <c r="AK42" s="25"/>
      <c r="AL42" s="28"/>
      <c r="AM42" s="29"/>
      <c r="AN42" s="29"/>
      <c r="AO42" s="30" t="str">
        <f ca="1">IF(AJ42="","",IF(StaticData.Today=TODAY(),_xll.BDP(AJ42,"LAST_PRICE"),_xll.BDH(AJ42,"LAST_PRICE",StaticData.Today,StaticData.Today)))</f>
        <v/>
      </c>
      <c r="AP42" s="27"/>
      <c r="AQ42" s="448"/>
    </row>
    <row r="43" spans="7:50" x14ac:dyDescent="0.25">
      <c r="G43" s="24" t="str">
        <f>"JYBSL9"&amp;$G$1&amp;" Curncy"</f>
        <v>JYBSL9 MTRT Curncy</v>
      </c>
      <c r="H43" s="25" t="s">
        <v>364</v>
      </c>
      <c r="I43" s="26">
        <f ca="1">IF(G43="","",IF(StaticData.Today=TODAY(),_xll.BDP(G43,"LAST_PRICE"),_xll.BDH(G43,"LAST_PRICE",StaticData.Today,StaticData.Today)))</f>
        <v>5.5</v>
      </c>
      <c r="J43" s="27">
        <f t="shared" ca="1" si="12"/>
        <v>5.5000000000000003E-4</v>
      </c>
      <c r="L43" s="24"/>
      <c r="M43" s="25"/>
      <c r="N43" s="28"/>
      <c r="O43" s="29"/>
      <c r="P43" s="29"/>
      <c r="Q43" s="30"/>
      <c r="R43" s="27"/>
      <c r="T43" s="24"/>
      <c r="U43" s="25"/>
      <c r="V43" s="26" t="str">
        <f ca="1">IF(T43="","",IF(StaticData.Today=TODAY(),_xll.BDP(T43,"LAST_PRICE"),_xll.BDH(T43,"LAST_PRICE",StaticData.Today,StaticData.Today)))</f>
        <v/>
      </c>
      <c r="W43" s="27"/>
      <c r="Y43" s="24"/>
      <c r="Z43" s="25"/>
      <c r="AA43" s="26" t="str">
        <f ca="1">IF(Y43="","",IF(StaticData.Today=TODAY(),_xll.BDP(Y43,"LAST_PRICE"),_xll.BDH(Y43,"LAST_PRICE",StaticData.Today,StaticData.Today)))</f>
        <v/>
      </c>
      <c r="AB43" s="27"/>
      <c r="AD43" s="24"/>
      <c r="AE43" s="25"/>
      <c r="AF43" s="26" t="str">
        <f ca="1">IF(AD43="","",IF(StaticData.Today=TODAY(),_xll.BDP(AD43,"LAST_PRICE"),_xll.BDH(AD43,"LAST_PRICE",StaticData.Today,StaticData.Today)))</f>
        <v/>
      </c>
      <c r="AG43" s="27"/>
      <c r="AJ43" s="24"/>
      <c r="AK43" s="25"/>
      <c r="AL43" s="28"/>
      <c r="AM43" s="29"/>
      <c r="AN43" s="29"/>
      <c r="AO43" s="30" t="str">
        <f ca="1">IF(AJ43="","",IF(StaticData.Today=TODAY(),_xll.BDP(AJ43,"LAST_PRICE"),_xll.BDH(AJ43,"LAST_PRICE",StaticData.Today,StaticData.Today)))</f>
        <v/>
      </c>
      <c r="AP43" s="27"/>
      <c r="AQ43" s="448"/>
    </row>
    <row r="44" spans="7:50" x14ac:dyDescent="0.25">
      <c r="G44" s="24" t="str">
        <f>"JYBSL10"&amp;$G$1&amp;" Curncy"</f>
        <v>JYBSL10 MTRT Curncy</v>
      </c>
      <c r="H44" s="25" t="s">
        <v>349</v>
      </c>
      <c r="I44" s="26">
        <f ca="1">IF(G44="","",IF(StaticData.Today=TODAY(),_xll.BDP(G44,"LAST_PRICE"),_xll.BDH(G44,"LAST_PRICE",StaticData.Today,StaticData.Today)))</f>
        <v>5.5</v>
      </c>
      <c r="J44" s="27">
        <f t="shared" ca="1" si="12"/>
        <v>5.5000000000000003E-4</v>
      </c>
      <c r="L44" s="24"/>
      <c r="M44" s="25"/>
      <c r="N44" s="28"/>
      <c r="O44" s="29"/>
      <c r="P44" s="29"/>
      <c r="Q44" s="30"/>
      <c r="R44" s="27"/>
      <c r="T44" s="24"/>
      <c r="U44" s="25"/>
      <c r="V44" s="26" t="str">
        <f ca="1">IF(T44="","",IF(StaticData.Today=TODAY(),_xll.BDP(T44,"LAST_PRICE"),_xll.BDH(T44,"LAST_PRICE",StaticData.Today,StaticData.Today)))</f>
        <v/>
      </c>
      <c r="W44" s="27"/>
      <c r="Y44" s="24"/>
      <c r="Z44" s="25"/>
      <c r="AA44" s="26" t="str">
        <f ca="1">IF(Y44="","",IF(StaticData.Today=TODAY(),_xll.BDP(Y44,"LAST_PRICE"),_xll.BDH(Y44,"LAST_PRICE",StaticData.Today,StaticData.Today)))</f>
        <v/>
      </c>
      <c r="AB44" s="27"/>
      <c r="AD44" s="24"/>
      <c r="AE44" s="25"/>
      <c r="AF44" s="26" t="str">
        <f ca="1">IF(AD44="","",IF(StaticData.Today=TODAY(),_xll.BDP(AD44,"LAST_PRICE"),_xll.BDH(AD44,"LAST_PRICE",StaticData.Today,StaticData.Today)))</f>
        <v/>
      </c>
      <c r="AG44" s="27"/>
      <c r="AJ44" s="24"/>
      <c r="AK44" s="25"/>
      <c r="AL44" s="28"/>
      <c r="AM44" s="29"/>
      <c r="AN44" s="29"/>
      <c r="AO44" s="30" t="str">
        <f ca="1">IF(AJ44="","",IF(StaticData.Today=TODAY(),_xll.BDP(AJ44,"LAST_PRICE"),_xll.BDH(AJ44,"LAST_PRICE",StaticData.Today,StaticData.Today)))</f>
        <v/>
      </c>
      <c r="AP44" s="27"/>
      <c r="AQ44" s="448"/>
    </row>
    <row r="45" spans="7:50" x14ac:dyDescent="0.25">
      <c r="G45" s="24" t="str">
        <f>"JYBSL12"&amp;$G$1&amp;" Curncy"</f>
        <v>JYBSL12 MTRT Curncy</v>
      </c>
      <c r="H45" s="25" t="s">
        <v>358</v>
      </c>
      <c r="I45" s="26">
        <f ca="1">IF(G45="","",IF(StaticData.Today=TODAY(),_xll.BDP(G45,"LAST_PRICE"),_xll.BDH(G45,"LAST_PRICE",StaticData.Today,StaticData.Today)))</f>
        <v>5.375</v>
      </c>
      <c r="J45" s="27">
        <f t="shared" ca="1" si="12"/>
        <v>5.375E-4</v>
      </c>
      <c r="L45" s="24"/>
      <c r="M45" s="25"/>
      <c r="N45" s="28"/>
      <c r="O45" s="29"/>
      <c r="P45" s="29"/>
      <c r="Q45" s="30"/>
      <c r="R45" s="27"/>
      <c r="T45" s="24"/>
      <c r="U45" s="25"/>
      <c r="V45" s="26" t="str">
        <f ca="1">IF(T45="","",IF(StaticData.Today=TODAY(),_xll.BDP(T45,"LAST_PRICE"),_xll.BDH(T45,"LAST_PRICE",StaticData.Today,StaticData.Today)))</f>
        <v/>
      </c>
      <c r="W45" s="27"/>
      <c r="Y45" s="24"/>
      <c r="Z45" s="25"/>
      <c r="AA45" s="26" t="str">
        <f ca="1">IF(Y45="","",IF(StaticData.Today=TODAY(),_xll.BDP(Y45,"LAST_PRICE"),_xll.BDH(Y45,"LAST_PRICE",StaticData.Today,StaticData.Today)))</f>
        <v/>
      </c>
      <c r="AB45" s="27"/>
      <c r="AD45" s="24"/>
      <c r="AE45" s="25"/>
      <c r="AF45" s="26" t="str">
        <f ca="1">IF(AD45="","",IF(StaticData.Today=TODAY(),_xll.BDP(AD45,"LAST_PRICE"),_xll.BDH(AD45,"LAST_PRICE",StaticData.Today,StaticData.Today)))</f>
        <v/>
      </c>
      <c r="AG45" s="27"/>
      <c r="AJ45" s="24"/>
      <c r="AK45" s="25"/>
      <c r="AL45" s="28"/>
      <c r="AM45" s="29"/>
      <c r="AN45" s="29"/>
      <c r="AO45" s="30" t="str">
        <f ca="1">IF(AJ45="","",IF(StaticData.Today=TODAY(),_xll.BDP(AJ45,"LAST_PRICE"),_xll.BDH(AJ45,"LAST_PRICE",StaticData.Today,StaticData.Today)))</f>
        <v/>
      </c>
      <c r="AP45" s="27"/>
      <c r="AQ45" s="448"/>
    </row>
    <row r="46" spans="7:50" x14ac:dyDescent="0.25">
      <c r="G46" s="24" t="str">
        <f>"JYBSL15"&amp;$G$1&amp;" Curncy"</f>
        <v>JYBSL15 MTRT Curncy</v>
      </c>
      <c r="H46" s="25" t="s">
        <v>367</v>
      </c>
      <c r="I46" s="26">
        <f ca="1">IF(G46="","",IF(StaticData.Today=TODAY(),_xll.BDP(G46,"LAST_PRICE"),_xll.BDH(G46,"LAST_PRICE",StaticData.Today,StaticData.Today)))</f>
        <v>5.375</v>
      </c>
      <c r="J46" s="27">
        <f t="shared" ca="1" si="12"/>
        <v>5.375E-4</v>
      </c>
      <c r="L46" s="24"/>
      <c r="M46" s="25"/>
      <c r="N46" s="28"/>
      <c r="O46" s="29"/>
      <c r="P46" s="29"/>
      <c r="Q46" s="30"/>
      <c r="R46" s="27"/>
      <c r="T46" s="24"/>
      <c r="U46" s="25"/>
      <c r="V46" s="26" t="str">
        <f ca="1">IF(T46="","",IF(StaticData.Today=TODAY(),_xll.BDP(T46,"LAST_PRICE"),_xll.BDH(T46,"LAST_PRICE",StaticData.Today,StaticData.Today)))</f>
        <v/>
      </c>
      <c r="W46" s="27"/>
      <c r="Y46" s="24"/>
      <c r="Z46" s="25"/>
      <c r="AA46" s="26" t="str">
        <f ca="1">IF(Y46="","",IF(StaticData.Today=TODAY(),_xll.BDP(Y46,"LAST_PRICE"),_xll.BDH(Y46,"LAST_PRICE",StaticData.Today,StaticData.Today)))</f>
        <v/>
      </c>
      <c r="AB46" s="27"/>
      <c r="AD46" s="24"/>
      <c r="AE46" s="25"/>
      <c r="AF46" s="26" t="str">
        <f ca="1">IF(AD46="","",IF(StaticData.Today=TODAY(),_xll.BDP(AD46,"LAST_PRICE"),_xll.BDH(AD46,"LAST_PRICE",StaticData.Today,StaticData.Today)))</f>
        <v/>
      </c>
      <c r="AG46" s="27"/>
      <c r="AJ46" s="24"/>
      <c r="AK46" s="25"/>
      <c r="AL46" s="28"/>
      <c r="AM46" s="29"/>
      <c r="AN46" s="29"/>
      <c r="AO46" s="30" t="str">
        <f ca="1">IF(AJ46="","",IF(StaticData.Today=TODAY(),_xll.BDP(AJ46,"LAST_PRICE"),_xll.BDH(AJ46,"LAST_PRICE",StaticData.Today,StaticData.Today)))</f>
        <v/>
      </c>
      <c r="AP46" s="27"/>
      <c r="AQ46" s="448"/>
    </row>
    <row r="47" spans="7:50" x14ac:dyDescent="0.25">
      <c r="G47" s="24" t="str">
        <f>"JYBSL20"&amp;$G$1&amp;" Curncy"</f>
        <v>JYBSL20 MTRT Curncy</v>
      </c>
      <c r="H47" s="25" t="s">
        <v>374</v>
      </c>
      <c r="I47" s="26">
        <f ca="1">IF(G47="","",IF(StaticData.Today=TODAY(),_xll.BDP(G47,"LAST_PRICE"),_xll.BDH(G47,"LAST_PRICE",StaticData.Today,StaticData.Today)))</f>
        <v>5.125</v>
      </c>
      <c r="J47" s="27">
        <f t="shared" ca="1" si="12"/>
        <v>5.1250000000000004E-4</v>
      </c>
      <c r="L47" s="24"/>
      <c r="M47" s="25"/>
      <c r="N47" s="28"/>
      <c r="O47" s="29"/>
      <c r="P47" s="29"/>
      <c r="Q47" s="30"/>
      <c r="R47" s="27"/>
      <c r="T47" s="24"/>
      <c r="U47" s="25"/>
      <c r="V47" s="26" t="str">
        <f ca="1">IF(T47="","",IF(StaticData.Today=TODAY(),_xll.BDP(T47,"LAST_PRICE"),_xll.BDH(T47,"LAST_PRICE",StaticData.Today,StaticData.Today)))</f>
        <v/>
      </c>
      <c r="W47" s="27"/>
      <c r="Y47" s="24"/>
      <c r="Z47" s="25"/>
      <c r="AA47" s="26" t="str">
        <f ca="1">IF(Y47="","",IF(StaticData.Today=TODAY(),_xll.BDP(Y47,"LAST_PRICE"),_xll.BDH(Y47,"LAST_PRICE",StaticData.Today,StaticData.Today)))</f>
        <v/>
      </c>
      <c r="AB47" s="27"/>
      <c r="AD47" s="24"/>
      <c r="AE47" s="25"/>
      <c r="AF47" s="26" t="str">
        <f ca="1">IF(AD47="","",IF(StaticData.Today=TODAY(),_xll.BDP(AD47,"LAST_PRICE"),_xll.BDH(AD47,"LAST_PRICE",StaticData.Today,StaticData.Today)))</f>
        <v/>
      </c>
      <c r="AG47" s="27"/>
      <c r="AJ47" s="24"/>
      <c r="AK47" s="25"/>
      <c r="AL47" s="28"/>
      <c r="AM47" s="29"/>
      <c r="AN47" s="29"/>
      <c r="AO47" s="30" t="str">
        <f ca="1">IF(AJ47="","",IF(StaticData.Today=TODAY(),_xll.BDP(AJ47,"LAST_PRICE"),_xll.BDH(AJ47,"LAST_PRICE",StaticData.Today,StaticData.Today)))</f>
        <v/>
      </c>
      <c r="AP47" s="27"/>
      <c r="AQ47" s="448"/>
    </row>
    <row r="48" spans="7:50" x14ac:dyDescent="0.25">
      <c r="G48" s="24" t="str">
        <f>"JYBSL25"&amp;$G$1&amp;" Curncy"</f>
        <v>JYBSL25 MTRT Curncy</v>
      </c>
      <c r="H48" s="25" t="s">
        <v>382</v>
      </c>
      <c r="I48" s="26">
        <f ca="1">IF(G48="","",IF(StaticData.Today=TODAY(),_xll.BDP(G48,"LAST_PRICE"),_xll.BDH(G48,"LAST_PRICE",StaticData.Today,StaticData.Today)))</f>
        <v>4.875</v>
      </c>
      <c r="J48" s="27">
        <f t="shared" ca="1" si="12"/>
        <v>4.8749999999999998E-4</v>
      </c>
      <c r="L48" s="24"/>
      <c r="M48" s="25"/>
      <c r="N48" s="28"/>
      <c r="O48" s="29"/>
      <c r="P48" s="29"/>
      <c r="Q48" s="30"/>
      <c r="R48" s="27"/>
      <c r="T48" s="38"/>
      <c r="U48" s="39"/>
      <c r="V48" s="40" t="str">
        <f ca="1">IF(T48="","",IF(StaticData.Today=TODAY(),_xll.BDP(T48,"LAST_PRICE"),_xll.BDH(T48,"LAST_PRICE",StaticData.Today,StaticData.Today)))</f>
        <v/>
      </c>
      <c r="W48" s="41"/>
      <c r="Y48" s="38"/>
      <c r="Z48" s="39"/>
      <c r="AA48" s="40" t="str">
        <f ca="1">IF(Y48="","",IF(StaticData.Today=TODAY(),_xll.BDP(Y48,"LAST_PRICE"),_xll.BDH(Y48,"LAST_PRICE",StaticData.Today,StaticData.Today)))</f>
        <v/>
      </c>
      <c r="AB48" s="41"/>
      <c r="AD48" s="38"/>
      <c r="AE48" s="39"/>
      <c r="AF48" s="40" t="str">
        <f ca="1">IF(AD48="","",IF(StaticData.Today=TODAY(),_xll.BDP(AD48,"LAST_PRICE"),_xll.BDH(AD48,"LAST_PRICE",StaticData.Today,StaticData.Today)))</f>
        <v/>
      </c>
      <c r="AG48" s="41"/>
      <c r="AJ48" s="24"/>
      <c r="AK48" s="25"/>
      <c r="AL48" s="28"/>
      <c r="AM48" s="29"/>
      <c r="AN48" s="29"/>
      <c r="AO48" s="30" t="str">
        <f ca="1">IF(AJ48="","",IF(StaticData.Today=TODAY(),_xll.BDP(AJ48,"LAST_PRICE"),_xll.BDH(AJ48,"LAST_PRICE",StaticData.Today,StaticData.Today)))</f>
        <v/>
      </c>
      <c r="AP48" s="27"/>
      <c r="AQ48" s="448"/>
    </row>
    <row r="49" spans="7:43" x14ac:dyDescent="0.25">
      <c r="G49" s="24" t="str">
        <f>"JYBSL30"&amp;$G$1&amp;" Curncy"</f>
        <v>JYBSL30 MTRT Curncy</v>
      </c>
      <c r="H49" s="25" t="s">
        <v>389</v>
      </c>
      <c r="I49" s="26">
        <f ca="1">IF(G49="","",IF(StaticData.Today=TODAY(),_xll.BDP(G49,"LAST_PRICE"),_xll.BDH(G49,"LAST_PRICE",StaticData.Today,StaticData.Today)))</f>
        <v>4.75</v>
      </c>
      <c r="J49" s="27">
        <f t="shared" ca="1" si="12"/>
        <v>4.75E-4</v>
      </c>
      <c r="L49" s="24"/>
      <c r="M49" s="25"/>
      <c r="N49" s="28"/>
      <c r="O49" s="29"/>
      <c r="P49" s="29"/>
      <c r="Q49" s="30"/>
      <c r="R49" s="27"/>
      <c r="AJ49" s="38"/>
      <c r="AK49" s="39"/>
      <c r="AL49" s="42"/>
      <c r="AM49" s="43"/>
      <c r="AN49" s="43"/>
      <c r="AO49" s="44" t="str">
        <f ca="1">IF(AJ49="","",IF(StaticData.Today=TODAY(),_xll.BDP(AJ49,"LAST_PRICE"),_xll.BDH(AJ49,"LAST_PRICE",StaticData.Today,StaticData.Today)))</f>
        <v/>
      </c>
      <c r="AP49" s="41"/>
      <c r="AQ49" s="448"/>
    </row>
    <row r="50" spans="7:43" x14ac:dyDescent="0.25">
      <c r="G50" s="24" t="str">
        <f>"JYBSL35"&amp;$G$1&amp;" Curncy"</f>
        <v>JYBSL35 MTRT Curncy</v>
      </c>
      <c r="H50" s="25" t="s">
        <v>1107</v>
      </c>
      <c r="I50" s="26">
        <f ca="1">IF(G50="","",IF(StaticData.Today=TODAY(),_xll.BDP(G50,"LAST_PRICE"),_xll.BDH(G50,"LAST_PRICE",StaticData.Today,StaticData.Today)))</f>
        <v>4.75</v>
      </c>
      <c r="J50" s="27">
        <f t="shared" ca="1" si="12"/>
        <v>4.75E-4</v>
      </c>
      <c r="L50" s="38"/>
      <c r="M50" s="39"/>
      <c r="N50" s="42"/>
      <c r="O50" s="43"/>
      <c r="P50" s="43"/>
      <c r="Q50" s="44"/>
      <c r="R50" s="41"/>
    </row>
    <row r="51" spans="7:43" x14ac:dyDescent="0.25">
      <c r="G51" s="24" t="str">
        <f>"JYBSL40"&amp;$G$1&amp;" Curncy"</f>
        <v>JYBSL40 MTRT Curncy</v>
      </c>
      <c r="H51" s="25" t="s">
        <v>445</v>
      </c>
      <c r="I51" s="26">
        <f ca="1">IF(G51="","",IF(StaticData.Today=TODAY(),_xll.BDP(G51,"LAST_PRICE"),_xll.BDH(G51,"LAST_PRICE",StaticData.Today,StaticData.Today)))</f>
        <v>4.75</v>
      </c>
      <c r="J51" s="27">
        <f t="shared" ca="1" si="12"/>
        <v>4.75E-4</v>
      </c>
    </row>
    <row r="52" spans="7:43" x14ac:dyDescent="0.25">
      <c r="G52" s="24" t="str">
        <f>"JYSW1"&amp;$G$1&amp;" Curncy"</f>
        <v>JYSW1 MTRT Curncy</v>
      </c>
      <c r="H52" s="25" t="s">
        <v>47</v>
      </c>
      <c r="I52" s="26">
        <f ca="1">IF(G52="","",IF(StaticData.Today=TODAY(),_xll.BDP(G52,"LAST_PRICE"),_xll.BDH(G52,"LAST_PRICE",StaticData.Today,StaticData.Today)))</f>
        <v>-0.04</v>
      </c>
      <c r="J52" s="27">
        <f t="shared" ca="1" si="1"/>
        <v>-4.0000000000000002E-4</v>
      </c>
    </row>
    <row r="53" spans="7:43" x14ac:dyDescent="0.25">
      <c r="G53" s="24" t="str">
        <f>"JYSW1F"&amp;$G$1&amp;" Curncy"</f>
        <v>JYSW1F MTRT Curncy</v>
      </c>
      <c r="H53" s="25" t="s">
        <v>501</v>
      </c>
      <c r="I53" s="26">
        <f ca="1">IF(G53="","",IF(StaticData.Today=TODAY(),_xll.BDP(G53,"LAST_PRICE"),_xll.BDH(G53,"LAST_PRICE",StaticData.Today,StaticData.Today)))</f>
        <v>-4.1250000000000002E-2</v>
      </c>
      <c r="J53" s="27">
        <f t="shared" ca="1" si="1"/>
        <v>-4.125E-4</v>
      </c>
    </row>
    <row r="54" spans="7:43" x14ac:dyDescent="0.25">
      <c r="G54" s="24" t="str">
        <f>"JYSW2"&amp;$G$1&amp;" Curncy"</f>
        <v>JYSW2 MTRT Curncy</v>
      </c>
      <c r="H54" s="25" t="s">
        <v>308</v>
      </c>
      <c r="I54" s="26">
        <f ca="1">IF(G54="","",IF(StaticData.Today=TODAY(),_xll.BDP(G54,"LAST_PRICE"),_xll.BDH(G54,"LAST_PRICE",StaticData.Today,StaticData.Today)))</f>
        <v>-4.2500000000000003E-2</v>
      </c>
      <c r="J54" s="27">
        <f t="shared" ca="1" si="1"/>
        <v>-4.2500000000000003E-4</v>
      </c>
    </row>
    <row r="55" spans="7:43" x14ac:dyDescent="0.25">
      <c r="G55" s="24" t="str">
        <f>"JYSW3"&amp;$G$1&amp;" Curncy"</f>
        <v>JYSW3 MTRT Curncy</v>
      </c>
      <c r="H55" s="25" t="s">
        <v>316</v>
      </c>
      <c r="I55" s="26">
        <f ca="1">IF(G55="","",IF(StaticData.Today=TODAY(),_xll.BDP(G55,"LAST_PRICE"),_xll.BDH(G55,"LAST_PRICE",StaticData.Today,StaticData.Today)))</f>
        <v>-4.4999999999999998E-2</v>
      </c>
      <c r="J55" s="27">
        <f t="shared" ca="1" si="1"/>
        <v>-4.4999999999999999E-4</v>
      </c>
    </row>
    <row r="56" spans="7:43" x14ac:dyDescent="0.25">
      <c r="G56" s="24" t="str">
        <f>"JYSW4"&amp;$G$1&amp;" Curncy"</f>
        <v>JYSW4 MTRT Curncy</v>
      </c>
      <c r="H56" s="39" t="s">
        <v>324</v>
      </c>
      <c r="I56" s="26">
        <f ca="1">IF(G56="","",IF(StaticData.Today=TODAY(),_xll.BDP(G56,"LAST_PRICE"),_xll.BDH(G56,"LAST_PRICE",StaticData.Today,StaticData.Today)))</f>
        <v>-4.4999999999999998E-2</v>
      </c>
      <c r="J56" s="27">
        <f t="shared" ca="1" si="1"/>
        <v>-4.4999999999999999E-4</v>
      </c>
    </row>
    <row r="57" spans="7:43" x14ac:dyDescent="0.25">
      <c r="G57" s="24" t="str">
        <f>"JYSW5"&amp;$G$1&amp;" Curncy"</f>
        <v>JYSW5 MTRT Curncy</v>
      </c>
      <c r="H57" s="6" t="s">
        <v>331</v>
      </c>
      <c r="I57" s="26">
        <f ca="1">IF(G57="","",IF(StaticData.Today=TODAY(),_xll.BDP(G57,"LAST_PRICE"),_xll.BDH(G57,"LAST_PRICE",StaticData.Today,StaticData.Today)))</f>
        <v>-0.04</v>
      </c>
      <c r="J57" s="27">
        <f t="shared" ref="J57:J69" ca="1" si="13">I57/100</f>
        <v>-4.0000000000000002E-4</v>
      </c>
    </row>
    <row r="58" spans="7:43" x14ac:dyDescent="0.25">
      <c r="G58" s="24" t="str">
        <f>"JYSW6"&amp;$G$1&amp;" Curncy"</f>
        <v>JYSW6 MTRT Curncy</v>
      </c>
      <c r="H58" s="6" t="s">
        <v>339</v>
      </c>
      <c r="I58" s="26">
        <f ca="1">IF(G58="","",IF(StaticData.Today=TODAY(),_xll.BDP(G58,"LAST_PRICE"),_xll.BDH(G58,"LAST_PRICE",StaticData.Today,StaticData.Today)))</f>
        <v>-3.2500000000000001E-2</v>
      </c>
      <c r="J58" s="27">
        <f t="shared" ca="1" si="13"/>
        <v>-3.2499999999999999E-4</v>
      </c>
    </row>
    <row r="59" spans="7:43" x14ac:dyDescent="0.25">
      <c r="G59" s="24" t="str">
        <f>"JYSW7"&amp;$G$1&amp;" Curncy"</f>
        <v>JYSW7 MTRT Curncy</v>
      </c>
      <c r="H59" s="6" t="s">
        <v>342</v>
      </c>
      <c r="I59" s="26">
        <f ca="1">IF(G59="","",IF(StaticData.Today=TODAY(),_xll.BDP(G59,"LAST_PRICE"),_xll.BDH(G59,"LAST_PRICE",StaticData.Today,StaticData.Today)))</f>
        <v>-0.02</v>
      </c>
      <c r="J59" s="27">
        <f t="shared" ca="1" si="13"/>
        <v>-2.0000000000000001E-4</v>
      </c>
    </row>
    <row r="60" spans="7:43" x14ac:dyDescent="0.25">
      <c r="G60" s="24" t="str">
        <f>"JYSW8"&amp;$G$1&amp;" Curncy"</f>
        <v>JYSW8 MTRT Curncy</v>
      </c>
      <c r="H60" s="6" t="s">
        <v>355</v>
      </c>
      <c r="I60" s="26">
        <f ca="1">IF(G60="","",IF(StaticData.Today=TODAY(),_xll.BDP(G60,"LAST_PRICE"),_xll.BDH(G60,"LAST_PRICE",StaticData.Today,StaticData.Today)))</f>
        <v>-3.7499999999999999E-3</v>
      </c>
      <c r="J60" s="27">
        <f t="shared" ca="1" si="13"/>
        <v>-3.7499999999999997E-5</v>
      </c>
    </row>
    <row r="61" spans="7:43" x14ac:dyDescent="0.25">
      <c r="G61" s="24" t="str">
        <f>"JYSW9"&amp;$G$1&amp;" Curncy"</f>
        <v>JYSW9 MTRT Curncy</v>
      </c>
      <c r="H61" s="6" t="s">
        <v>364</v>
      </c>
      <c r="I61" s="26">
        <f ca="1">IF(G61="","",IF(StaticData.Today=TODAY(),_xll.BDP(G61,"LAST_PRICE"),_xll.BDH(G61,"LAST_PRICE",StaticData.Today,StaticData.Today)))</f>
        <v>1.6250000000000001E-2</v>
      </c>
      <c r="J61" s="27">
        <f t="shared" ca="1" si="13"/>
        <v>1.6249999999999999E-4</v>
      </c>
    </row>
    <row r="62" spans="7:43" x14ac:dyDescent="0.25">
      <c r="G62" s="24" t="str">
        <f>"JYSW10"&amp;$G$1&amp;" Curncy"</f>
        <v>JYSW10 MTRT Curncy</v>
      </c>
      <c r="H62" s="6" t="s">
        <v>349</v>
      </c>
      <c r="I62" s="26">
        <f ca="1">IF(G62="","",IF(StaticData.Today=TODAY(),_xll.BDP(G62,"LAST_PRICE"),_xll.BDH(G62,"LAST_PRICE",StaticData.Today,StaticData.Today)))</f>
        <v>3.7499999999999999E-2</v>
      </c>
      <c r="J62" s="27">
        <f t="shared" ca="1" si="13"/>
        <v>3.7500000000000001E-4</v>
      </c>
    </row>
    <row r="63" spans="7:43" x14ac:dyDescent="0.25">
      <c r="G63" s="24" t="str">
        <f>"JYSW12"&amp;$G$1&amp;" Curncy"</f>
        <v>JYSW12 MTRT Curncy</v>
      </c>
      <c r="H63" s="6" t="s">
        <v>358</v>
      </c>
      <c r="I63" s="26">
        <f ca="1">IF(G63="","",IF(StaticData.Today=TODAY(),_xll.BDP(G63,"LAST_PRICE"),_xll.BDH(G63,"LAST_PRICE",StaticData.Today,StaticData.Today)))</f>
        <v>8.3750000000000005E-2</v>
      </c>
      <c r="J63" s="27">
        <f t="shared" ca="1" si="13"/>
        <v>8.3750000000000003E-4</v>
      </c>
    </row>
    <row r="64" spans="7:43" x14ac:dyDescent="0.25">
      <c r="G64" s="24" t="str">
        <f>"JYSW15"&amp;$G$1&amp;" Curncy"</f>
        <v>JYSW15 MTRT Curncy</v>
      </c>
      <c r="H64" s="6" t="s">
        <v>367</v>
      </c>
      <c r="I64" s="26">
        <f ca="1">IF(G64="","",IF(StaticData.Today=TODAY(),_xll.BDP(G64,"LAST_PRICE"),_xll.BDH(G64,"LAST_PRICE",StaticData.Today,StaticData.Today)))</f>
        <v>0.15625</v>
      </c>
      <c r="J64" s="27">
        <f t="shared" ca="1" si="13"/>
        <v>1.5625000000000001E-3</v>
      </c>
    </row>
    <row r="65" spans="7:10" x14ac:dyDescent="0.25">
      <c r="G65" s="24" t="str">
        <f>"JYSW20"&amp;$G$1&amp;" Curncy"</f>
        <v>JYSW20 MTRT Curncy</v>
      </c>
      <c r="H65" s="6" t="s">
        <v>374</v>
      </c>
      <c r="I65" s="26">
        <f ca="1">IF(G65="","",IF(StaticData.Today=TODAY(),_xll.BDP(G65,"LAST_PRICE"),_xll.BDH(G65,"LAST_PRICE",StaticData.Today,StaticData.Today)))</f>
        <v>0.24875</v>
      </c>
      <c r="J65" s="27">
        <f t="shared" ca="1" si="13"/>
        <v>2.4875000000000001E-3</v>
      </c>
    </row>
    <row r="66" spans="7:10" x14ac:dyDescent="0.25">
      <c r="G66" s="24" t="str">
        <f>"JYSW25"&amp;$G$1&amp;" Curncy"</f>
        <v>JYSW25 MTRT Curncy</v>
      </c>
      <c r="H66" s="6" t="s">
        <v>382</v>
      </c>
      <c r="I66" s="26">
        <f ca="1">IF(G66="","",IF(StaticData.Today=TODAY(),_xll.BDP(G66,"LAST_PRICE"),_xll.BDH(G66,"LAST_PRICE",StaticData.Today,StaticData.Today)))</f>
        <v>0.30875000000000002</v>
      </c>
      <c r="J66" s="27">
        <f t="shared" ca="1" si="13"/>
        <v>3.0875000000000004E-3</v>
      </c>
    </row>
    <row r="67" spans="7:10" x14ac:dyDescent="0.25">
      <c r="G67" s="24" t="str">
        <f>"JYSW30"&amp;$G$1&amp;" Curncy"</f>
        <v>JYSW30 MTRT Curncy</v>
      </c>
      <c r="H67" s="6" t="s">
        <v>389</v>
      </c>
      <c r="I67" s="26">
        <f ca="1">IF(G67="","",IF(StaticData.Today=TODAY(),_xll.BDP(G67,"LAST_PRICE"),_xll.BDH(G67,"LAST_PRICE",StaticData.Today,StaticData.Today)))</f>
        <v>0.34875</v>
      </c>
      <c r="J67" s="27">
        <f t="shared" ca="1" si="13"/>
        <v>3.4875000000000001E-3</v>
      </c>
    </row>
    <row r="68" spans="7:10" x14ac:dyDescent="0.25">
      <c r="G68" s="24" t="str">
        <f>"JYSW35"&amp;$G$1&amp;" Curncy"</f>
        <v>JYSW35 MTRT Curncy</v>
      </c>
      <c r="H68" s="6" t="s">
        <v>1107</v>
      </c>
      <c r="I68" s="26">
        <f ca="1">IF(G68="","",IF(StaticData.Today=TODAY(),_xll.BDP(G68,"LAST_PRICE"),_xll.BDH(G68,"LAST_PRICE",StaticData.Today,StaticData.Today)))</f>
        <v>0.35875000000000001</v>
      </c>
      <c r="J68" s="27">
        <f t="shared" ca="1" si="13"/>
        <v>3.5875E-3</v>
      </c>
    </row>
    <row r="69" spans="7:10" x14ac:dyDescent="0.25">
      <c r="G69" s="24" t="str">
        <f>"JYSW40"&amp;$G$1&amp;" Curncy"</f>
        <v>JYSW40 MTRT Curncy</v>
      </c>
      <c r="H69" s="6" t="s">
        <v>445</v>
      </c>
      <c r="I69" s="26">
        <f ca="1">IF(G69="","",IF(StaticData.Today=TODAY(),_xll.BDP(G69,"LAST_PRICE"),_xll.BDH(G69,"LAST_PRICE",StaticData.Today,StaticData.Today)))</f>
        <v>0.36375000000000002</v>
      </c>
      <c r="J69" s="27">
        <f t="shared" ca="1" si="13"/>
        <v>3.6375000000000001E-3</v>
      </c>
    </row>
    <row r="97" spans="27:27" x14ac:dyDescent="0.25">
      <c r="AA97" s="6" t="s">
        <v>505</v>
      </c>
    </row>
    <row r="98" spans="27:27" x14ac:dyDescent="0.25">
      <c r="AA98" s="6" t="s">
        <v>510</v>
      </c>
    </row>
    <row r="99" spans="27:27" x14ac:dyDescent="0.25">
      <c r="AA99" s="6" t="s">
        <v>529</v>
      </c>
    </row>
    <row r="100" spans="27:27" x14ac:dyDescent="0.25">
      <c r="AA100" s="6" t="s">
        <v>508</v>
      </c>
    </row>
  </sheetData>
  <dataValidations count="2">
    <dataValidation type="list" allowBlank="1" showInputMessage="1" showErrorMessage="1" sqref="T2 Y2">
      <formula1>$D$95:$D$98</formula1>
    </dataValidation>
    <dataValidation type="list" allowBlank="1" showInputMessage="1" showErrorMessage="1" sqref="T1 AJ1 AD1 Y1 L1">
      <formula1>$H$90:$H$93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'STATIC DATA'!$Q$97:$Q$100</xm:f>
          </x14:formula1>
          <xm:sqref>AJ2</xm:sqref>
        </x14:dataValidation>
        <x14:dataValidation type="list" allowBlank="1" showInputMessage="1" showErrorMessage="1">
          <x14:formula1>
            <xm:f>'STATIC DATA'!$D$97:$D$100</xm:f>
          </x14:formula1>
          <xm:sqref>L2</xm:sqref>
        </x14:dataValidation>
        <x14:dataValidation type="list" allowBlank="1" showInputMessage="1" showErrorMessage="1">
          <x14:formula1>
            <xm:f>'STATIC DATA'!$H$92:$H$95</xm:f>
          </x14:formula1>
          <xm:sqref>G1</xm:sqref>
        </x14:dataValidation>
        <x14:dataValidation type="list" allowBlank="1" showInputMessage="1" showErrorMessage="1">
          <x14:formula1>
            <xm:f>'STATIC DATA'!$H$97:$H$100</xm:f>
          </x14:formula1>
          <xm:sqref>AR1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7" tint="0.79998168889431442"/>
  </sheetPr>
  <dimension ref="A1:AZ50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22.28515625" style="6" bestFit="1" customWidth="1"/>
    <col min="24" max="24" width="12.7109375" style="6" customWidth="1"/>
    <col min="25" max="25" width="9.5703125" style="188" bestFit="1" customWidth="1"/>
    <col min="26" max="26" width="8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9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10.5703125" style="6" bestFit="1" customWidth="1"/>
    <col min="36" max="36" width="8.1406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147</v>
      </c>
      <c r="G1" s="6" t="s">
        <v>546</v>
      </c>
      <c r="O1" s="6" t="s">
        <v>586</v>
      </c>
      <c r="AT1" s="6" t="s">
        <v>586</v>
      </c>
    </row>
    <row r="2" spans="1:52" x14ac:dyDescent="0.25">
      <c r="G2" s="7"/>
      <c r="O2" s="6" t="s">
        <v>586</v>
      </c>
      <c r="W2" s="6" t="s">
        <v>586</v>
      </c>
      <c r="AB2" s="6" t="s">
        <v>586</v>
      </c>
      <c r="AG2" s="6" t="s">
        <v>586</v>
      </c>
      <c r="AL2" s="6" t="s">
        <v>587</v>
      </c>
      <c r="AT2" s="6" t="s">
        <v>588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585</v>
      </c>
      <c r="L3" s="8"/>
      <c r="O3" s="2" t="str">
        <f>$A$1&amp;"_3M"</f>
        <v>AED_3M</v>
      </c>
      <c r="T3" s="8" t="s">
        <v>282</v>
      </c>
      <c r="W3" s="2" t="str">
        <f>$A$1&amp;"_BASIS_6M"</f>
        <v>AED_BASIS_6M</v>
      </c>
      <c r="AB3" s="2" t="str">
        <f>$A$1&amp;"_BASIS_1M"</f>
        <v>AED_BASIS_1M</v>
      </c>
      <c r="AG3" s="2" t="str">
        <f>$A$1&amp;"USD_SPREAD"</f>
        <v>AEDUSD_SPREAD</v>
      </c>
      <c r="AL3" s="2" t="str">
        <f>'STATIC DATA'!$C$4&amp;'STATIC DATA'!$W$4&amp;"_BASIS"</f>
        <v>USDAED_BASIS</v>
      </c>
      <c r="AQ3" s="8" t="s">
        <v>282</v>
      </c>
      <c r="AT3" s="2" t="str">
        <f>$A$1&amp;"_"&amp;'STATIC DATA'!S67</f>
        <v>AED_USD_1D</v>
      </c>
      <c r="AY3" s="8" t="s">
        <v>282</v>
      </c>
    </row>
    <row r="4" spans="1:52" x14ac:dyDescent="0.25">
      <c r="B4" s="9" t="b">
        <f>SUM(C7:C17)=SUM(D7:D17)</f>
        <v>0</v>
      </c>
      <c r="E4" s="10">
        <f>SUM(E7:E17)</f>
        <v>2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DIEONIA</v>
      </c>
      <c r="C7" s="12">
        <f>COUNTA(G7:G19)</f>
        <v>0</v>
      </c>
      <c r="D7" s="12">
        <f>COUNT(L7:L19)</f>
        <v>0</v>
      </c>
      <c r="E7" s="13">
        <f t="shared" ref="E7:E12" si="0">C7-D7</f>
        <v>0</v>
      </c>
      <c r="G7" s="14"/>
      <c r="H7" s="15" t="s">
        <v>298</v>
      </c>
      <c r="I7" s="15"/>
      <c r="J7" s="186"/>
      <c r="K7" s="186"/>
      <c r="L7" s="16"/>
      <c r="M7" s="17"/>
      <c r="O7" s="24" t="s">
        <v>592</v>
      </c>
      <c r="P7" s="15" t="s">
        <v>298</v>
      </c>
      <c r="Q7" s="18"/>
      <c r="R7" s="19"/>
      <c r="S7" s="19"/>
      <c r="T7" s="30">
        <f>IF(O7="","",IF(StaticData.Today=TODAY(),_xll.BDP(O7,"LAST_PRICE"),_xll.BDH(O7,"LAST_PRICE",StaticData.Today,StaticData.Today)))</f>
        <v>0.1225</v>
      </c>
      <c r="U7" s="184">
        <f>T7/100</f>
        <v>1.225E-3</v>
      </c>
      <c r="W7" s="14" t="str">
        <f>"UDBS1"&amp;$W$2&amp;" Curncy"</f>
        <v>UDBS1 GMGM Curncy</v>
      </c>
      <c r="X7" s="15" t="s">
        <v>47</v>
      </c>
      <c r="Y7" s="190">
        <f>IF(W7="","",IF(StaticData.Today=TODAY(),_xll.BDP(W7,"LAST_PRICE"),_xll.BDH(W7,"LAST_PRICE",StaticData.Today,StaticData.Today)))</f>
        <v>14</v>
      </c>
      <c r="Z7" s="17">
        <f>Y7/10000</f>
        <v>1.4E-3</v>
      </c>
      <c r="AB7" s="14" t="str">
        <f>O7</f>
        <v>EIBOON Index</v>
      </c>
      <c r="AC7" s="15" t="s">
        <v>298</v>
      </c>
      <c r="AD7" s="16">
        <f>IF(AB7="","",IF(StaticData.Today=TODAY(),_xll.BDP(AB7,"LAST_PRICE"),_xll.BDH(AB7,"LAST_PRICE",StaticData.Today,StaticData.Today)))</f>
        <v>0.1225</v>
      </c>
      <c r="AE7" s="17">
        <f>AD7/10000</f>
        <v>1.225E-5</v>
      </c>
      <c r="AG7" s="14" t="str">
        <f>"UDSSUS1"&amp;$AG$2&amp;" Curncy"</f>
        <v>UDSSUS1 GMGM Curncy</v>
      </c>
      <c r="AH7" s="15" t="s">
        <v>47</v>
      </c>
      <c r="AI7" s="198">
        <f>IF(AG7="","",IF(StaticData.Today=TODAY(),_xll.BDP(AG7,"LAST_PRICE"),_xll.BDH(AG7,"LAST_PRICE",StaticData.Today,StaticData.Today)))</f>
        <v>33</v>
      </c>
      <c r="AJ7" s="17">
        <f>AI7/10000</f>
        <v>3.3E-3</v>
      </c>
      <c r="AL7" s="14" t="str">
        <f>"UDUSSW1"&amp;$AL$2&amp;" Curncy"</f>
        <v>UDUSSW1 GFID Curncy</v>
      </c>
      <c r="AM7" s="15" t="s">
        <v>47</v>
      </c>
      <c r="AN7" s="18"/>
      <c r="AO7" s="19">
        <f>IF(AL7="","",IF(StaticData.Today=TODAY(),_xll.BDP(AL7,"BID"),_xll.BDH(AL7,"BID",StaticData.Today,StaticData.Today)))</f>
        <v>-31.37</v>
      </c>
      <c r="AP7" s="19">
        <f>IF(AL7="","",IF(StaticData.Today=TODAY(),_xll.BDP(AL7,"ASK"),_xll.BDH(AL7,"ASK",StaticData.Today,StaticData.Today)))</f>
        <v>-25.37</v>
      </c>
      <c r="AQ7" s="179">
        <f>IF(AL7="","",IF(StaticData.Today=TODAY(),_xll.BDP(AL7,"PX_LAST"),_xll.BDH(AL7,"PX_LAST",StaticData.Today,StaticData.Today)))</f>
        <v>-28.491</v>
      </c>
      <c r="AR7" s="180">
        <f t="shared" ref="AR7:AR12" si="1">AQ7</f>
        <v>-28.491</v>
      </c>
      <c r="AT7" s="8" t="s">
        <v>948</v>
      </c>
      <c r="AU7" s="8"/>
      <c r="AV7" s="8"/>
      <c r="AW7" s="196">
        <f>IF(AT7="","",IF(StaticData.Today=TODAY(),_xll.BDP(AT7,"BID"),_xll.BDH(AT7,"BID",StaticData.Today,StaticData.Today)))</f>
        <v>3.6728999999999998</v>
      </c>
      <c r="AX7" s="196">
        <f>IF(AT7="","",IF(StaticData.Today=TODAY(),_xll.BDP(AT7,"ASK"),_xll.BDH(AT7,"ASK",StaticData.Today,StaticData.Today)))</f>
        <v>3.673</v>
      </c>
      <c r="AY7" s="8"/>
      <c r="AZ7" s="8"/>
    </row>
    <row r="8" spans="1:52" x14ac:dyDescent="0.25">
      <c r="B8" s="21" t="str">
        <f>O3</f>
        <v>AED_3M</v>
      </c>
      <c r="C8" s="22">
        <f>COUNTA(O7:O48)</f>
        <v>18</v>
      </c>
      <c r="D8" s="22">
        <f>COUNT(T7:T48)</f>
        <v>18</v>
      </c>
      <c r="E8" s="23">
        <f t="shared" si="0"/>
        <v>0</v>
      </c>
      <c r="G8" s="24"/>
      <c r="H8" s="25" t="s">
        <v>305</v>
      </c>
      <c r="I8" s="25"/>
      <c r="J8" s="187"/>
      <c r="K8" s="187"/>
      <c r="L8" s="26"/>
      <c r="M8" s="27"/>
      <c r="O8" s="24" t="s">
        <v>589</v>
      </c>
      <c r="P8" s="25" t="s">
        <v>300</v>
      </c>
      <c r="Q8" s="28"/>
      <c r="R8" s="29"/>
      <c r="S8" s="29"/>
      <c r="T8" s="30">
        <f>IF(O8="","",IF(StaticData.Today=TODAY(),_xll.BDP(O8,"LAST_PRICE"),_xll.BDH(O8,"LAST_PRICE",StaticData.Today,StaticData.Today)))</f>
        <v>0.27517999999999998</v>
      </c>
      <c r="U8" s="183">
        <f>T8/100</f>
        <v>2.7518E-3</v>
      </c>
      <c r="W8" s="24" t="str">
        <f>"UDBS2"&amp;$W$2&amp;" Curncy"</f>
        <v>UDBS2 GMGM Curncy</v>
      </c>
      <c r="X8" s="25" t="s">
        <v>308</v>
      </c>
      <c r="Y8" s="191">
        <f>IF(W8="","",IF(StaticData.Today=TODAY(),_xll.BDP(W8,"LAST_PRICE"),_xll.BDH(W8,"LAST_PRICE",StaticData.Today,StaticData.Today)))</f>
        <v>14</v>
      </c>
      <c r="Z8" s="17">
        <f t="shared" ref="Z8:Z13" si="2">Y8/10000</f>
        <v>1.4E-3</v>
      </c>
      <c r="AB8" s="24" t="str">
        <f>O8</f>
        <v>EIBO1M Index</v>
      </c>
      <c r="AC8" s="25" t="s">
        <v>300</v>
      </c>
      <c r="AD8" s="26">
        <f>T8</f>
        <v>0.27517999999999998</v>
      </c>
      <c r="AE8" s="17">
        <f>U8</f>
        <v>2.7518E-3</v>
      </c>
      <c r="AG8" s="24" t="str">
        <f>"UDSSUS2"&amp;$AG$2&amp;" Curncy"</f>
        <v>UDSSUS2 GMGM Curncy</v>
      </c>
      <c r="AH8" s="25" t="s">
        <v>308</v>
      </c>
      <c r="AI8" s="199">
        <f>IF(AG8="","",IF(StaticData.Today=TODAY(),_xll.BDP(AG8,"LAST_PRICE"),_xll.BDH(AG8,"LAST_PRICE",StaticData.Today,StaticData.Today)))</f>
        <v>47</v>
      </c>
      <c r="AJ8" s="17">
        <f t="shared" ref="AJ8:AJ13" si="3">AI8/10000</f>
        <v>4.7000000000000002E-3</v>
      </c>
      <c r="AL8" s="24" t="str">
        <f>"UDUSSW2"&amp;$AL$2&amp;" Curncy"</f>
        <v>UDUSSW2 GFID Curncy</v>
      </c>
      <c r="AM8" s="25" t="s">
        <v>308</v>
      </c>
      <c r="AN8" s="28"/>
      <c r="AO8" s="29">
        <f>IF(AL8="","",IF(StaticData.Today=TODAY(),_xll.BDP(AL8,"BID"),_xll.BDH(AL8,"BID",StaticData.Today,StaticData.Today)))</f>
        <v>-33.749000000000002</v>
      </c>
      <c r="AP8" s="29">
        <f>IF(AL8="","",IF(StaticData.Today=TODAY(),_xll.BDP(AL8,"ASK"),_xll.BDH(AL8,"ASK",StaticData.Today,StaticData.Today)))</f>
        <v>-25.248999999999999</v>
      </c>
      <c r="AQ8" s="177">
        <f>IF(AL8="","",IF(StaticData.Today=TODAY(),_xll.BDP(AL8,"PX_LAST"),_xll.BDH(AL8,"PX_LAST",StaticData.Today,StaticData.Today)))</f>
        <v>-29.463999999999999</v>
      </c>
      <c r="AR8" s="181">
        <f t="shared" si="1"/>
        <v>-29.463999999999999</v>
      </c>
      <c r="AT8" s="24" t="str">
        <f>"AED"&amp;AU8&amp;$AT$1&amp;" Curncy"</f>
        <v>AEDON GMGM Curncy</v>
      </c>
      <c r="AU8" s="15" t="s">
        <v>298</v>
      </c>
      <c r="AV8" s="18"/>
      <c r="AW8" s="196">
        <f>IF(AT8="","",IF(StaticData.Today=TODAY(),_xll.BDP(AT8,"BID"),_xll.BDH(AT8,"BID",StaticData.Today,StaticData.Today)))</f>
        <v>-0.2</v>
      </c>
      <c r="AX8" s="196">
        <f>IF(AT8="","",IF(StaticData.Today=TODAY(),_xll.BDP(AT8,"ASK"),_xll.BDH(AT8,"ASK",StaticData.Today,StaticData.Today)))</f>
        <v>0.2</v>
      </c>
      <c r="AY8" s="197">
        <f>IF(AT8="","",IF(StaticData.Today=TODAY(),_xll.BDP(AT8,"PX_LAST"),_xll.BDH(AT8,"PX_LAST",StaticData.Today,StaticData.Today)))</f>
        <v>0</v>
      </c>
      <c r="AZ8" s="180">
        <f t="shared" ref="AZ8:AZ13" si="4">AY8</f>
        <v>0</v>
      </c>
    </row>
    <row r="9" spans="1:52" x14ac:dyDescent="0.25">
      <c r="B9" s="21" t="s">
        <v>511</v>
      </c>
      <c r="C9" s="22">
        <f>COUNTA(O11:O18)*2</f>
        <v>16</v>
      </c>
      <c r="D9" s="22">
        <f>COUNT(R11:S18)</f>
        <v>14</v>
      </c>
      <c r="E9" s="23">
        <f t="shared" si="0"/>
        <v>2</v>
      </c>
      <c r="G9" s="24"/>
      <c r="H9" s="25" t="s">
        <v>313</v>
      </c>
      <c r="I9" s="25"/>
      <c r="J9" s="187"/>
      <c r="K9" s="187"/>
      <c r="L9" s="26"/>
      <c r="M9" s="27"/>
      <c r="O9" s="24" t="s">
        <v>590</v>
      </c>
      <c r="P9" s="25" t="s">
        <v>49</v>
      </c>
      <c r="Q9" s="28"/>
      <c r="R9" s="29"/>
      <c r="S9" s="29"/>
      <c r="T9" s="30">
        <f>IF(O9="","",IF(StaticData.Today=TODAY(),_xll.BDP(O9,"LAST_PRICE"),_xll.BDH(O9,"LAST_PRICE",StaticData.Today,StaticData.Today)))</f>
        <v>0.36249999999999999</v>
      </c>
      <c r="U9" s="183">
        <f>T9/100</f>
        <v>3.6249999999999998E-3</v>
      </c>
      <c r="W9" s="24" t="str">
        <f>"UDBS3"&amp;$W$2&amp;" Curncy"</f>
        <v>UDBS3 GMGM Curncy</v>
      </c>
      <c r="X9" s="25" t="s">
        <v>316</v>
      </c>
      <c r="Y9" s="191">
        <f>IF(W9="","",IF(StaticData.Today=TODAY(),_xll.BDP(W9,"LAST_PRICE"),_xll.BDH(W9,"LAST_PRICE",StaticData.Today,StaticData.Today)))</f>
        <v>14</v>
      </c>
      <c r="Z9" s="17">
        <f t="shared" si="2"/>
        <v>1.4E-3</v>
      </c>
      <c r="AB9" s="24" t="str">
        <f>"UDBSV1"&amp;$AB$2&amp;" Curncy"</f>
        <v>UDBSV1 GMGM Curncy</v>
      </c>
      <c r="AC9" s="25" t="s">
        <v>47</v>
      </c>
      <c r="AD9" s="26">
        <f>IF(AB9="","",IF(StaticData.Today=TODAY(),_xll.BDP(AB9,"LAST_PRICE"),_xll.BDH(AB9,"LAST_PRICE",StaticData.Today,StaticData.Today)))</f>
        <v>15</v>
      </c>
      <c r="AE9" s="17">
        <f t="shared" ref="AE9" si="5">AD9/10000</f>
        <v>1.5E-3</v>
      </c>
      <c r="AG9" s="24" t="str">
        <f>"UDSSUS3"&amp;$AG$2&amp;" Curncy"</f>
        <v>UDSSUS3 GMGM Curncy</v>
      </c>
      <c r="AH9" s="25" t="s">
        <v>316</v>
      </c>
      <c r="AI9" s="199">
        <f>IF(AG9="","",IF(StaticData.Today=TODAY(),_xll.BDP(AG9,"LAST_PRICE"),_xll.BDH(AG9,"LAST_PRICE",StaticData.Today,StaticData.Today)))</f>
        <v>65</v>
      </c>
      <c r="AJ9" s="17">
        <f t="shared" si="3"/>
        <v>6.4999999999999997E-3</v>
      </c>
      <c r="AL9" s="24" t="str">
        <f>"UDUSSW3"&amp;$AL$2&amp;" Curncy"</f>
        <v>UDUSSW3 GFID Curncy</v>
      </c>
      <c r="AM9" s="25" t="s">
        <v>316</v>
      </c>
      <c r="AN9" s="28"/>
      <c r="AO9" s="29">
        <f>IF(AL9="","",IF(StaticData.Today=TODAY(),_xll.BDP(AL9,"BID"),_xll.BDH(AL9,"BID",StaticData.Today,StaticData.Today)))</f>
        <v>-42.860999999999997</v>
      </c>
      <c r="AP9" s="29">
        <f>IF(AL9="","",IF(StaticData.Today=TODAY(),_xll.BDP(AL9,"ASK"),_xll.BDH(AL9,"ASK",StaticData.Today,StaticData.Today)))</f>
        <v>-33.860999999999997</v>
      </c>
      <c r="AQ9" s="177">
        <f>IF(AL9="","",IF(StaticData.Today=TODAY(),_xll.BDP(AL9,"PX_LAST"),_xll.BDH(AL9,"PX_LAST",StaticData.Today,StaticData.Today)))</f>
        <v>-38.383000000000003</v>
      </c>
      <c r="AR9" s="181">
        <f t="shared" si="1"/>
        <v>-38.383000000000003</v>
      </c>
      <c r="AT9" s="24" t="str">
        <f>"AED"&amp;AU9&amp;$AT$1&amp;" Curncy"</f>
        <v>AEDTN GMGM Curncy</v>
      </c>
      <c r="AU9" s="25" t="s">
        <v>506</v>
      </c>
      <c r="AV9" s="28"/>
      <c r="AW9" s="196">
        <f>IF(AT9="","",IF(StaticData.Today=TODAY(),_xll.BDP(AT9,"BID"),_xll.BDH(AT9,"BID",StaticData.Today,StaticData.Today)))</f>
        <v>-0.5</v>
      </c>
      <c r="AX9" s="196">
        <f>IF(AT9="","",IF(StaticData.Today=TODAY(),_xll.BDP(AT9,"ASK"),_xll.BDH(AT9,"ASK",StaticData.Today,StaticData.Today)))</f>
        <v>-0.1</v>
      </c>
      <c r="AY9" s="196">
        <f>IF(AT9="","",IF(StaticData.Today=TODAY(),_xll.BDP(AT9,"PX_LAST"),_xll.BDH(AT9,"PX_LAST",StaticData.Today,StaticData.Today)))</f>
        <v>-0.3</v>
      </c>
      <c r="AZ9" s="181">
        <f t="shared" si="4"/>
        <v>-0.3</v>
      </c>
    </row>
    <row r="10" spans="1:52" x14ac:dyDescent="0.25">
      <c r="B10" s="21" t="s">
        <v>283</v>
      </c>
      <c r="C10" s="22">
        <f>COUNTA(W7:W48)</f>
        <v>7</v>
      </c>
      <c r="D10" s="22">
        <f>COUNT(Y7:Y48)</f>
        <v>7</v>
      </c>
      <c r="E10" s="23">
        <f t="shared" si="0"/>
        <v>0</v>
      </c>
      <c r="G10" s="24"/>
      <c r="H10" s="25" t="s">
        <v>300</v>
      </c>
      <c r="I10" s="25"/>
      <c r="J10" s="187"/>
      <c r="K10" s="187"/>
      <c r="L10" s="26"/>
      <c r="M10" s="27"/>
      <c r="O10" s="24" t="s">
        <v>591</v>
      </c>
      <c r="P10" s="25" t="s">
        <v>46</v>
      </c>
      <c r="Q10" s="28"/>
      <c r="R10" s="29"/>
      <c r="S10" s="29"/>
      <c r="T10" s="30">
        <f>IF(O10="","",IF(StaticData.Today=TODAY(),_xll.BDP(O10,"LAST_PRICE"),_xll.BDH(O10,"LAST_PRICE",StaticData.Today,StaticData.Today)))</f>
        <v>0.67693999999999999</v>
      </c>
      <c r="U10" s="183">
        <f>T10/100</f>
        <v>6.7694000000000001E-3</v>
      </c>
      <c r="W10" s="24" t="str">
        <f>"UDBS4"&amp;$W$2&amp;" Curncy"</f>
        <v>UDBS4 GMGM Curncy</v>
      </c>
      <c r="X10" s="25" t="s">
        <v>324</v>
      </c>
      <c r="Y10" s="191">
        <f>IF(W10="","",IF(StaticData.Today=TODAY(),_xll.BDP(W10,"LAST_PRICE"),_xll.BDH(W10,"LAST_PRICE",StaticData.Today,StaticData.Today)))</f>
        <v>14</v>
      </c>
      <c r="Z10" s="17">
        <f t="shared" si="2"/>
        <v>1.4E-3</v>
      </c>
      <c r="AB10" s="24" t="str">
        <f>"UDBSV2"&amp;$AB$2&amp;" Curncy"</f>
        <v>UDBSV2 GMGM Curncy</v>
      </c>
      <c r="AC10" s="25" t="s">
        <v>308</v>
      </c>
      <c r="AD10" s="26">
        <f>IF(AB10="","",IF(StaticData.Today=TODAY(),_xll.BDP(AB10,"LAST_PRICE"),_xll.BDH(AB10,"LAST_PRICE",StaticData.Today,StaticData.Today)))</f>
        <v>16</v>
      </c>
      <c r="AE10" s="17">
        <f t="shared" ref="AE10:AE15" si="6">AD10/10000</f>
        <v>1.6000000000000001E-3</v>
      </c>
      <c r="AG10" s="24" t="str">
        <f>"UDSSUS4"&amp;$AG$2&amp;" Curncy"</f>
        <v>UDSSUS4 GMGM Curncy</v>
      </c>
      <c r="AH10" s="25" t="s">
        <v>324</v>
      </c>
      <c r="AI10" s="199">
        <f>IF(AG10="","",IF(StaticData.Today=TODAY(),_xll.BDP(AG10,"LAST_PRICE"),_xll.BDH(AG10,"LAST_PRICE",StaticData.Today,StaticData.Today)))</f>
        <v>76</v>
      </c>
      <c r="AJ10" s="17">
        <f t="shared" si="3"/>
        <v>7.6E-3</v>
      </c>
      <c r="AL10" s="24" t="str">
        <f>"UDUSSW4"&amp;$AL$2&amp;" Curncy"</f>
        <v>UDUSSW4 GFID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-51.616999999999997</v>
      </c>
      <c r="AP10" s="29">
        <f>IF(AL10="","",IF(StaticData.Today=TODAY(),_xll.BDP(AL10,"ASK"),_xll.BDH(AL10,"ASK",StaticData.Today,StaticData.Today)))</f>
        <v>-41.616999999999997</v>
      </c>
      <c r="AQ10" s="177">
        <f>IF(AL10="","",IF(StaticData.Today=TODAY(),_xll.BDP(AL10,"PX_LAST"),_xll.BDH(AL10,"PX_LAST",StaticData.Today,StaticData.Today)))</f>
        <v>-46.673999999999999</v>
      </c>
      <c r="AR10" s="181">
        <f t="shared" si="1"/>
        <v>-46.673999999999999</v>
      </c>
      <c r="AT10" s="24" t="str">
        <f>"AED"&amp;AU10&amp;$AT$1&amp;" Curncy"</f>
        <v>AED1W GMGM Curncy</v>
      </c>
      <c r="AU10" s="25" t="s">
        <v>305</v>
      </c>
      <c r="AV10" s="28"/>
      <c r="AW10" s="196">
        <f>IF(AT10="","",IF(StaticData.Today=TODAY(),_xll.BDP(AT10,"BID"),_xll.BDH(AT10,"BID",StaticData.Today,StaticData.Today)))</f>
        <v>-0.25</v>
      </c>
      <c r="AX10" s="196">
        <f>IF(AT10="","",IF(StaticData.Today=TODAY(),_xll.BDP(AT10,"ASK"),_xll.BDH(AT10,"ASK",StaticData.Today,StaticData.Today)))</f>
        <v>0.75</v>
      </c>
      <c r="AY10" s="196">
        <f>IF(AT10="","",IF(StaticData.Today=TODAY(),_xll.BDP(AT10,"PX_LAST"),_xll.BDH(AT10,"PX_LAST",StaticData.Today,StaticData.Today)))</f>
        <v>0.25</v>
      </c>
      <c r="AZ10" s="181">
        <f t="shared" si="4"/>
        <v>0.25</v>
      </c>
    </row>
    <row r="11" spans="1:52" x14ac:dyDescent="0.25">
      <c r="B11" s="21" t="s">
        <v>284</v>
      </c>
      <c r="C11" s="22">
        <f>COUNTA(AB7:AB50)</f>
        <v>9</v>
      </c>
      <c r="D11" s="22">
        <f>COUNT(AD7:AD50)</f>
        <v>9</v>
      </c>
      <c r="E11" s="23">
        <f t="shared" si="0"/>
        <v>0</v>
      </c>
      <c r="G11" s="24"/>
      <c r="H11" s="25" t="s">
        <v>335</v>
      </c>
      <c r="I11" s="25"/>
      <c r="J11" s="187"/>
      <c r="K11" s="187"/>
      <c r="L11" s="26"/>
      <c r="M11" s="27"/>
      <c r="O11" s="24" t="s">
        <v>593</v>
      </c>
      <c r="P11" s="25" t="s">
        <v>322</v>
      </c>
      <c r="Q11" s="31"/>
      <c r="R11" s="182"/>
      <c r="S11" s="182"/>
      <c r="T11" s="30">
        <f>IF(O11="","",IF(StaticData.Today=TODAY(),_xll.BDP(O11,"LAST_PRICE"),_xll.BDH(O11,"LAST_PRICE",StaticData.Today,StaticData.Today)))</f>
        <v>0.81537000000000004</v>
      </c>
      <c r="U11" s="183">
        <f>T11/100</f>
        <v>8.1536999999999998E-3</v>
      </c>
      <c r="W11" s="24" t="str">
        <f>"UDBS5"&amp;$W$2&amp;" Curncy"</f>
        <v>UDBS5 GMGM Curncy</v>
      </c>
      <c r="X11" s="25" t="s">
        <v>331</v>
      </c>
      <c r="Y11" s="191">
        <f>IF(W11="","",IF(StaticData.Today=TODAY(),_xll.BDP(W11,"LAST_PRICE"),_xll.BDH(W11,"LAST_PRICE",StaticData.Today,StaticData.Today)))</f>
        <v>16</v>
      </c>
      <c r="Z11" s="17">
        <f t="shared" si="2"/>
        <v>1.6000000000000001E-3</v>
      </c>
      <c r="AB11" s="24" t="str">
        <f>"UDBSV3"&amp;$AB$2&amp;" Curncy"</f>
        <v>UDBSV3 GMGM Curncy</v>
      </c>
      <c r="AC11" s="25" t="s">
        <v>316</v>
      </c>
      <c r="AD11" s="26">
        <f>IF(AB11="","",IF(StaticData.Today=TODAY(),_xll.BDP(AB11,"LAST_PRICE"),_xll.BDH(AB11,"LAST_PRICE",StaticData.Today,StaticData.Today)))</f>
        <v>17</v>
      </c>
      <c r="AE11" s="17">
        <f t="shared" si="6"/>
        <v>1.6999999999999999E-3</v>
      </c>
      <c r="AG11" s="24" t="str">
        <f>"UDSSUS5"&amp;$AG$2&amp;" Curncy"</f>
        <v>UDSSUS5 GMGM Curncy</v>
      </c>
      <c r="AH11" s="25" t="s">
        <v>331</v>
      </c>
      <c r="AI11" s="199">
        <f>IF(AG11="","",IF(StaticData.Today=TODAY(),_xll.BDP(AG11,"LAST_PRICE"),_xll.BDH(AG11,"LAST_PRICE",StaticData.Today,StaticData.Today)))</f>
        <v>86</v>
      </c>
      <c r="AJ11" s="17">
        <f t="shared" si="3"/>
        <v>8.6E-3</v>
      </c>
      <c r="AL11" s="24" t="str">
        <f>"UDUSSW5"&amp;$AL$2&amp;" Curncy"</f>
        <v>UDUSSW5 GFID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-57.726999999999997</v>
      </c>
      <c r="AP11" s="29">
        <f>IF(AL11="","",IF(StaticData.Today=TODAY(),_xll.BDP(AL11,"ASK"),_xll.BDH(AL11,"ASK",StaticData.Today,StaticData.Today)))</f>
        <v>-48.226999999999997</v>
      </c>
      <c r="AQ11" s="177">
        <f>IF(AL11="","",IF(StaticData.Today=TODAY(),_xll.BDP(AL11,"LAST_PRICE"),_xll.BDH(AL11,"LAST_PRICE",StaticData.Today,StaticData.Today)))</f>
        <v>-52.976999999999997</v>
      </c>
      <c r="AR11" s="181">
        <f t="shared" si="1"/>
        <v>-52.976999999999997</v>
      </c>
      <c r="AT11" s="24" t="str">
        <f t="shared" ref="AT11:AT20" si="7">"AED"&amp;AU11&amp;$AT$1&amp;" Curncy"</f>
        <v>AED1M GMGM Curncy</v>
      </c>
      <c r="AU11" s="25" t="s">
        <v>300</v>
      </c>
      <c r="AV11" s="28"/>
      <c r="AW11" s="196">
        <f>IF(AT11="","",IF(StaticData.Today=TODAY(),_xll.BDP(AT11,"BID"),_xll.BDH(AT11,"BID",StaticData.Today,StaticData.Today)))</f>
        <v>-1</v>
      </c>
      <c r="AX11" s="196">
        <f>IF(AT11="","",IF(StaticData.Today=TODAY(),_xll.BDP(AT11,"ASK"),_xll.BDH(AT11,"ASK",StaticData.Today,StaticData.Today)))</f>
        <v>3</v>
      </c>
      <c r="AY11" s="196">
        <f>IF(AT11="","",IF(StaticData.Today=TODAY(),_xll.BDP(AT11,"PX_LAST"),_xll.BDH(AT11,"PX_LAST",StaticData.Today,StaticData.Today)))</f>
        <v>1</v>
      </c>
      <c r="AZ11" s="181">
        <f t="shared" si="4"/>
        <v>1</v>
      </c>
    </row>
    <row r="12" spans="1:52" x14ac:dyDescent="0.25">
      <c r="B12" s="21" t="s">
        <v>285</v>
      </c>
      <c r="C12" s="22">
        <f>COUNTA(AG7:AG48)</f>
        <v>7</v>
      </c>
      <c r="D12" s="22">
        <f>COUNT(AI7:AI48)</f>
        <v>7</v>
      </c>
      <c r="E12" s="23">
        <f t="shared" si="0"/>
        <v>0</v>
      </c>
      <c r="G12" s="24"/>
      <c r="H12" s="25" t="s">
        <v>49</v>
      </c>
      <c r="I12" s="25"/>
      <c r="J12" s="187"/>
      <c r="K12" s="187"/>
      <c r="L12" s="26"/>
      <c r="M12" s="27"/>
      <c r="O12" s="24" t="str">
        <f>"UDFR0AD"&amp;$O$1&amp;" Curncy"</f>
        <v>UDFR0AD GMGM Curncy</v>
      </c>
      <c r="P12" s="25" t="s">
        <v>565</v>
      </c>
      <c r="Q12" s="31" t="s">
        <v>494</v>
      </c>
      <c r="R12" s="182">
        <f>IF(O12="","",IF(StaticData.Today=TODAY(),_xll.BDP(O12,"BID"),_xll.BDH(O12,"BID",StaticData.Today,StaticData.Today)))</f>
        <v>0.38</v>
      </c>
      <c r="S12" s="182">
        <f>IF(O12="","",IF(StaticData.Today=TODAY(),_xll.BDP(O12,"ASK"),_xll.BDH(O12,"ASK",StaticData.Today,StaticData.Today)))</f>
        <v>0.46</v>
      </c>
      <c r="T12" s="30">
        <f>IF(O12="","",IF(StaticData.Today=TODAY(),_xll.BDP(O12,"LAST_PRICE"),_xll.BDH(O12,"LAST_PRICE",StaticData.Today,StaticData.Today)))</f>
        <v>0.42</v>
      </c>
      <c r="U12" s="183">
        <f t="shared" ref="U12:U24" si="8">T12/100</f>
        <v>4.1999999999999997E-3</v>
      </c>
      <c r="W12" s="24" t="str">
        <f>"UDBS7"&amp;$W$2&amp;" Curncy"</f>
        <v>UDBS7 GMGM Curncy</v>
      </c>
      <c r="X12" s="25" t="s">
        <v>342</v>
      </c>
      <c r="Y12" s="191">
        <f>IF(W12="","",IF(StaticData.Today=TODAY(),_xll.BDP(W12,"LAST_PRICE"),_xll.BDH(W12,"LAST_PRICE",StaticData.Today,StaticData.Today)))</f>
        <v>16</v>
      </c>
      <c r="Z12" s="17">
        <f t="shared" si="2"/>
        <v>1.6000000000000001E-3</v>
      </c>
      <c r="AB12" s="24" t="str">
        <f>"UDBSV4"&amp;$AB$2&amp;" Curncy"</f>
        <v>UDBSV4 GMGM Curncy</v>
      </c>
      <c r="AC12" s="25" t="s">
        <v>324</v>
      </c>
      <c r="AD12" s="26">
        <f>IF(AB12="","",IF(StaticData.Today=TODAY(),_xll.BDP(AB12,"LAST_PRICE"),_xll.BDH(AB12,"LAST_PRICE",StaticData.Today,StaticData.Today)))</f>
        <v>18</v>
      </c>
      <c r="AE12" s="17">
        <f t="shared" si="6"/>
        <v>1.8E-3</v>
      </c>
      <c r="AG12" s="24" t="str">
        <f>"UDSSUS7"&amp;$AG$2&amp;" Curncy"</f>
        <v>UDSSUS7 GMGM Curncy</v>
      </c>
      <c r="AH12" s="25" t="s">
        <v>342</v>
      </c>
      <c r="AI12" s="199">
        <f>IF(AG12="","",IF(StaticData.Today=TODAY(),_xll.BDP(AG12,"LAST_PRICE"),_xll.BDH(AG12,"LAST_PRICE",StaticData.Today,StaticData.Today)))</f>
        <v>98</v>
      </c>
      <c r="AJ12" s="17">
        <f t="shared" si="3"/>
        <v>9.7999999999999997E-3</v>
      </c>
      <c r="AL12" s="24" t="str">
        <f>"UDUSSW7"&amp;$AL$2&amp;" Curncy"</f>
        <v>UDUSSW7 GFID Curncy</v>
      </c>
      <c r="AM12" s="25" t="s">
        <v>342</v>
      </c>
      <c r="AN12" s="31"/>
      <c r="AO12" s="29">
        <f>IF(AL12="","",IF(StaticData.Today=TODAY(),_xll.BDP(AL12,"BID"),_xll.BDH(AL12,"BID",StaticData.Today,StaticData.Today)))</f>
        <v>-67.498999999999995</v>
      </c>
      <c r="AP12" s="29">
        <f>IF(AL12="","",IF(StaticData.Today=TODAY(),_xll.BDP(AL12,"ASK"),_xll.BDH(AL12,"ASK",StaticData.Today,StaticData.Today)))</f>
        <v>-55.999000000000002</v>
      </c>
      <c r="AQ12" s="177">
        <f>IF(AL12="","",IF(StaticData.Today=TODAY(),_xll.BDP(AL12,"LAST_PRICE"),_xll.BDH(AL12,"LAST_PRICE",StaticData.Today,StaticData.Today)))</f>
        <v>-61.749000000000002</v>
      </c>
      <c r="AR12" s="181">
        <f t="shared" si="1"/>
        <v>-61.749000000000002</v>
      </c>
      <c r="AT12" s="24" t="str">
        <f t="shared" si="7"/>
        <v>AED2M GMGM Curncy</v>
      </c>
      <c r="AU12" s="25" t="s">
        <v>335</v>
      </c>
      <c r="AV12" s="28"/>
      <c r="AW12" s="196">
        <f>IF(AT12="","",IF(StaticData.Today=TODAY(),_xll.BDP(AT12,"BID"),_xll.BDH(AT12,"BID",StaticData.Today,StaticData.Today)))</f>
        <v>0.5</v>
      </c>
      <c r="AX12" s="196">
        <f>IF(AT12="","",IF(StaticData.Today=TODAY(),_xll.BDP(AT12,"ASK"),_xll.BDH(AT12,"ASK",StaticData.Today,StaticData.Today)))</f>
        <v>4.5</v>
      </c>
      <c r="AY12" s="196">
        <f>IF(AT12="","",IF(StaticData.Today=TODAY(),_xll.BDP(AT12,"PX_LAST"),_xll.BDH(AT12,"PX_LAST",StaticData.Today,StaticData.Today)))</f>
        <v>2.5</v>
      </c>
      <c r="AZ12" s="181">
        <f t="shared" si="4"/>
        <v>2.5</v>
      </c>
    </row>
    <row r="13" spans="1:52" x14ac:dyDescent="0.25">
      <c r="B13" s="21"/>
      <c r="C13" s="22"/>
      <c r="D13" s="22"/>
      <c r="E13" s="22"/>
      <c r="G13" s="24"/>
      <c r="H13" s="25" t="s">
        <v>46</v>
      </c>
      <c r="I13" s="25"/>
      <c r="J13" s="187"/>
      <c r="K13" s="187"/>
      <c r="L13" s="26"/>
      <c r="M13" s="27"/>
      <c r="O13" s="24" t="str">
        <f>"UDFR0BE"&amp;$O$1&amp;" Curncy"</f>
        <v>UDFR0BE GMGM Curncy</v>
      </c>
      <c r="P13" s="25" t="s">
        <v>566</v>
      </c>
      <c r="Q13" s="31" t="s">
        <v>495</v>
      </c>
      <c r="R13" s="182">
        <f>IF(O13="","",IF(StaticData.Today=TODAY(),_xll.BDP(O13,"BID"),_xll.BDH(O13,"BID",StaticData.Today,StaticData.Today)))</f>
        <v>0.48</v>
      </c>
      <c r="S13" s="182">
        <f>IF(O13="","",IF(StaticData.Today=TODAY(),_xll.BDP(O13,"ASK"),_xll.BDH(O13,"ASK",StaticData.Today,StaticData.Today)))</f>
        <v>0.56000000000000005</v>
      </c>
      <c r="T13" s="30">
        <f>IF(O13="","",IF(StaticData.Today=TODAY(),_xll.BDP(O13,"LAST_PRICE"),_xll.BDH(O13,"LAST_PRICE",StaticData.Today,StaticData.Today)))</f>
        <v>0.52</v>
      </c>
      <c r="U13" s="183">
        <f t="shared" si="8"/>
        <v>5.1999999999999998E-3</v>
      </c>
      <c r="W13" s="24" t="str">
        <f>"UDBS10"&amp;$W$2&amp;" Curncy"</f>
        <v>UDBS10 GMGM Curncy</v>
      </c>
      <c r="X13" s="25" t="s">
        <v>349</v>
      </c>
      <c r="Y13" s="191">
        <f>IF(W13="","",IF(StaticData.Today=TODAY(),_xll.BDP(W13,"LAST_PRICE"),_xll.BDH(W13,"LAST_PRICE",StaticData.Today,StaticData.Today)))</f>
        <v>16</v>
      </c>
      <c r="Z13" s="17">
        <f t="shared" si="2"/>
        <v>1.6000000000000001E-3</v>
      </c>
      <c r="AB13" s="24" t="str">
        <f>"UDBSV5"&amp;$AB$2&amp;" Curncy"</f>
        <v>UDBSV5 GMGM Curncy</v>
      </c>
      <c r="AC13" s="25" t="s">
        <v>331</v>
      </c>
      <c r="AD13" s="26">
        <f>IF(AB13="","",IF(StaticData.Today=TODAY(),_xll.BDP(AB13,"LAST_PRICE"),_xll.BDH(AB13,"LAST_PRICE",StaticData.Today,StaticData.Today)))</f>
        <v>19</v>
      </c>
      <c r="AE13" s="17">
        <f t="shared" si="6"/>
        <v>1.9E-3</v>
      </c>
      <c r="AG13" s="24" t="str">
        <f>"UDSSUS10"&amp;$AG$2&amp;" Curncy"</f>
        <v>UDSSUS10 GMGM Curncy</v>
      </c>
      <c r="AH13" s="25" t="s">
        <v>349</v>
      </c>
      <c r="AI13" s="199">
        <f>IF(AG13="","",IF(StaticData.Today=TODAY(),_xll.BDP(AG13,"LAST_PRICE"),_xll.BDH(AG13,"LAST_PRICE",StaticData.Today,StaticData.Today)))</f>
        <v>119</v>
      </c>
      <c r="AJ13" s="17">
        <f t="shared" si="3"/>
        <v>1.1900000000000001E-2</v>
      </c>
      <c r="AL13" s="24" t="str">
        <f>"UDUSSW10"&amp;$AL$2&amp;" Curncy"</f>
        <v>UDUSSW10 GFID Curncy</v>
      </c>
      <c r="AM13" s="25" t="s">
        <v>349</v>
      </c>
      <c r="AN13" s="31"/>
      <c r="AO13" s="29">
        <f>IF(AL13="","",IF(StaticData.Today=TODAY(),_xll.BDP(AL13,"BID"),_xll.BDH(AL13,"BID",StaticData.Today,StaticData.Today)))</f>
        <v>-92.400999999999996</v>
      </c>
      <c r="AP13" s="29">
        <f>IF(AL13="","",IF(StaticData.Today=TODAY(),_xll.BDP(AL13,"ASK"),_xll.BDH(AL13,"ASK",StaticData.Today,StaticData.Today)))</f>
        <v>-75.400999999999996</v>
      </c>
      <c r="AQ13" s="177">
        <f>IF(AL13="","",IF(StaticData.Today=TODAY(),_xll.BDP(AL13,"LAST_PRICE"),_xll.BDH(AL13,"LAST_PRICE",StaticData.Today,StaticData.Today)))</f>
        <v>-83.900999999999996</v>
      </c>
      <c r="AR13" s="181">
        <f t="shared" ref="AR13" si="9">AQ13</f>
        <v>-83.900999999999996</v>
      </c>
      <c r="AT13" s="24" t="str">
        <f t="shared" si="7"/>
        <v>AED3M GMGM Curncy</v>
      </c>
      <c r="AU13" s="25" t="s">
        <v>49</v>
      </c>
      <c r="AV13" s="31"/>
      <c r="AW13" s="196">
        <f>IF(AT13="","",IF(StaticData.Today=TODAY(),_xll.BDP(AT13,"BID"),_xll.BDH(AT13,"BID",StaticData.Today,StaticData.Today)))</f>
        <v>2</v>
      </c>
      <c r="AX13" s="196">
        <f>IF(AT13="","",IF(StaticData.Today=TODAY(),_xll.BDP(AT13,"ASK"),_xll.BDH(AT13,"ASK",StaticData.Today,StaticData.Today)))</f>
        <v>8</v>
      </c>
      <c r="AY13" s="196">
        <f>IF(AT13="","",IF(StaticData.Today=TODAY(),_xll.BDP(AT13,"LAST_PRICE"),_xll.BDH(AT13,"LAST_PRICE",StaticData.Today,StaticData.Today)))</f>
        <v>5</v>
      </c>
      <c r="AZ13" s="181">
        <f t="shared" si="4"/>
        <v>5</v>
      </c>
    </row>
    <row r="14" spans="1:52" x14ac:dyDescent="0.25">
      <c r="B14" s="21"/>
      <c r="C14" s="22"/>
      <c r="D14" s="22"/>
      <c r="E14" s="22"/>
      <c r="G14" s="24"/>
      <c r="H14" s="25" t="s">
        <v>376</v>
      </c>
      <c r="I14" s="25"/>
      <c r="J14" s="187"/>
      <c r="K14" s="187"/>
      <c r="L14" s="26"/>
      <c r="M14" s="27"/>
      <c r="O14" s="24" t="str">
        <f>"UDFR0CF"&amp;$O$1&amp;" Curncy"</f>
        <v>UDFR0CF GMGM Curncy</v>
      </c>
      <c r="P14" s="25" t="s">
        <v>596</v>
      </c>
      <c r="Q14" s="31" t="s">
        <v>496</v>
      </c>
      <c r="R14" s="182">
        <f>IF(O14="","",IF(StaticData.Today=TODAY(),_xll.BDP(O14,"BID"),_xll.BDH(O14,"BID",StaticData.Today,StaticData.Today)))</f>
        <v>0.57999999999999996</v>
      </c>
      <c r="S14" s="182">
        <f>IF(O14="","",IF(StaticData.Today=TODAY(),_xll.BDP(O14,"ASK"),_xll.BDH(O14,"ASK",StaticData.Today,StaticData.Today)))</f>
        <v>0.66</v>
      </c>
      <c r="T14" s="30">
        <f>IF(O14="","",IF(StaticData.Today=TODAY(),_xll.BDP(O14,"LAST_PRICE"),_xll.BDH(O14,"LAST_PRICE",StaticData.Today,StaticData.Today)))</f>
        <v>0.62</v>
      </c>
      <c r="U14" s="183">
        <f t="shared" si="8"/>
        <v>6.1999999999999998E-3</v>
      </c>
      <c r="W14" s="24"/>
      <c r="X14" s="25"/>
      <c r="Y14" s="191"/>
      <c r="Z14" s="27"/>
      <c r="AB14" s="24" t="str">
        <f>"UDBSV7"&amp;$AB$2&amp;" Curncy"</f>
        <v>UDBSV7 GMGM Curncy</v>
      </c>
      <c r="AC14" s="25" t="s">
        <v>342</v>
      </c>
      <c r="AD14" s="26">
        <f>IF(AB14="","",IF(StaticData.Today=TODAY(),_xll.BDP(AB14,"LAST_PRICE"),_xll.BDH(AB14,"LAST_PRICE",StaticData.Today,StaticData.Today)))</f>
        <v>19</v>
      </c>
      <c r="AE14" s="17">
        <f t="shared" si="6"/>
        <v>1.9E-3</v>
      </c>
      <c r="AG14" s="24"/>
      <c r="AH14" s="25"/>
      <c r="AI14" s="26" t="str">
        <f>IF(AG14="","",IF(StaticData.Today=TODAY(),_xll.BDP(AG14,"LAST_PRICE"),_xll.BDH(AG14,"LAST_PRICE",StaticData.Today,StaticData.Today)))</f>
        <v/>
      </c>
      <c r="AJ14" s="27"/>
      <c r="AL14" s="24"/>
      <c r="AM14" s="25"/>
      <c r="AN14" s="31"/>
      <c r="AO14" s="29"/>
      <c r="AP14" s="29"/>
      <c r="AQ14" s="177"/>
      <c r="AR14" s="181"/>
      <c r="AT14" s="24" t="str">
        <f t="shared" si="7"/>
        <v>AED6M GMGM Curncy</v>
      </c>
      <c r="AU14" s="25" t="s">
        <v>46</v>
      </c>
      <c r="AV14" s="31"/>
      <c r="AW14" s="196">
        <f>IF(AT14="","",IF(StaticData.Today=TODAY(),_xll.BDP(AT14,"BID"),_xll.BDH(AT14,"BID",StaticData.Today,StaticData.Today)))</f>
        <v>7</v>
      </c>
      <c r="AX14" s="196">
        <f>IF(AT14="","",IF(StaticData.Today=TODAY(),_xll.BDP(AT14,"ASK"),_xll.BDH(AT14,"ASK",StaticData.Today,StaticData.Today)))</f>
        <v>15</v>
      </c>
      <c r="AY14" s="196">
        <f>IF(AT14="","",IF(StaticData.Today=TODAY(),_xll.BDP(AT14,"LAST_PRICE"),_xll.BDH(AT14,"LAST_PRICE",StaticData.Today,StaticData.Today)))</f>
        <v>11</v>
      </c>
      <c r="AZ14" s="181">
        <f t="shared" ref="AZ14:AZ20" si="10">AY14</f>
        <v>11</v>
      </c>
    </row>
    <row r="15" spans="1:52" x14ac:dyDescent="0.25">
      <c r="B15" s="21"/>
      <c r="C15" s="22"/>
      <c r="D15" s="22"/>
      <c r="E15" s="22"/>
      <c r="G15" s="24"/>
      <c r="H15" s="25" t="s">
        <v>47</v>
      </c>
      <c r="I15" s="25"/>
      <c r="J15" s="187"/>
      <c r="K15" s="187"/>
      <c r="L15" s="26"/>
      <c r="M15" s="27"/>
      <c r="O15" s="24" t="str">
        <f>"UDFR0FI"&amp;$O$1&amp;" Curncy"</f>
        <v>UDFR0FI GMGM Curncy</v>
      </c>
      <c r="P15" s="25" t="s">
        <v>595</v>
      </c>
      <c r="Q15" s="31" t="s">
        <v>497</v>
      </c>
      <c r="R15" s="182">
        <f>IF(O15="","",IF(StaticData.Today=TODAY(),_xll.BDP(O15,"BID"),_xll.BDH(O15,"BID",StaticData.Today,StaticData.Today)))</f>
        <v>0.57999999999999996</v>
      </c>
      <c r="S15" s="182">
        <f>IF(O15="","",IF(StaticData.Today=TODAY(),_xll.BDP(O15,"ASK"),_xll.BDH(O15,"ASK",StaticData.Today,StaticData.Today)))</f>
        <v>0.66</v>
      </c>
      <c r="T15" s="30">
        <f>IF(O15="","",IF(StaticData.Today=TODAY(),_xll.BDP(O15,"LAST_PRICE"),_xll.BDH(O15,"LAST_PRICE",StaticData.Today,StaticData.Today)))</f>
        <v>0.62</v>
      </c>
      <c r="U15" s="183">
        <f t="shared" si="8"/>
        <v>6.1999999999999998E-3</v>
      </c>
      <c r="W15" s="24"/>
      <c r="X15" s="25"/>
      <c r="Y15" s="191"/>
      <c r="Z15" s="27"/>
      <c r="AB15" s="24" t="str">
        <f>"UDBSV10"&amp;$AB$2&amp;" Curncy"</f>
        <v>UDBSV10 GMGM Curncy</v>
      </c>
      <c r="AC15" s="25" t="s">
        <v>349</v>
      </c>
      <c r="AD15" s="26">
        <f>IF(AB15="","",IF(StaticData.Today=TODAY(),_xll.BDP(AB15,"LAST_PRICE"),_xll.BDH(AB15,"LAST_PRICE",StaticData.Today,StaticData.Today)))</f>
        <v>19</v>
      </c>
      <c r="AE15" s="17">
        <f t="shared" si="6"/>
        <v>1.9E-3</v>
      </c>
      <c r="AG15" s="24"/>
      <c r="AH15" s="25"/>
      <c r="AI15" s="26" t="str">
        <f>IF(AG15="","",IF(StaticData.Today=TODAY(),_xll.BDP(AG15,"LAST_PRICE"),_xll.BDH(AG15,"LAST_PRICE",StaticData.Today,StaticData.Today)))</f>
        <v/>
      </c>
      <c r="AJ15" s="27"/>
      <c r="AL15" s="24"/>
      <c r="AM15" s="25"/>
      <c r="AN15" s="31"/>
      <c r="AO15" s="29"/>
      <c r="AP15" s="29"/>
      <c r="AQ15" s="177"/>
      <c r="AR15" s="181"/>
      <c r="AT15" s="24" t="str">
        <f t="shared" si="7"/>
        <v>AED9M GMGM Curncy</v>
      </c>
      <c r="AU15" s="25" t="s">
        <v>376</v>
      </c>
      <c r="AV15" s="31"/>
      <c r="AW15" s="196">
        <f>IF(AT15="","",IF(StaticData.Today=TODAY(),_xll.BDP(AT15,"BID"),_xll.BDH(AT15,"BID",StaticData.Today,StaticData.Today)))</f>
        <v>16</v>
      </c>
      <c r="AX15" s="196">
        <f>IF(AT15="","",IF(StaticData.Today=TODAY(),_xll.BDP(AT15,"ASK"),_xll.BDH(AT15,"ASK",StaticData.Today,StaticData.Today)))</f>
        <v>26</v>
      </c>
      <c r="AY15" s="196">
        <f>IF(AT15="","",IF(StaticData.Today=TODAY(),_xll.BDP(AT15,"LAST_PRICE"),_xll.BDH(AT15,"LAST_PRICE",StaticData.Today,StaticData.Today)))</f>
        <v>21</v>
      </c>
      <c r="AZ15" s="181">
        <f t="shared" si="10"/>
        <v>21</v>
      </c>
    </row>
    <row r="16" spans="1:52" x14ac:dyDescent="0.25">
      <c r="B16" s="21"/>
      <c r="C16" s="22"/>
      <c r="D16" s="22"/>
      <c r="E16" s="22"/>
      <c r="G16" s="24"/>
      <c r="H16" s="25"/>
      <c r="I16" s="25"/>
      <c r="J16" s="187"/>
      <c r="K16" s="187"/>
      <c r="L16" s="26"/>
      <c r="M16" s="27"/>
      <c r="O16" s="24" t="str">
        <f>"UDFR0I1"&amp;$O$1&amp;" Curncy"</f>
        <v>UDFR0I1 GMGM Curncy</v>
      </c>
      <c r="P16" s="25" t="s">
        <v>594</v>
      </c>
      <c r="Q16" s="31" t="s">
        <v>498</v>
      </c>
      <c r="R16" s="182">
        <f>IF(O16="","",IF(StaticData.Today=TODAY(),_xll.BDP(O16,"BID"),_xll.BDH(O16,"BID",StaticData.Today,StaticData.Today)))</f>
        <v>0.66</v>
      </c>
      <c r="S16" s="182">
        <f>IF(O16="","",IF(StaticData.Today=TODAY(),_xll.BDP(O16,"ASK"),_xll.BDH(O16,"ASK",StaticData.Today,StaticData.Today)))</f>
        <v>0.74</v>
      </c>
      <c r="T16" s="30">
        <f>IF(O16="","",IF(StaticData.Today=TODAY(),_xll.BDP(O16,"LAST_PRICE"),_xll.BDH(O16,"LAST_PRICE",StaticData.Today,StaticData.Today)))</f>
        <v>0.7</v>
      </c>
      <c r="U16" s="183">
        <f t="shared" si="8"/>
        <v>6.9999999999999993E-3</v>
      </c>
      <c r="W16" s="24"/>
      <c r="X16" s="25"/>
      <c r="Y16" s="191"/>
      <c r="Z16" s="27"/>
      <c r="AB16" s="24"/>
      <c r="AC16" s="25"/>
      <c r="AD16" s="26" t="str">
        <f>IF(AB16="","",IF(StaticData.Today=TODAY(),_xll.BDP(AB16,"LAST_PRICE"),_xll.BDH(AB16,"LAST_PRICE",StaticData.Today,StaticData.Today)))</f>
        <v/>
      </c>
      <c r="AE16" s="17"/>
      <c r="AG16" s="24"/>
      <c r="AH16" s="25"/>
      <c r="AI16" s="26" t="str">
        <f>IF(AG16="","",IF(StaticData.Today=TODAY(),_xll.BDP(AG16,"LAST_PRICE"),_xll.BDH(AG16,"LAST_PRICE",StaticData.Today,StaticData.Today)))</f>
        <v/>
      </c>
      <c r="AJ16" s="27"/>
      <c r="AL16" s="24"/>
      <c r="AM16" s="25"/>
      <c r="AN16" s="31"/>
      <c r="AO16" s="29"/>
      <c r="AP16" s="29"/>
      <c r="AQ16" s="177"/>
      <c r="AR16" s="181"/>
      <c r="AT16" s="24" t="str">
        <f t="shared" si="7"/>
        <v>AED12M GMGM Curncy</v>
      </c>
      <c r="AU16" s="25" t="s">
        <v>322</v>
      </c>
      <c r="AV16" s="31"/>
      <c r="AW16" s="196">
        <f>IF(AT16="","",IF(StaticData.Today=TODAY(),_xll.BDP(AT16,"BID"),_xll.BDH(AT16,"BID",StaticData.Today,StaticData.Today)))</f>
        <v>30</v>
      </c>
      <c r="AX16" s="196">
        <f>IF(AT16="","",IF(StaticData.Today=TODAY(),_xll.BDP(AT16,"ASK"),_xll.BDH(AT16,"ASK",StaticData.Today,StaticData.Today)))</f>
        <v>40</v>
      </c>
      <c r="AY16" s="196">
        <f>IF(AT16="","",IF(StaticData.Today=TODAY(),_xll.BDP(AT16,"LAST_PRICE"),_xll.BDH(AT16,"LAST_PRICE",StaticData.Today,StaticData.Today)))</f>
        <v>35</v>
      </c>
      <c r="AZ16" s="181">
        <f t="shared" si="10"/>
        <v>35</v>
      </c>
    </row>
    <row r="17" spans="2:52" x14ac:dyDescent="0.25">
      <c r="B17" s="34"/>
      <c r="C17" s="35"/>
      <c r="D17" s="35"/>
      <c r="E17" s="35"/>
      <c r="G17" s="24"/>
      <c r="H17" s="25"/>
      <c r="I17" s="25"/>
      <c r="J17" s="187"/>
      <c r="K17" s="187"/>
      <c r="L17" s="26"/>
      <c r="M17" s="27"/>
      <c r="O17" s="24" t="str">
        <f>"UDSW1"&amp;$O$2&amp;" Curncy"</f>
        <v>UDSW1 GMGM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0.53800000000000003</v>
      </c>
      <c r="S17" s="182">
        <f>IF(O17="","",IF(StaticData.Today=TODAY(),_xll.BDP(O17,"ASK"),_xll.BDH(O17,"ASK",StaticData.Today,StaticData.Today)))</f>
        <v>0.59799999999999998</v>
      </c>
      <c r="T17" s="30">
        <f>IF(O17="","",IF(StaticData.Today=TODAY(),_xll.BDP(O17,"LAST_PRICE"),_xll.BDH(O17,"LAST_PRICE",StaticData.Today,StaticData.Today)))</f>
        <v>0.56799999999999995</v>
      </c>
      <c r="U17" s="183">
        <f t="shared" si="8"/>
        <v>5.6799999999999993E-3</v>
      </c>
      <c r="W17" s="24"/>
      <c r="X17" s="25"/>
      <c r="Y17" s="191"/>
      <c r="Z17" s="27"/>
      <c r="AB17" s="24"/>
      <c r="AC17" s="25"/>
      <c r="AD17" s="26" t="str">
        <f>IF(AB17="","",IF(StaticData.Today=TODAY(),_xll.BDP(AB17,"LAST_PRICE"),_xll.BDH(AB17,"LAST_PRICE",StaticData.Today,StaticData.Today)))</f>
        <v/>
      </c>
      <c r="AE17" s="17"/>
      <c r="AG17" s="24"/>
      <c r="AH17" s="25"/>
      <c r="AI17" s="26" t="str">
        <f>IF(AG17="","",IF(StaticData.Today=TODAY(),_xll.BDP(AG17,"LAST_PRICE"),_xll.BDH(AG17,"LAST_PRICE",StaticData.Today,StaticData.Today)))</f>
        <v/>
      </c>
      <c r="AJ17" s="27"/>
      <c r="AL17" s="24"/>
      <c r="AM17" s="25"/>
      <c r="AN17" s="31"/>
      <c r="AO17" s="29"/>
      <c r="AP17" s="29"/>
      <c r="AQ17" s="177"/>
      <c r="AR17" s="181"/>
      <c r="AT17" s="24" t="str">
        <f t="shared" si="7"/>
        <v>AED2Y GMGM Curncy</v>
      </c>
      <c r="AU17" s="25" t="s">
        <v>308</v>
      </c>
      <c r="AV17" s="31"/>
      <c r="AW17" s="196">
        <f>IF(AT17="","",IF(StaticData.Today=TODAY(),_xll.BDP(AT17,"BID"),_xll.BDH(AT17,"BID",StaticData.Today,StaticData.Today)))</f>
        <v>140</v>
      </c>
      <c r="AX17" s="196">
        <f>IF(AT17="","",IF(StaticData.Today=TODAY(),_xll.BDP(AT17,"ASK"),_xll.BDH(AT17,"ASK",StaticData.Today,StaticData.Today)))</f>
        <v>180</v>
      </c>
      <c r="AY17" s="196">
        <f>IF(AT17="","",IF(StaticData.Today=TODAY(),_xll.BDP(AT17,"LAST_PRICE"),_xll.BDH(AT17,"LAST_PRICE",StaticData.Today,StaticData.Today)))</f>
        <v>160</v>
      </c>
      <c r="AZ17" s="181">
        <f t="shared" si="10"/>
        <v>160</v>
      </c>
    </row>
    <row r="18" spans="2:52" x14ac:dyDescent="0.25">
      <c r="B18" s="36"/>
      <c r="C18" s="36"/>
      <c r="D18" s="36"/>
      <c r="E18" s="36"/>
      <c r="G18" s="24"/>
      <c r="H18" s="25"/>
      <c r="I18" s="25"/>
      <c r="J18" s="25"/>
      <c r="K18" s="25"/>
      <c r="L18" s="26"/>
      <c r="M18" s="27"/>
      <c r="O18" s="24" t="str">
        <f>"UDSW2"&amp;$O$2&amp;" Curncy"</f>
        <v>UDSW2 GMGM Curncy</v>
      </c>
      <c r="P18" s="25" t="s">
        <v>308</v>
      </c>
      <c r="Q18" s="31"/>
      <c r="R18" s="182">
        <f>IF(O18="","",IF(StaticData.Today=TODAY(),_xll.BDP(O18,"BID"),_xll.BDH(O18,"BID",StaticData.Today,StaticData.Today)))</f>
        <v>0.66600000000000004</v>
      </c>
      <c r="S18" s="182">
        <f>IF(O18="","",IF(StaticData.Today=TODAY(),_xll.BDP(O18,"ASK"),_xll.BDH(O18,"ASK",StaticData.Today,StaticData.Today)))</f>
        <v>0.72599999999999998</v>
      </c>
      <c r="T18" s="30">
        <f>IF(O18="","",IF(StaticData.Today=TODAY(),_xll.BDP(O18,"LAST_PRICE"),_xll.BDH(O18,"LAST_PRICE",StaticData.Today,StaticData.Today)))</f>
        <v>0.69599999999999995</v>
      </c>
      <c r="U18" s="183">
        <f t="shared" si="8"/>
        <v>6.9599999999999992E-3</v>
      </c>
      <c r="W18" s="24"/>
      <c r="X18" s="25"/>
      <c r="Y18" s="191"/>
      <c r="Z18" s="27"/>
      <c r="AB18" s="24"/>
      <c r="AC18" s="25"/>
      <c r="AD18" s="26" t="str">
        <f>IF(AB18="","",IF(StaticData.Today=TODAY(),_xll.BDP(AB18,"LAST_PRICE"),_xll.BDH(AB18,"LAST_PRICE",StaticData.Today,StaticData.Today)))</f>
        <v/>
      </c>
      <c r="AE18" s="17"/>
      <c r="AG18" s="24"/>
      <c r="AH18" s="25"/>
      <c r="AI18" s="26" t="str">
        <f>IF(AG18="","",IF(StaticData.Today=TODAY(),_xll.BDP(AG18,"LAST_PRICE"),_xll.BDH(AG18,"LAST_PRICE",StaticData.Today,StaticData.Today)))</f>
        <v/>
      </c>
      <c r="AJ18" s="27"/>
      <c r="AL18" s="24"/>
      <c r="AM18" s="25"/>
      <c r="AN18" s="31"/>
      <c r="AO18" s="29"/>
      <c r="AP18" s="29"/>
      <c r="AQ18" s="177"/>
      <c r="AR18" s="181"/>
      <c r="AT18" s="24" t="str">
        <f t="shared" si="7"/>
        <v>AED3Y GMGM Curncy</v>
      </c>
      <c r="AU18" s="25" t="s">
        <v>316</v>
      </c>
      <c r="AV18" s="31"/>
      <c r="AW18" s="196">
        <f>IF(AT18="","",IF(StaticData.Today=TODAY(),_xll.BDP(AT18,"BID"),_xll.BDH(AT18,"BID",StaticData.Today,StaticData.Today)))</f>
        <v>250</v>
      </c>
      <c r="AX18" s="196">
        <f>IF(AT18="","",IF(StaticData.Today=TODAY(),_xll.BDP(AT18,"ASK"),_xll.BDH(AT18,"ASK",StaticData.Today,StaticData.Today)))</f>
        <v>350</v>
      </c>
      <c r="AY18" s="196">
        <f>IF(AT18="","",IF(StaticData.Today=TODAY(),_xll.BDP(AT18,"LAST_PRICE"),_xll.BDH(AT18,"LAST_PRICE",StaticData.Today,StaticData.Today)))</f>
        <v>300</v>
      </c>
      <c r="AZ18" s="181">
        <f t="shared" si="10"/>
        <v>300</v>
      </c>
    </row>
    <row r="19" spans="2:52" x14ac:dyDescent="0.25">
      <c r="B19" s="36"/>
      <c r="C19" s="36"/>
      <c r="D19" s="36"/>
      <c r="E19" s="36"/>
      <c r="G19" s="38"/>
      <c r="H19" s="39"/>
      <c r="I19" s="39"/>
      <c r="J19" s="39"/>
      <c r="K19" s="39"/>
      <c r="L19" s="40"/>
      <c r="M19" s="41"/>
      <c r="O19" s="24" t="str">
        <f>"UDSW3"&amp;$O$2&amp;" Curncy"</f>
        <v>UDSW3 GMGM Curncy</v>
      </c>
      <c r="P19" s="25" t="s">
        <v>316</v>
      </c>
      <c r="Q19" s="28"/>
      <c r="R19" s="29">
        <f>IF(O19="","",IF(StaticData.Today=TODAY(),_xll.BDP(O19,"BID"),_xll.BDH(O19,"BID",StaticData.Today,StaticData.Today)))</f>
        <v>0.85799999999999998</v>
      </c>
      <c r="S19" s="29">
        <f>IF(O19="","",IF(StaticData.Today=TODAY(),_xll.BDP(O19,"ASK"),_xll.BDH(O19,"ASK",StaticData.Today,StaticData.Today)))</f>
        <v>0.91800000000000004</v>
      </c>
      <c r="T19" s="30">
        <f>IF(O19="","",IF(StaticData.Today=TODAY(),_xll.BDP(O19,"LAST_PRICE"),_xll.BDH(O19,"LAST_PRICE",StaticData.Today,StaticData.Today)))</f>
        <v>0.88800000000000001</v>
      </c>
      <c r="U19" s="183">
        <f t="shared" si="8"/>
        <v>8.8800000000000007E-3</v>
      </c>
      <c r="W19" s="24"/>
      <c r="X19" s="25"/>
      <c r="Y19" s="191"/>
      <c r="Z19" s="27"/>
      <c r="AB19" s="24"/>
      <c r="AC19" s="25"/>
      <c r="AD19" s="26" t="str">
        <f>IF(AB19="","",IF(StaticData.Today=TODAY(),_xll.BDP(AB19,"LAST_PRICE"),_xll.BDH(AB19,"LAST_PRICE",StaticData.Today,StaticData.Today)))</f>
        <v/>
      </c>
      <c r="AE19" s="1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25"/>
      <c r="AN19" s="28"/>
      <c r="AO19" s="29"/>
      <c r="AP19" s="29"/>
      <c r="AQ19" s="177"/>
      <c r="AR19" s="181"/>
      <c r="AT19" s="24" t="str">
        <f t="shared" si="7"/>
        <v>AED4Y GMGM Curncy</v>
      </c>
      <c r="AU19" s="25" t="s">
        <v>324</v>
      </c>
      <c r="AV19" s="31"/>
      <c r="AW19" s="196">
        <f>IF(AT19="","",IF(StaticData.Today=TODAY(),_xll.BDP(AT19,"BID"),_xll.BDH(AT19,"BID",StaticData.Today,StaticData.Today)))</f>
        <v>405</v>
      </c>
      <c r="AX19" s="196">
        <f>IF(AT19="","",IF(StaticData.Today=TODAY(),_xll.BDP(AT19,"ASK"),_xll.BDH(AT19,"ASK",StaticData.Today,StaticData.Today)))</f>
        <v>555</v>
      </c>
      <c r="AY19" s="196">
        <f>IF(AT19="","",IF(StaticData.Today=TODAY(),_xll.BDP(AT19,"LAST_PRICE"),_xll.BDH(AT19,"LAST_PRICE",StaticData.Today,StaticData.Today)))</f>
        <v>480</v>
      </c>
      <c r="AZ19" s="181">
        <f t="shared" si="10"/>
        <v>480</v>
      </c>
    </row>
    <row r="20" spans="2:52" x14ac:dyDescent="0.25">
      <c r="B20" s="36"/>
      <c r="C20" s="36"/>
      <c r="D20" s="36"/>
      <c r="E20" s="36"/>
      <c r="O20" s="24" t="str">
        <f>"UDSW4"&amp;$O$2&amp;" Curncy"</f>
        <v>UDSW4 GMGM Curncy</v>
      </c>
      <c r="P20" s="25" t="s">
        <v>324</v>
      </c>
      <c r="Q20" s="28"/>
      <c r="R20" s="29">
        <f>IF(O20="","",IF(StaticData.Today=TODAY(),_xll.BDP(O20,"BID"),_xll.BDH(O20,"BID",StaticData.Today,StaticData.Today)))</f>
        <v>1.0029999999999999</v>
      </c>
      <c r="S20" s="29">
        <f>IF(O20="","",IF(StaticData.Today=TODAY(),_xll.BDP(O20,"ASK"),_xll.BDH(O20,"ASK",StaticData.Today,StaticData.Today)))</f>
        <v>1.0629999999999999</v>
      </c>
      <c r="T20" s="30">
        <f>IF(O20="","",IF(StaticData.Today=TODAY(),_xll.BDP(O20,"LAST_PRICE"),_xll.BDH(O20,"LAST_PRICE",StaticData.Today,StaticData.Today)))</f>
        <v>1.0329999999999999</v>
      </c>
      <c r="U20" s="183">
        <f t="shared" si="8"/>
        <v>1.0329999999999999E-2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1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25"/>
      <c r="AN20" s="28"/>
      <c r="AO20" s="29"/>
      <c r="AP20" s="29"/>
      <c r="AQ20" s="177"/>
      <c r="AR20" s="181"/>
      <c r="AT20" s="24" t="str">
        <f t="shared" si="7"/>
        <v>AED5Y GMGM Curncy</v>
      </c>
      <c r="AU20" s="25" t="s">
        <v>331</v>
      </c>
      <c r="AV20" s="31"/>
      <c r="AW20" s="196">
        <f>IF(AT20="","",IF(StaticData.Today=TODAY(),_xll.BDP(AT20,"BID"),_xll.BDH(AT20,"BID",StaticData.Today,StaticData.Today)))</f>
        <v>585</v>
      </c>
      <c r="AX20" s="196">
        <f>IF(AT20="","",IF(StaticData.Today=TODAY(),_xll.BDP(AT20,"ASK"),_xll.BDH(AT20,"ASK",StaticData.Today,StaticData.Today)))</f>
        <v>785</v>
      </c>
      <c r="AY20" s="196">
        <f>IF(AT20="","",IF(StaticData.Today=TODAY(),_xll.BDP(AT20,"LAST_PRICE"),_xll.BDH(AT20,"LAST_PRICE",StaticData.Today,StaticData.Today)))</f>
        <v>685</v>
      </c>
      <c r="AZ20" s="181">
        <f t="shared" si="10"/>
        <v>685</v>
      </c>
    </row>
    <row r="21" spans="2:52" x14ac:dyDescent="0.25">
      <c r="B21" s="36"/>
      <c r="C21" s="36"/>
      <c r="D21" s="36"/>
      <c r="E21" s="36"/>
      <c r="O21" s="24" t="str">
        <f>"UDSW5"&amp;$O$2&amp;" Curncy"</f>
        <v>UDSW5 GMGM Curncy</v>
      </c>
      <c r="P21" s="25" t="s">
        <v>331</v>
      </c>
      <c r="Q21" s="28"/>
      <c r="R21" s="29">
        <f>IF(O21="","",IF(StaticData.Today=TODAY(),_xll.BDP(O21,"BID"),_xll.BDH(O21,"BID",StaticData.Today,StaticData.Today)))</f>
        <v>1.159</v>
      </c>
      <c r="S21" s="29">
        <f>IF(O21="","",IF(StaticData.Today=TODAY(),_xll.BDP(O21,"ASK"),_xll.BDH(O21,"ASK",StaticData.Today,StaticData.Today)))</f>
        <v>1.2190000000000001</v>
      </c>
      <c r="T21" s="30">
        <f>IF(O21="","",IF(StaticData.Today=TODAY(),_xll.BDP(O21,"LAST_PRICE"),_xll.BDH(O21,"LAST_PRICE",StaticData.Today,StaticData.Today)))</f>
        <v>1.1890000000000001</v>
      </c>
      <c r="U21" s="183">
        <f t="shared" si="8"/>
        <v>1.1890000000000001E-2</v>
      </c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1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/>
      <c r="AU21" s="25"/>
      <c r="AV21" s="28"/>
      <c r="AW21" s="178"/>
      <c r="AX21" s="178"/>
      <c r="AY21" s="30"/>
      <c r="AZ21" s="181"/>
    </row>
    <row r="22" spans="2:52" x14ac:dyDescent="0.25">
      <c r="B22" s="36"/>
      <c r="C22" s="36"/>
      <c r="D22" s="36"/>
      <c r="E22" s="36"/>
      <c r="O22" s="24" t="str">
        <f>"UDSW6"&amp;$O$2&amp;" Curncy"</f>
        <v>UDSW6 GMGM Curncy</v>
      </c>
      <c r="P22" s="25" t="s">
        <v>339</v>
      </c>
      <c r="Q22" s="28"/>
      <c r="R22" s="29">
        <f>IF(O22="","",IF(StaticData.Today=TODAY(),_xll.BDP(O22,"BID"),_xll.BDH(O22,"BID",StaticData.Today,StaticData.Today)))</f>
        <v>1.29</v>
      </c>
      <c r="S22" s="29">
        <f>IF(O22="","",IF(StaticData.Today=TODAY(),_xll.BDP(O22,"ASK"),_xll.BDH(O22,"ASK",StaticData.Today,StaticData.Today)))</f>
        <v>1.35</v>
      </c>
      <c r="T22" s="30">
        <f>IF(O22="","",IF(StaticData.Today=TODAY(),_xll.BDP(O22,"LAST_PRICE"),_xll.BDH(O22,"LAST_PRICE",StaticData.Today,StaticData.Today)))</f>
        <v>1.32</v>
      </c>
      <c r="U22" s="183">
        <f t="shared" si="8"/>
        <v>1.32E-2</v>
      </c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1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>"AED"&amp;AU22&amp;$AT$2&amp;" Curncy"</f>
        <v>AEDTN NBAD Curncy</v>
      </c>
      <c r="AU22" s="25" t="s">
        <v>506</v>
      </c>
      <c r="AV22" s="28"/>
      <c r="AW22" s="196">
        <f>IF(AT22="","",IF(StaticData.Today=TODAY(),_xll.BDP(AT22,"BID"),_xll.BDH(AT22,"BID",StaticData.Today,StaticData.Today)))</f>
        <v>-0.5</v>
      </c>
      <c r="AX22" s="196">
        <f>IF(AT22="","",IF(StaticData.Today=TODAY(),_xll.BDP(AT22,"ASK"),_xll.BDH(AT22,"ASK",StaticData.Today,StaticData.Today)))</f>
        <v>0.4</v>
      </c>
      <c r="AY22" s="196">
        <f>IF(AT22="","",IF(StaticData.Today=TODAY(),_xll.BDP(AT22,"PX_LAST"),_xll.BDH(AT22,"PX_LAST",StaticData.Today,StaticData.Today)))</f>
        <v>-0.05</v>
      </c>
      <c r="AZ22" s="181">
        <f>AY22</f>
        <v>-0.05</v>
      </c>
    </row>
    <row r="23" spans="2:52" x14ac:dyDescent="0.25">
      <c r="B23" s="36"/>
      <c r="C23" s="36"/>
      <c r="D23" s="36"/>
      <c r="E23" s="36"/>
      <c r="O23" s="24" t="str">
        <f>"UDSW7"&amp;$O$2&amp;" Curncy"</f>
        <v>UDSW7 GMGM Curncy</v>
      </c>
      <c r="P23" s="25" t="s">
        <v>342</v>
      </c>
      <c r="Q23" s="28"/>
      <c r="R23" s="29">
        <f>IF(O23="","",IF(StaticData.Today=TODAY(),_xll.BDP(O23,"BID"),_xll.BDH(O23,"BID",StaticData.Today,StaticData.Today)))</f>
        <v>1.425</v>
      </c>
      <c r="S23" s="29">
        <f>IF(O23="","",IF(StaticData.Today=TODAY(),_xll.BDP(O23,"ASK"),_xll.BDH(O23,"ASK",StaticData.Today,StaticData.Today)))</f>
        <v>1.4850000000000001</v>
      </c>
      <c r="T23" s="30">
        <f>IF(O23="","",IF(StaticData.Today=TODAY(),_xll.BDP(O23,"LAST_PRICE"),_xll.BDH(O23,"LAST_PRICE",StaticData.Today,StaticData.Today)))</f>
        <v>1.4550000000000001</v>
      </c>
      <c r="U23" s="183">
        <f t="shared" si="8"/>
        <v>1.455E-2</v>
      </c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1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ref="AT23:AT33" si="11">"AED"&amp;AU23&amp;$AT$2&amp;" Curncy"</f>
        <v>AED1W NBAD Curncy</v>
      </c>
      <c r="AU23" s="25" t="s">
        <v>305</v>
      </c>
      <c r="AV23" s="28"/>
      <c r="AW23" s="196">
        <f>IF(AT23="","",IF(StaticData.Today=TODAY(),_xll.BDP(AT23,"BID"),_xll.BDH(AT23,"BID",StaticData.Today,StaticData.Today)))</f>
        <v>-1</v>
      </c>
      <c r="AX23" s="196">
        <f>IF(AT23="","",IF(StaticData.Today=TODAY(),_xll.BDP(AT23,"ASK"),_xll.BDH(AT23,"ASK",StaticData.Today,StaticData.Today)))</f>
        <v>0.7</v>
      </c>
      <c r="AY23" s="196">
        <f>IF(AT23="","",IF(StaticData.Today=TODAY(),_xll.BDP(AT23,"PX_LAST"),_xll.BDH(AT23,"PX_LAST",StaticData.Today,StaticData.Today)))</f>
        <v>-0.15</v>
      </c>
      <c r="AZ23" s="181">
        <f t="shared" ref="AZ23:AZ33" si="12">AY23</f>
        <v>-0.15</v>
      </c>
    </row>
    <row r="24" spans="2:52" x14ac:dyDescent="0.25">
      <c r="O24" s="24" t="str">
        <f>"UDSW10"&amp;$O$2&amp;" Curncy"</f>
        <v>UDSW10 GMGM Curncy</v>
      </c>
      <c r="P24" s="25" t="s">
        <v>349</v>
      </c>
      <c r="Q24" s="28"/>
      <c r="R24" s="29">
        <f>IF(O24="","",IF(StaticData.Today=TODAY(),_xll.BDP(O24,"BID"),_xll.BDH(O24,"BID",StaticData.Today,StaticData.Today)))</f>
        <v>1.8240000000000001</v>
      </c>
      <c r="S24" s="29">
        <f>IF(O24="","",IF(StaticData.Today=TODAY(),_xll.BDP(O24,"ASK"),_xll.BDH(O24,"ASK",StaticData.Today,StaticData.Today)))</f>
        <v>1.9039999999999999</v>
      </c>
      <c r="T24" s="30">
        <f>IF(O24="","",IF(StaticData.Today=TODAY(),_xll.BDP(O24,"LAST_PRICE"),_xll.BDH(O24,"LAST_PRICE",StaticData.Today,StaticData.Today)))</f>
        <v>1.8640000000000001</v>
      </c>
      <c r="U24" s="183">
        <f t="shared" si="8"/>
        <v>1.864E-2</v>
      </c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1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si="11"/>
        <v>AED1M NBAD Curncy</v>
      </c>
      <c r="AU24" s="25" t="s">
        <v>300</v>
      </c>
      <c r="AV24" s="28"/>
      <c r="AW24" s="196" t="str">
        <f>IF(AT24="","",IF(StaticData.Today=TODAY(),_xll.BDP(AT24,"BID"),_xll.BDH(AT24,"BID",StaticData.Today,StaticData.Today)))</f>
        <v>#N/A N/A</v>
      </c>
      <c r="AX24" s="196">
        <f>IF(AT24="","",IF(StaticData.Today=TODAY(),_xll.BDP(AT24,"ASK"),_xll.BDH(AT24,"ASK",StaticData.Today,StaticData.Today)))</f>
        <v>2.5</v>
      </c>
      <c r="AY24" s="196">
        <f>IF(AT24="","",IF(StaticData.Today=TODAY(),_xll.BDP(AT24,"PX_LAST"),_xll.BDH(AT24,"PX_LAST",StaticData.Today,StaticData.Today)))</f>
        <v>2.5</v>
      </c>
      <c r="AZ24" s="181">
        <f t="shared" si="12"/>
        <v>2.5</v>
      </c>
    </row>
    <row r="25" spans="2:52" x14ac:dyDescent="0.25"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1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 t="shared" si="11"/>
        <v>AED2M NBAD Curncy</v>
      </c>
      <c r="AU25" s="25" t="s">
        <v>335</v>
      </c>
      <c r="AV25" s="28"/>
      <c r="AW25" s="196">
        <f>IF(AT25="","",IF(StaticData.Today=TODAY(),_xll.BDP(AT25,"BID"),_xll.BDH(AT25,"BID",StaticData.Today,StaticData.Today)))</f>
        <v>1</v>
      </c>
      <c r="AX25" s="196">
        <f>IF(AT25="","",IF(StaticData.Today=TODAY(),_xll.BDP(AT25,"ASK"),_xll.BDH(AT25,"ASK",StaticData.Today,StaticData.Today)))</f>
        <v>4</v>
      </c>
      <c r="AY25" s="196">
        <f>IF(AT25="","",IF(StaticData.Today=TODAY(),_xll.BDP(AT25,"PX_LAST"),_xll.BDH(AT25,"PX_LAST",StaticData.Today,StaticData.Today)))</f>
        <v>2.5</v>
      </c>
      <c r="AZ25" s="181">
        <f t="shared" si="12"/>
        <v>2.5</v>
      </c>
    </row>
    <row r="26" spans="2:52" x14ac:dyDescent="0.25">
      <c r="O26" s="24"/>
      <c r="P26" s="25"/>
      <c r="Q26" s="28"/>
      <c r="R26" s="29"/>
      <c r="S26" s="29"/>
      <c r="T26" s="30"/>
      <c r="U26" s="183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1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 t="shared" si="11"/>
        <v>AED3M NBAD Curncy</v>
      </c>
      <c r="AU26" s="25" t="s">
        <v>49</v>
      </c>
      <c r="AV26" s="28"/>
      <c r="AW26" s="196">
        <f>IF(AT26="","",IF(StaticData.Today=TODAY(),_xll.BDP(AT26,"BID"),_xll.BDH(AT26,"BID",StaticData.Today,StaticData.Today)))</f>
        <v>2</v>
      </c>
      <c r="AX26" s="196">
        <f>IF(AT26="","",IF(StaticData.Today=TODAY(),_xll.BDP(AT26,"ASK"),_xll.BDH(AT26,"ASK",StaticData.Today,StaticData.Today)))</f>
        <v>7</v>
      </c>
      <c r="AY26" s="196">
        <f>IF(AT26="","",IF(StaticData.Today=TODAY(),_xll.BDP(AT26,"PX_LAST"),_xll.BDH(AT26,"PX_LAST",StaticData.Today,StaticData.Today)))</f>
        <v>4.5</v>
      </c>
      <c r="AZ26" s="181">
        <f t="shared" si="12"/>
        <v>4.5</v>
      </c>
    </row>
    <row r="27" spans="2:52" x14ac:dyDescent="0.25">
      <c r="O27" s="24"/>
      <c r="P27" s="25"/>
      <c r="Q27" s="28"/>
      <c r="R27" s="29"/>
      <c r="S27" s="29"/>
      <c r="T27" s="30"/>
      <c r="U27" s="183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1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 t="shared" si="11"/>
        <v>AED6M NBAD Curncy</v>
      </c>
      <c r="AU27" s="25" t="s">
        <v>46</v>
      </c>
      <c r="AV27" s="28"/>
      <c r="AW27" s="196">
        <f>IF(AT27="","",IF(StaticData.Today=TODAY(),_xll.BDP(AT27,"BID"),_xll.BDH(AT27,"BID",StaticData.Today,StaticData.Today)))</f>
        <v>8</v>
      </c>
      <c r="AX27" s="196">
        <f>IF(AT27="","",IF(StaticData.Today=TODAY(),_xll.BDP(AT27,"ASK"),_xll.BDH(AT27,"ASK",StaticData.Today,StaticData.Today)))</f>
        <v>15</v>
      </c>
      <c r="AY27" s="196">
        <f>IF(AT27="","",IF(StaticData.Today=TODAY(),_xll.BDP(AT27,"PX_LAST"),_xll.BDH(AT27,"PX_LAST",StaticData.Today,StaticData.Today)))</f>
        <v>11</v>
      </c>
      <c r="AZ27" s="181">
        <f t="shared" si="12"/>
        <v>11</v>
      </c>
    </row>
    <row r="28" spans="2:52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1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 t="shared" si="11"/>
        <v>AED9M NBAD Curncy</v>
      </c>
      <c r="AU28" s="25" t="s">
        <v>376</v>
      </c>
      <c r="AV28" s="28"/>
      <c r="AW28" s="196">
        <f>IF(AT28="","",IF(StaticData.Today=TODAY(),_xll.BDP(AT28,"BID"),_xll.BDH(AT28,"BID",StaticData.Today,StaticData.Today)))</f>
        <v>18</v>
      </c>
      <c r="AX28" s="196">
        <f>IF(AT28="","",IF(StaticData.Today=TODAY(),_xll.BDP(AT28,"ASK"),_xll.BDH(AT28,"ASK",StaticData.Today,StaticData.Today)))</f>
        <v>26</v>
      </c>
      <c r="AY28" s="196">
        <f>IF(AT28="","",IF(StaticData.Today=TODAY(),_xll.BDP(AT28,"PX_LAST"),_xll.BDH(AT28,"PX_LAST",StaticData.Today,StaticData.Today)))</f>
        <v>22</v>
      </c>
      <c r="AZ28" s="181">
        <f t="shared" si="12"/>
        <v>22</v>
      </c>
    </row>
    <row r="29" spans="2:52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1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 t="shared" si="11"/>
        <v>AED12M NBAD Curncy</v>
      </c>
      <c r="AU29" s="25" t="s">
        <v>322</v>
      </c>
      <c r="AV29" s="28"/>
      <c r="AW29" s="196">
        <f>IF(AT29="","",IF(StaticData.Today=TODAY(),_xll.BDP(AT29,"BID"),_xll.BDH(AT29,"BID",StaticData.Today,StaticData.Today)))</f>
        <v>30</v>
      </c>
      <c r="AX29" s="196">
        <f>IF(AT29="","",IF(StaticData.Today=TODAY(),_xll.BDP(AT29,"ASK"),_xll.BDH(AT29,"ASK",StaticData.Today,StaticData.Today)))</f>
        <v>40</v>
      </c>
      <c r="AY29" s="196">
        <f>IF(AT29="","",IF(StaticData.Today=TODAY(),_xll.BDP(AT29,"PX_LAST"),_xll.BDH(AT29,"PX_LAST",StaticData.Today,StaticData.Today)))</f>
        <v>35</v>
      </c>
      <c r="AZ29" s="181">
        <f t="shared" si="12"/>
        <v>35</v>
      </c>
    </row>
    <row r="30" spans="2:52" x14ac:dyDescent="0.25"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1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 t="shared" si="11"/>
        <v>AED2Y NBAD Curncy</v>
      </c>
      <c r="AU30" s="25" t="s">
        <v>308</v>
      </c>
      <c r="AV30" s="28"/>
      <c r="AW30" s="196">
        <f>IF(AT30="","",IF(StaticData.Today=TODAY(),_xll.BDP(AT30,"BID"),_xll.BDH(AT30,"BID",StaticData.Today,StaticData.Today)))</f>
        <v>100</v>
      </c>
      <c r="AX30" s="196">
        <f>IF(AT30="","",IF(StaticData.Today=TODAY(),_xll.BDP(AT30,"ASK"),_xll.BDH(AT30,"ASK",StaticData.Today,StaticData.Today)))</f>
        <v>150</v>
      </c>
      <c r="AY30" s="196">
        <f>IF(AT30="","",IF(StaticData.Today=TODAY(),_xll.BDP(AT30,"PX_LAST"),_xll.BDH(AT30,"PX_LAST",StaticData.Today,StaticData.Today)))</f>
        <v>125</v>
      </c>
      <c r="AZ30" s="181">
        <f t="shared" si="12"/>
        <v>125</v>
      </c>
    </row>
    <row r="31" spans="2:52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1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 t="str">
        <f t="shared" si="11"/>
        <v>AED3Y NBAD Curncy</v>
      </c>
      <c r="AU31" s="25" t="s">
        <v>316</v>
      </c>
      <c r="AV31" s="28"/>
      <c r="AW31" s="196">
        <f>IF(AT31="","",IF(StaticData.Today=TODAY(),_xll.BDP(AT31,"BID"),_xll.BDH(AT31,"BID",StaticData.Today,StaticData.Today)))</f>
        <v>230</v>
      </c>
      <c r="AX31" s="196">
        <f>IF(AT31="","",IF(StaticData.Today=TODAY(),_xll.BDP(AT31,"ASK"),_xll.BDH(AT31,"ASK",StaticData.Today,StaticData.Today)))</f>
        <v>330</v>
      </c>
      <c r="AY31" s="196">
        <f>IF(AT31="","",IF(StaticData.Today=TODAY(),_xll.BDP(AT31,"PX_LAST"),_xll.BDH(AT31,"PX_LAST",StaticData.Today,StaticData.Today)))</f>
        <v>280</v>
      </c>
      <c r="AZ31" s="181">
        <f t="shared" si="12"/>
        <v>280</v>
      </c>
    </row>
    <row r="32" spans="2:52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1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 t="str">
        <f t="shared" si="11"/>
        <v>AED4Y NBAD Curncy</v>
      </c>
      <c r="AU32" s="25" t="s">
        <v>324</v>
      </c>
      <c r="AV32" s="28"/>
      <c r="AW32" s="196">
        <f>IF(AT32="","",IF(StaticData.Today=TODAY(),_xll.BDP(AT32,"BID"),_xll.BDH(AT32,"BID",StaticData.Today,StaticData.Today)))</f>
        <v>350</v>
      </c>
      <c r="AX32" s="196">
        <f>IF(AT32="","",IF(StaticData.Today=TODAY(),_xll.BDP(AT32,"ASK"),_xll.BDH(AT32,"ASK",StaticData.Today,StaticData.Today)))</f>
        <v>525</v>
      </c>
      <c r="AY32" s="196">
        <f>IF(AT32="","",IF(StaticData.Today=TODAY(),_xll.BDP(AT32,"PX_LAST"),_xll.BDH(AT32,"PX_LAST",StaticData.Today,StaticData.Today)))</f>
        <v>437.5</v>
      </c>
      <c r="AZ32" s="181">
        <f t="shared" si="12"/>
        <v>437.5</v>
      </c>
    </row>
    <row r="33" spans="15:52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1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 t="str">
        <f t="shared" si="11"/>
        <v>AED5Y NBAD Curncy</v>
      </c>
      <c r="AU33" s="25" t="s">
        <v>331</v>
      </c>
      <c r="AV33" s="28"/>
      <c r="AW33" s="196">
        <f>IF(AT33="","",IF(StaticData.Today=TODAY(),_xll.BDP(AT33,"BID"),_xll.BDH(AT33,"BID",StaticData.Today,StaticData.Today)))</f>
        <v>425</v>
      </c>
      <c r="AX33" s="196">
        <f>IF(AT33="","",IF(StaticData.Today=TODAY(),_xll.BDP(AT33,"ASK"),_xll.BDH(AT33,"ASK",StaticData.Today,StaticData.Today)))</f>
        <v>725</v>
      </c>
      <c r="AY33" s="196">
        <f>IF(AT33="","",IF(StaticData.Today=TODAY(),_xll.BDP(AT33,"PX_LAST"),_xll.BDH(AT33,"PX_LAST",StaticData.Today,StaticData.Today)))</f>
        <v>575</v>
      </c>
      <c r="AZ33" s="181">
        <f t="shared" si="12"/>
        <v>575</v>
      </c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1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1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1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1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1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1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/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1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1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1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1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1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1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1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24"/>
      <c r="P47" s="25"/>
      <c r="Q47" s="28"/>
      <c r="R47" s="29"/>
      <c r="S47" s="29"/>
      <c r="T47" s="30"/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1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38"/>
      <c r="P48" s="39"/>
      <c r="Q48" s="42"/>
      <c r="R48" s="43"/>
      <c r="S48" s="43"/>
      <c r="T48" s="44"/>
      <c r="U48" s="41"/>
      <c r="W48" s="38"/>
      <c r="X48" s="39"/>
      <c r="Y48" s="192"/>
      <c r="Z48" s="41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1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28:52" x14ac:dyDescent="0.25"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17"/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28:52" x14ac:dyDescent="0.25"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17"/>
      <c r="AT50" s="38"/>
      <c r="AU50" s="39"/>
      <c r="AV50" s="42"/>
      <c r="AW50" s="43"/>
      <c r="AX50" s="43"/>
      <c r="AY50" s="44" t="str">
        <f>IF(AT50="","",IF(StaticData.Today=TODAY(),_xll.BDP(AT50,"LAST_PRICE"),_xll.BDH(AT50,"LAST_PRICE",StaticData.Today,StaticData.Today)))</f>
        <v/>
      </c>
      <c r="AZ50" s="41"/>
    </row>
  </sheetData>
  <dataValidations disablePrompts="1" count="2">
    <dataValidation type="list" allowBlank="1" showInputMessage="1" showErrorMessage="1" sqref="AB2 AT1">
      <formula1>$W$94:$W$97</formula1>
    </dataValidation>
    <dataValidation type="list" allowBlank="1" showInputMessage="1" showErrorMessage="1" sqref="AL2 W2 O1:O2">
      <formula1>$W$95:$W$98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'STATIC DATA'!$W$97:$W$100</xm:f>
          </x14:formula1>
          <xm:sqref>AT2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  <x14:dataValidation type="list" allowBlank="1" showInputMessage="1" showErrorMessage="1">
          <x14:formula1>
            <xm:f>'STATIC DATA'!$X$97:$X$100</xm:f>
          </x14:formula1>
          <xm:sqref>AG2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7" tint="0.79998168889431442"/>
  </sheetPr>
  <dimension ref="A1:AZ50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8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1634</v>
      </c>
      <c r="G1" s="6" t="s">
        <v>546</v>
      </c>
      <c r="O1" s="6" t="s">
        <v>849</v>
      </c>
      <c r="AT1" s="6" t="s">
        <v>508</v>
      </c>
    </row>
    <row r="2" spans="1:52" x14ac:dyDescent="0.25">
      <c r="G2" s="7"/>
      <c r="O2" s="6" t="s">
        <v>529</v>
      </c>
      <c r="W2" s="6" t="s">
        <v>528</v>
      </c>
      <c r="AB2" s="6" t="s">
        <v>528</v>
      </c>
      <c r="AL2" s="6" t="s">
        <v>528</v>
      </c>
      <c r="AT2" s="6" t="s">
        <v>849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1635</v>
      </c>
      <c r="L3" s="8"/>
      <c r="O3" s="2" t="str">
        <f>$A$1&amp;"_3M"</f>
        <v>BRL_3M</v>
      </c>
      <c r="T3" s="8" t="s">
        <v>282</v>
      </c>
      <c r="W3" s="2" t="str">
        <f>$A$1&amp;"_BASIS_6M"</f>
        <v>BRL_BASIS_6M</v>
      </c>
      <c r="AB3" s="2" t="str">
        <f>$A$1&amp;"_BASIS_1M"</f>
        <v>BRL_BASIS_1M</v>
      </c>
      <c r="AG3" s="2" t="str">
        <f>$A$1&amp;"_BASIS_12M"</f>
        <v>BRL_BASIS_12M</v>
      </c>
      <c r="AL3" s="2" t="str">
        <f>'STATIC DATA'!$C$4&amp;'STATIC DATA'!$AE$4&amp;"_BASIS"</f>
        <v>USDCNH_BASIS</v>
      </c>
      <c r="AQ3" s="8" t="s">
        <v>282</v>
      </c>
      <c r="AT3" s="2" t="str">
        <f>$A$1&amp;"_"&amp;'STATIC DATA'!AE67</f>
        <v>BRL_USD_1D</v>
      </c>
      <c r="AY3" s="8" t="s">
        <v>282</v>
      </c>
    </row>
    <row r="4" spans="1:52" x14ac:dyDescent="0.25">
      <c r="B4" s="9" t="b">
        <f>SUM(C7:C17)=SUM(D7:D17)</f>
        <v>1</v>
      </c>
      <c r="E4" s="10">
        <f>SUM(E7:E17)</f>
        <v>0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BRL OIS</v>
      </c>
      <c r="C7" s="12">
        <f>COUNTA(G7:G41)</f>
        <v>0</v>
      </c>
      <c r="D7" s="12">
        <f>COUNT(L7:L41)</f>
        <v>0</v>
      </c>
      <c r="E7" s="13">
        <f t="shared" ref="E7:E12" si="0">C7-D7</f>
        <v>0</v>
      </c>
      <c r="G7" s="14"/>
      <c r="H7" s="15"/>
      <c r="I7" s="15"/>
      <c r="J7" s="186"/>
      <c r="K7" s="186"/>
      <c r="L7" s="26"/>
      <c r="M7" s="17"/>
      <c r="O7" s="24" t="s">
        <v>1245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2.0688399999999998</v>
      </c>
      <c r="U7" s="184">
        <f>U8</f>
        <v>2.6826699999999998E-2</v>
      </c>
      <c r="W7" s="14"/>
      <c r="X7" s="15"/>
      <c r="Y7" s="190"/>
      <c r="Z7" s="337"/>
      <c r="AB7" s="14"/>
      <c r="AC7" s="15"/>
      <c r="AD7" s="16"/>
      <c r="AE7" s="17"/>
      <c r="AG7" s="14"/>
      <c r="AH7" s="15"/>
      <c r="AI7" s="16"/>
      <c r="AJ7" s="17"/>
      <c r="AL7" s="14"/>
      <c r="AM7" s="15"/>
      <c r="AN7" s="18"/>
      <c r="AO7" s="19"/>
      <c r="AP7" s="19"/>
      <c r="AQ7" s="177"/>
      <c r="AR7" s="180"/>
      <c r="AT7" s="24" t="s">
        <v>1636</v>
      </c>
      <c r="AU7" s="15"/>
      <c r="AV7" s="18"/>
      <c r="AW7" s="19">
        <f>IF(AT7="","",IF(StaticData.Today=TODAY(),_xll.BDP(AT7,"BID"),_xll.BDH(AT7,"BID",StaticData.Today,StaticData.Today)))</f>
        <v>5.3608000000000002</v>
      </c>
      <c r="AX7" s="19">
        <f>IF(AT7="","",IF(StaticData.Today=TODAY(),_xll.BDP(AT7,"ASK"),_xll.BDH(AT7,"ASK",StaticData.Today,StaticData.Today)))</f>
        <v>5.3642000000000003</v>
      </c>
      <c r="AY7" s="196">
        <f>IF(AT7="","",IF(StaticData.Today=TODAY(),_xll.BDP(AT7,"PX_LAST"),_xll.BDH(AT7,"PX_LAST",StaticData.Today,StaticData.Today)))</f>
        <v>5.3624999999999998</v>
      </c>
      <c r="AZ7" s="180">
        <f t="shared" ref="AZ7:AZ17" si="1">AY7</f>
        <v>5.3624999999999998</v>
      </c>
    </row>
    <row r="8" spans="1:52" x14ac:dyDescent="0.25">
      <c r="B8" s="21" t="str">
        <f>O3</f>
        <v>BRL_3M</v>
      </c>
      <c r="C8" s="22">
        <f>COUNTA(O7:O43)</f>
        <v>13</v>
      </c>
      <c r="D8" s="22">
        <f>COUNT(T7:T43)</f>
        <v>13</v>
      </c>
      <c r="E8" s="23">
        <f t="shared" si="0"/>
        <v>0</v>
      </c>
      <c r="G8" s="24"/>
      <c r="H8" s="25"/>
      <c r="I8" s="25"/>
      <c r="J8" s="187"/>
      <c r="K8" s="187"/>
      <c r="L8" s="26"/>
      <c r="M8" s="27"/>
      <c r="O8" s="24" t="s">
        <v>1244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2.6826699999999999</v>
      </c>
      <c r="U8" s="183">
        <f>T8/100</f>
        <v>2.6826699999999998E-2</v>
      </c>
      <c r="W8" s="24"/>
      <c r="X8" s="25"/>
      <c r="Y8" s="191"/>
      <c r="Z8" s="338"/>
      <c r="AB8" s="24"/>
      <c r="AC8" s="25"/>
      <c r="AD8" s="26"/>
      <c r="AE8" s="27"/>
      <c r="AG8" s="24"/>
      <c r="AH8" s="25"/>
      <c r="AI8" s="26"/>
      <c r="AJ8" s="27"/>
      <c r="AL8" s="14"/>
      <c r="AM8" s="25"/>
      <c r="AN8" s="28"/>
      <c r="AO8" s="29"/>
      <c r="AP8" s="29"/>
      <c r="AQ8" s="177"/>
      <c r="AR8" s="181"/>
      <c r="AT8" s="24" t="str">
        <f t="shared" ref="AT8:AT17" si="2">"BCN"&amp;AU8&amp;$AT$1&amp;" Curncy"</f>
        <v>BCNSN BGN Curncy</v>
      </c>
      <c r="AU8" s="25" t="s">
        <v>1483</v>
      </c>
      <c r="AV8" s="28"/>
      <c r="AW8" s="182" t="str">
        <f>IF(AT8="","",IF(StaticData.Today=TODAY(),_xll.BDP(AT8,"BID"),_xll.BDH(AT8,"BID",StaticData.Today,StaticData.Today)))</f>
        <v>#N/A N/A</v>
      </c>
      <c r="AX8" s="182" t="str">
        <f>IF(AT8="","",IF(StaticData.Today=TODAY(),_xll.BDP(AT8,"ASK"),_xll.BDH(AT8,"ASK",StaticData.Today,StaticData.Today)))</f>
        <v>#N/A N/A</v>
      </c>
      <c r="AY8" s="182" t="str">
        <f>IF(AT8="","",IF(StaticData.Today=TODAY(),_xll.BDP(AT8,"PX_LAST"),_xll.BDH(AT8,"PX_LAST",StaticData.Today,StaticData.Today)))</f>
        <v>#N/A N/A</v>
      </c>
      <c r="AZ8" s="581" t="str">
        <f t="shared" si="1"/>
        <v>#N/A N/A</v>
      </c>
    </row>
    <row r="9" spans="1:52" x14ac:dyDescent="0.25">
      <c r="B9" s="21" t="s">
        <v>511</v>
      </c>
      <c r="C9" s="22">
        <f>COUNTA(O11:O16)*2</f>
        <v>10</v>
      </c>
      <c r="D9" s="22">
        <f>COUNT(R11:S16)</f>
        <v>10</v>
      </c>
      <c r="E9" s="23">
        <f t="shared" si="0"/>
        <v>0</v>
      </c>
      <c r="G9" s="24"/>
      <c r="H9" s="25"/>
      <c r="I9" s="25"/>
      <c r="J9" s="187"/>
      <c r="K9" s="187"/>
      <c r="L9" s="26"/>
      <c r="M9" s="27"/>
      <c r="O9" s="24" t="s">
        <v>1246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2.8205</v>
      </c>
      <c r="U9" s="183">
        <f>T9/100</f>
        <v>2.8205000000000001E-2</v>
      </c>
      <c r="W9" s="24"/>
      <c r="X9" s="25"/>
      <c r="Y9" s="191"/>
      <c r="Z9" s="338"/>
      <c r="AB9" s="24"/>
      <c r="AC9" s="25"/>
      <c r="AD9" s="26"/>
      <c r="AE9" s="27"/>
      <c r="AG9" s="24"/>
      <c r="AH9" s="25"/>
      <c r="AI9" s="26"/>
      <c r="AJ9" s="27"/>
      <c r="AL9" s="14"/>
      <c r="AM9" s="25"/>
      <c r="AN9" s="28"/>
      <c r="AO9" s="29"/>
      <c r="AP9" s="29"/>
      <c r="AQ9" s="177"/>
      <c r="AR9" s="181"/>
      <c r="AT9" s="24" t="str">
        <f t="shared" si="2"/>
        <v>BCN1W BGN Curncy</v>
      </c>
      <c r="AU9" s="25" t="s">
        <v>305</v>
      </c>
      <c r="AV9" s="28"/>
      <c r="AW9" s="182">
        <f>IF(AT9="","",IF(StaticData.Today=TODAY(),_xll.BDP(AT9,"BID"),_xll.BDH(AT9,"BID",StaticData.Today,StaticData.Today)))</f>
        <v>10.7</v>
      </c>
      <c r="AX9" s="182">
        <f>IF(AT9="","",IF(StaticData.Today=TODAY(),_xll.BDP(AT9,"ASK"),_xll.BDH(AT9,"ASK",StaticData.Today,StaticData.Today)))</f>
        <v>18.2</v>
      </c>
      <c r="AY9" s="182">
        <f>IF(AT9="","",IF(StaticData.Today=TODAY(),_xll.BDP(AT9,"PX_LAST"),_xll.BDH(AT9,"PX_LAST",StaticData.Today,StaticData.Today)))</f>
        <v>14.45</v>
      </c>
      <c r="AZ9" s="581">
        <f t="shared" si="1"/>
        <v>14.45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/>
      <c r="H10" s="25"/>
      <c r="I10" s="25"/>
      <c r="J10" s="187"/>
      <c r="K10" s="187"/>
      <c r="L10" s="26"/>
      <c r="M10" s="27"/>
      <c r="O10" s="24" t="s">
        <v>1247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3.0295000000000001</v>
      </c>
      <c r="U10" s="183">
        <f>T10/100</f>
        <v>3.0295000000000002E-2</v>
      </c>
      <c r="W10" s="24"/>
      <c r="X10" s="25"/>
      <c r="Y10" s="191"/>
      <c r="Z10" s="338"/>
      <c r="AB10" s="24"/>
      <c r="AC10" s="25"/>
      <c r="AD10" s="26"/>
      <c r="AE10" s="27"/>
      <c r="AG10" s="24"/>
      <c r="AH10" s="25"/>
      <c r="AI10" s="26"/>
      <c r="AJ10" s="27"/>
      <c r="AL10" s="14"/>
      <c r="AM10" s="25"/>
      <c r="AN10" s="28"/>
      <c r="AO10" s="29"/>
      <c r="AP10" s="29"/>
      <c r="AQ10" s="177"/>
      <c r="AR10" s="181"/>
      <c r="AT10" s="24" t="str">
        <f t="shared" si="2"/>
        <v>BCN1M BGN Curncy</v>
      </c>
      <c r="AU10" s="25" t="s">
        <v>300</v>
      </c>
      <c r="AV10" s="31"/>
      <c r="AW10" s="182">
        <f>IF(AT10="","",IF(StaticData.Today=TODAY(),_xll.BDP(AT10,"BID"),_xll.BDH(AT10,"BID",StaticData.Today,StaticData.Today)))</f>
        <v>45.96</v>
      </c>
      <c r="AX10" s="182">
        <f>IF(AT10="","",IF(StaticData.Today=TODAY(),_xll.BDP(AT10,"ASK"),_xll.BDH(AT10,"ASK",StaticData.Today,StaticData.Today)))</f>
        <v>49.64</v>
      </c>
      <c r="AY10" s="182">
        <f>IF(AT10="","",IF(StaticData.Today=TODAY(),_xll.BDP(AT10,"LAST_PRICE"),_xll.BDH(AT10,"LAST_PRICE",StaticData.Today,StaticData.Today)))</f>
        <v>47.8</v>
      </c>
      <c r="AZ10" s="581">
        <f t="shared" si="1"/>
        <v>47.8</v>
      </c>
    </row>
    <row r="11" spans="1:52" x14ac:dyDescent="0.25">
      <c r="B11" s="21" t="s">
        <v>284</v>
      </c>
      <c r="C11" s="22">
        <f>COUNTA(AB7:AB50)</f>
        <v>0</v>
      </c>
      <c r="D11" s="22">
        <f>COUNT(AD7:AD50)</f>
        <v>0</v>
      </c>
      <c r="E11" s="23">
        <f t="shared" si="0"/>
        <v>0</v>
      </c>
      <c r="G11" s="24"/>
      <c r="H11" s="25"/>
      <c r="I11" s="25"/>
      <c r="J11" s="187"/>
      <c r="K11" s="187"/>
      <c r="L11" s="26"/>
      <c r="M11" s="27"/>
      <c r="O11" s="24"/>
      <c r="P11" s="25"/>
      <c r="Q11" s="31"/>
      <c r="R11" s="182"/>
      <c r="S11" s="182"/>
      <c r="T11" s="30"/>
      <c r="U11" s="183"/>
      <c r="W11" s="24"/>
      <c r="X11" s="25"/>
      <c r="Y11" s="191"/>
      <c r="Z11" s="338"/>
      <c r="AB11" s="24"/>
      <c r="AC11" s="25"/>
      <c r="AD11" s="26"/>
      <c r="AE11" s="27"/>
      <c r="AG11" s="24"/>
      <c r="AH11" s="25"/>
      <c r="AI11" s="26"/>
      <c r="AJ11" s="27"/>
      <c r="AL11" s="14"/>
      <c r="AM11" s="25"/>
      <c r="AN11" s="31"/>
      <c r="AO11" s="29"/>
      <c r="AP11" s="29"/>
      <c r="AQ11" s="177"/>
      <c r="AR11" s="181"/>
      <c r="AT11" s="24" t="str">
        <f t="shared" si="2"/>
        <v>BCN2M BGN Curncy</v>
      </c>
      <c r="AU11" s="25" t="s">
        <v>335</v>
      </c>
      <c r="AV11" s="31"/>
      <c r="AW11" s="182">
        <f>IF(AT11="","",IF(StaticData.Today=TODAY(),_xll.BDP(AT11,"BID"),_xll.BDH(AT11,"BID",StaticData.Today,StaticData.Today)))</f>
        <v>98.33</v>
      </c>
      <c r="AX11" s="182">
        <f>IF(AT11="","",IF(StaticData.Today=TODAY(),_xll.BDP(AT11,"ASK"),_xll.BDH(AT11,"ASK",StaticData.Today,StaticData.Today)))</f>
        <v>99.67</v>
      </c>
      <c r="AY11" s="182">
        <f>IF(AT11="","",IF(StaticData.Today=TODAY(),_xll.BDP(AT11,"LAST_PRICE"),_xll.BDH(AT11,"LAST_PRICE",StaticData.Today,StaticData.Today)))</f>
        <v>99</v>
      </c>
      <c r="AZ11" s="581">
        <f t="shared" si="1"/>
        <v>99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/>
      <c r="H12" s="25"/>
      <c r="I12" s="25"/>
      <c r="J12" s="187"/>
      <c r="K12" s="187"/>
      <c r="L12" s="26"/>
      <c r="M12" s="27"/>
      <c r="O12" s="24" t="str">
        <f>"CGSWF"&amp;$O$2&amp;" Curncy"</f>
        <v>CGSWF TPRA Curncy</v>
      </c>
      <c r="P12" s="25" t="s">
        <v>46</v>
      </c>
      <c r="Q12" s="31"/>
      <c r="R12" s="182">
        <f>IF(O12="","",IF(StaticData.Today=TODAY(),_xll.BDP(O12,"BID"),_xll.BDH(O12,"BID",StaticData.Today,StaticData.Today)))</f>
        <v>2.7</v>
      </c>
      <c r="S12" s="182">
        <f>IF(O12="","",IF(StaticData.Today=TODAY(),_xll.BDP(O12,"ASK"),_xll.BDH(O12,"ASK",StaticData.Today,StaticData.Today)))</f>
        <v>2.9</v>
      </c>
      <c r="T12" s="30">
        <f>IF(O12="","",IF(StaticData.Today=TODAY(),_xll.BDP(O12,"LAST_PRICE"),_xll.BDH(O12,"LAST_PRICE",StaticData.Today,StaticData.Today)))</f>
        <v>2.8</v>
      </c>
      <c r="U12" s="183">
        <f t="shared" ref="U12:U20" si="3">T12/100</f>
        <v>2.7999999999999997E-2</v>
      </c>
      <c r="W12" s="24"/>
      <c r="X12" s="25"/>
      <c r="Y12" s="191"/>
      <c r="Z12" s="338"/>
      <c r="AB12" s="24"/>
      <c r="AC12" s="25"/>
      <c r="AD12" s="26"/>
      <c r="AE12" s="27"/>
      <c r="AG12" s="24"/>
      <c r="AH12" s="25"/>
      <c r="AI12" s="26"/>
      <c r="AJ12" s="27"/>
      <c r="AL12" s="14"/>
      <c r="AM12" s="25"/>
      <c r="AN12" s="31"/>
      <c r="AO12" s="29"/>
      <c r="AP12" s="29"/>
      <c r="AQ12" s="177"/>
      <c r="AR12" s="181"/>
      <c r="AT12" s="24" t="str">
        <f t="shared" si="2"/>
        <v>BCN3M BGN Curncy</v>
      </c>
      <c r="AU12" s="25" t="s">
        <v>49</v>
      </c>
      <c r="AV12" s="31"/>
      <c r="AW12" s="182">
        <f>IF(AT12="","",IF(StaticData.Today=TODAY(),_xll.BDP(AT12,"BID"),_xll.BDH(AT12,"BID",StaticData.Today,StaticData.Today)))</f>
        <v>140.4</v>
      </c>
      <c r="AX12" s="182">
        <f>IF(AT12="","",IF(StaticData.Today=TODAY(),_xll.BDP(AT12,"ASK"),_xll.BDH(AT12,"ASK",StaticData.Today,StaticData.Today)))</f>
        <v>164.4</v>
      </c>
      <c r="AY12" s="182">
        <f>IF(AT12="","",IF(StaticData.Today=TODAY(),_xll.BDP(AT12,"LAST_PRICE"),_xll.BDH(AT12,"LAST_PRICE",StaticData.Today,StaticData.Today)))</f>
        <v>152.4</v>
      </c>
      <c r="AZ12" s="581">
        <f t="shared" si="1"/>
        <v>152.4</v>
      </c>
    </row>
    <row r="13" spans="1:52" x14ac:dyDescent="0.25">
      <c r="B13" s="21"/>
      <c r="C13" s="22"/>
      <c r="D13" s="22"/>
      <c r="E13" s="22"/>
      <c r="G13" s="24"/>
      <c r="H13" s="25"/>
      <c r="I13" s="25"/>
      <c r="J13" s="187"/>
      <c r="K13" s="187"/>
      <c r="L13" s="26"/>
      <c r="M13" s="27"/>
      <c r="O13" s="24" t="str">
        <f>"CGSWI"&amp;$O$2&amp;" Curncy"</f>
        <v>CGSWI TPRA Curncy</v>
      </c>
      <c r="P13" s="25" t="s">
        <v>376</v>
      </c>
      <c r="Q13" s="31"/>
      <c r="R13" s="182">
        <f>IF(O13="","",IF(StaticData.Today=TODAY(),_xll.BDP(O13,"BID"),_xll.BDH(O13,"BID",StaticData.Today,StaticData.Today)))</f>
        <v>2.75</v>
      </c>
      <c r="S13" s="182">
        <f>IF(O13="","",IF(StaticData.Today=TODAY(),_xll.BDP(O13,"ASK"),_xll.BDH(O13,"ASK",StaticData.Today,StaticData.Today)))</f>
        <v>2.95</v>
      </c>
      <c r="T13" s="30">
        <f>IF(O13="","",IF(StaticData.Today=TODAY(),_xll.BDP(O13,"LAST_PRICE"),_xll.BDH(O13,"LAST_PRICE",StaticData.Today,StaticData.Today)))</f>
        <v>2.85</v>
      </c>
      <c r="U13" s="183">
        <f t="shared" si="3"/>
        <v>2.8500000000000001E-2</v>
      </c>
      <c r="W13" s="24"/>
      <c r="X13" s="25"/>
      <c r="Y13" s="191"/>
      <c r="Z13" s="338"/>
      <c r="AB13" s="24"/>
      <c r="AC13" s="25"/>
      <c r="AD13" s="26"/>
      <c r="AE13" s="27"/>
      <c r="AG13" s="24"/>
      <c r="AH13" s="25"/>
      <c r="AI13" s="26"/>
      <c r="AJ13" s="27"/>
      <c r="AL13" s="14"/>
      <c r="AM13" s="25"/>
      <c r="AN13" s="31"/>
      <c r="AO13" s="29"/>
      <c r="AP13" s="29"/>
      <c r="AQ13" s="177"/>
      <c r="AR13" s="181"/>
      <c r="AT13" s="24" t="str">
        <f t="shared" si="2"/>
        <v>BCN6M BGN Curncy</v>
      </c>
      <c r="AU13" s="25" t="s">
        <v>46</v>
      </c>
      <c r="AV13" s="31"/>
      <c r="AW13" s="182">
        <f>IF(AT13="","",IF(StaticData.Today=TODAY(),_xll.BDP(AT13,"BID"),_xll.BDH(AT13,"BID",StaticData.Today,StaticData.Today)))</f>
        <v>271.07</v>
      </c>
      <c r="AX13" s="182">
        <f>IF(AT13="","",IF(StaticData.Today=TODAY(),_xll.BDP(AT13,"ASK"),_xll.BDH(AT13,"ASK",StaticData.Today,StaticData.Today)))</f>
        <v>325.07</v>
      </c>
      <c r="AY13" s="182">
        <f>IF(AT13="","",IF(StaticData.Today=TODAY(),_xll.BDP(AT13,"LAST_PRICE"),_xll.BDH(AT13,"LAST_PRICE",StaticData.Today,StaticData.Today)))</f>
        <v>298.07</v>
      </c>
      <c r="AZ13" s="581">
        <f t="shared" si="1"/>
        <v>298.07</v>
      </c>
    </row>
    <row r="14" spans="1:52" x14ac:dyDescent="0.25">
      <c r="B14" s="21"/>
      <c r="C14" s="22"/>
      <c r="D14" s="22"/>
      <c r="E14" s="22"/>
      <c r="G14" s="24"/>
      <c r="H14" s="25"/>
      <c r="I14" s="25"/>
      <c r="J14" s="187"/>
      <c r="K14" s="187"/>
      <c r="L14" s="26"/>
      <c r="M14" s="27"/>
      <c r="O14" s="24" t="str">
        <f>"CGSWH1"&amp;$O$2&amp;" Curncy"</f>
        <v>CGSWH1 TPRA Curncy</v>
      </c>
      <c r="P14" s="25" t="s">
        <v>47</v>
      </c>
      <c r="Q14" s="31"/>
      <c r="R14" s="182">
        <f>IF(O14="","",IF(StaticData.Today=TODAY(),_xll.BDP(O14,"BID"),_xll.BDH(O14,"BID",StaticData.Today,StaticData.Today)))</f>
        <v>2.95</v>
      </c>
      <c r="S14" s="182">
        <f>IF(O14="","",IF(StaticData.Today=TODAY(),_xll.BDP(O14,"ASK"),_xll.BDH(O14,"ASK",StaticData.Today,StaticData.Today)))</f>
        <v>3.45</v>
      </c>
      <c r="T14" s="30">
        <f>IF(O14="","",IF(StaticData.Today=TODAY(),_xll.BDP(O14,"LAST_PRICE"),_xll.BDH(O14,"LAST_PRICE",StaticData.Today,StaticData.Today)))</f>
        <v>3.2</v>
      </c>
      <c r="U14" s="183">
        <f t="shared" si="3"/>
        <v>3.2000000000000001E-2</v>
      </c>
      <c r="W14" s="24"/>
      <c r="X14" s="25"/>
      <c r="Y14" s="191"/>
      <c r="Z14" s="338"/>
      <c r="AB14" s="24"/>
      <c r="AC14" s="25"/>
      <c r="AD14" s="26"/>
      <c r="AE14" s="27"/>
      <c r="AG14" s="24"/>
      <c r="AH14" s="25"/>
      <c r="AI14" s="26"/>
      <c r="AJ14" s="27"/>
      <c r="AL14" s="14"/>
      <c r="AM14" s="25"/>
      <c r="AN14" s="31"/>
      <c r="AO14" s="29"/>
      <c r="AP14" s="29"/>
      <c r="AQ14" s="177"/>
      <c r="AR14" s="181"/>
      <c r="AT14" s="24" t="str">
        <f t="shared" si="2"/>
        <v>BCN9M BGN Curncy</v>
      </c>
      <c r="AU14" s="25" t="s">
        <v>376</v>
      </c>
      <c r="AV14" s="31"/>
      <c r="AW14" s="182">
        <f>IF(AT14="","",IF(StaticData.Today=TODAY(),_xll.BDP(AT14,"BID"),_xll.BDH(AT14,"BID",StaticData.Today,StaticData.Today)))</f>
        <v>533.15</v>
      </c>
      <c r="AX14" s="182">
        <f>IF(AT14="","",IF(StaticData.Today=TODAY(),_xll.BDP(AT14,"ASK"),_xll.BDH(AT14,"ASK",StaticData.Today,StaticData.Today)))</f>
        <v>565.37</v>
      </c>
      <c r="AY14" s="182">
        <f>IF(AT14="","",IF(StaticData.Today=TODAY(),_xll.BDP(AT14,"LAST_PRICE"),_xll.BDH(AT14,"LAST_PRICE",StaticData.Today,StaticData.Today)))</f>
        <v>549.26</v>
      </c>
      <c r="AZ14" s="581">
        <f t="shared" si="1"/>
        <v>549.26</v>
      </c>
    </row>
    <row r="15" spans="1:52" x14ac:dyDescent="0.25">
      <c r="B15" s="21"/>
      <c r="C15" s="22"/>
      <c r="D15" s="22"/>
      <c r="E15" s="22"/>
      <c r="G15" s="24"/>
      <c r="H15" s="25"/>
      <c r="I15" s="25"/>
      <c r="J15" s="187"/>
      <c r="K15" s="187"/>
      <c r="L15" s="26"/>
      <c r="M15" s="27"/>
      <c r="O15" s="24" t="str">
        <f>"CGSWH2"&amp;$O$2&amp;" Curncy"</f>
        <v>CGSWH2 TPRA Curncy</v>
      </c>
      <c r="P15" s="25" t="s">
        <v>308</v>
      </c>
      <c r="Q15" s="31"/>
      <c r="R15" s="182">
        <f>IF(O15="","",IF(StaticData.Today=TODAY(),_xll.BDP(O15,"BID"),_xll.BDH(O15,"BID",StaticData.Today,StaticData.Today)))</f>
        <v>3</v>
      </c>
      <c r="S15" s="182">
        <f>IF(O15="","",IF(StaticData.Today=TODAY(),_xll.BDP(O15,"ASK"),_xll.BDH(O15,"ASK",StaticData.Today,StaticData.Today)))</f>
        <v>3.6</v>
      </c>
      <c r="T15" s="30">
        <f>IF(O15="","",IF(StaticData.Today=TODAY(),_xll.BDP(O15,"LAST_PRICE"),_xll.BDH(O15,"LAST_PRICE",StaticData.Today,StaticData.Today)))</f>
        <v>3.3</v>
      </c>
      <c r="U15" s="183">
        <f t="shared" si="3"/>
        <v>3.3000000000000002E-2</v>
      </c>
      <c r="W15" s="24"/>
      <c r="X15" s="25"/>
      <c r="Y15" s="191"/>
      <c r="Z15" s="338"/>
      <c r="AB15" s="24"/>
      <c r="AC15" s="25"/>
      <c r="AD15" s="26"/>
      <c r="AE15" s="27"/>
      <c r="AG15" s="24"/>
      <c r="AH15" s="25"/>
      <c r="AI15" s="26"/>
      <c r="AJ15" s="27"/>
      <c r="AL15" s="14"/>
      <c r="AM15" s="25"/>
      <c r="AN15" s="31"/>
      <c r="AO15" s="29"/>
      <c r="AP15" s="29"/>
      <c r="AQ15" s="177"/>
      <c r="AR15" s="181"/>
      <c r="AT15" s="24" t="str">
        <f t="shared" si="2"/>
        <v>BCN12M BGN Curncy</v>
      </c>
      <c r="AU15" s="25" t="s">
        <v>322</v>
      </c>
      <c r="AV15" s="31"/>
      <c r="AW15" s="182">
        <f>IF(AT15="","",IF(StaticData.Today=TODAY(),_xll.BDP(AT15,"BID"),_xll.BDH(AT15,"BID",StaticData.Today,StaticData.Today)))</f>
        <v>762.96</v>
      </c>
      <c r="AX15" s="182">
        <f>IF(AT15="","",IF(StaticData.Today=TODAY(),_xll.BDP(AT15,"ASK"),_xll.BDH(AT15,"ASK",StaticData.Today,StaticData.Today)))</f>
        <v>846.96</v>
      </c>
      <c r="AY15" s="182">
        <f>IF(AT15="","",IF(StaticData.Today=TODAY(),_xll.BDP(AT15,"LAST_PRICE"),_xll.BDH(AT15,"LAST_PRICE",StaticData.Today,StaticData.Today)))</f>
        <v>804.96</v>
      </c>
      <c r="AZ15" s="581">
        <f t="shared" si="1"/>
        <v>804.96</v>
      </c>
    </row>
    <row r="16" spans="1:52" x14ac:dyDescent="0.25">
      <c r="B16" s="21"/>
      <c r="C16" s="22"/>
      <c r="D16" s="22"/>
      <c r="E16" s="22"/>
      <c r="G16" s="344"/>
      <c r="H16" s="345"/>
      <c r="I16" s="345"/>
      <c r="J16" s="346"/>
      <c r="K16" s="346"/>
      <c r="L16" s="347"/>
      <c r="M16" s="348"/>
      <c r="O16" s="24" t="str">
        <f>"CGSWH3"&amp;$O$2&amp;" Curncy"</f>
        <v>CGSWH3 TPRA Curncy</v>
      </c>
      <c r="P16" s="25" t="s">
        <v>316</v>
      </c>
      <c r="Q16" s="31"/>
      <c r="R16" s="182">
        <f>IF(O16="","",IF(StaticData.Today=TODAY(),_xll.BDP(O16,"BID"),_xll.BDH(O16,"BID",StaticData.Today,StaticData.Today)))</f>
        <v>3.3</v>
      </c>
      <c r="S16" s="182">
        <f>IF(O16="","",IF(StaticData.Today=TODAY(),_xll.BDP(O16,"ASK"),_xll.BDH(O16,"ASK",StaticData.Today,StaticData.Today)))</f>
        <v>3.9</v>
      </c>
      <c r="T16" s="30">
        <f>IF(O16="","",IF(StaticData.Today=TODAY(),_xll.BDP(O16,"LAST_PRICE"),_xll.BDH(O16,"LAST_PRICE",StaticData.Today,StaticData.Today)))</f>
        <v>3.6</v>
      </c>
      <c r="U16" s="183">
        <f t="shared" si="3"/>
        <v>3.6000000000000004E-2</v>
      </c>
      <c r="W16" s="24"/>
      <c r="X16" s="25"/>
      <c r="Y16" s="191"/>
      <c r="Z16" s="338"/>
      <c r="AB16" s="24"/>
      <c r="AC16" s="25"/>
      <c r="AD16" s="26"/>
      <c r="AE16" s="27"/>
      <c r="AG16" s="24"/>
      <c r="AH16" s="25"/>
      <c r="AI16" s="26"/>
      <c r="AJ16" s="27"/>
      <c r="AL16" s="14"/>
      <c r="AM16" s="25"/>
      <c r="AN16" s="31"/>
      <c r="AO16" s="29"/>
      <c r="AP16" s="29"/>
      <c r="AQ16" s="177"/>
      <c r="AR16" s="181"/>
      <c r="AT16" s="24" t="str">
        <f t="shared" si="2"/>
        <v>BCN2Y BGN Curncy</v>
      </c>
      <c r="AU16" s="25" t="s">
        <v>308</v>
      </c>
      <c r="AV16" s="31"/>
      <c r="AW16" s="182">
        <f>IF(AT16="","",IF(StaticData.Today=TODAY(),_xll.BDP(AT16,"BID"),_xll.BDH(AT16,"BID",StaticData.Today,StaticData.Today)))</f>
        <v>2799.67</v>
      </c>
      <c r="AX16" s="182">
        <f>IF(AT16="","",IF(StaticData.Today=TODAY(),_xll.BDP(AT16,"ASK"),_xll.BDH(AT16,"ASK",StaticData.Today,StaticData.Today)))</f>
        <v>2891.74</v>
      </c>
      <c r="AY16" s="182">
        <f>IF(AT16="","",IF(StaticData.Today=TODAY(),_xll.BDP(AT16,"LAST_PRICE"),_xll.BDH(AT16,"LAST_PRICE",StaticData.Today,StaticData.Today)))</f>
        <v>2845.71</v>
      </c>
      <c r="AZ16" s="581">
        <f t="shared" si="1"/>
        <v>2845.71</v>
      </c>
    </row>
    <row r="17" spans="2:52" x14ac:dyDescent="0.25">
      <c r="B17" s="34"/>
      <c r="C17" s="35"/>
      <c r="D17" s="35"/>
      <c r="E17" s="35"/>
      <c r="G17" s="349"/>
      <c r="H17" s="25"/>
      <c r="I17" s="25"/>
      <c r="J17" s="187"/>
      <c r="K17" s="187"/>
      <c r="L17" s="26"/>
      <c r="M17" s="27"/>
      <c r="O17" s="24" t="str">
        <f>"CGSWH4"&amp;$O$2&amp;" Curncy"</f>
        <v>CGSWH4 TPRA Curncy</v>
      </c>
      <c r="P17" s="25" t="s">
        <v>324</v>
      </c>
      <c r="Q17" s="28"/>
      <c r="R17" s="29">
        <f>IF(O17="","",IF(StaticData.Today=TODAY(),_xll.BDP(O17,"BID"),_xll.BDH(O17,"BID",StaticData.Today,StaticData.Today)))</f>
        <v>3.3</v>
      </c>
      <c r="S17" s="29">
        <f>IF(O17="","",IF(StaticData.Today=TODAY(),_xll.BDP(O17,"ASK"),_xll.BDH(O17,"ASK",StaticData.Today,StaticData.Today)))</f>
        <v>3.9</v>
      </c>
      <c r="T17" s="30">
        <f>IF(O17="","",IF(StaticData.Today=TODAY(),_xll.BDP(O17,"LAST_PRICE"),_xll.BDH(O17,"LAST_PRICE",StaticData.Today,StaticData.Today)))</f>
        <v>3.6</v>
      </c>
      <c r="U17" s="183">
        <f t="shared" si="3"/>
        <v>3.6000000000000004E-2</v>
      </c>
      <c r="W17" s="24"/>
      <c r="X17" s="25"/>
      <c r="Y17" s="191"/>
      <c r="Z17" s="338"/>
      <c r="AB17" s="24"/>
      <c r="AC17" s="25"/>
      <c r="AD17" s="26"/>
      <c r="AE17" s="27"/>
      <c r="AG17" s="24"/>
      <c r="AH17" s="25"/>
      <c r="AI17" s="26"/>
      <c r="AJ17" s="27"/>
      <c r="AL17" s="14"/>
      <c r="AM17" s="25"/>
      <c r="AN17" s="31"/>
      <c r="AO17" s="29"/>
      <c r="AP17" s="29"/>
      <c r="AQ17" s="177"/>
      <c r="AR17" s="181"/>
      <c r="AT17" s="24" t="str">
        <f t="shared" si="2"/>
        <v>BCN3Y BGN Curncy</v>
      </c>
      <c r="AU17" s="25" t="s">
        <v>316</v>
      </c>
      <c r="AV17" s="31"/>
      <c r="AW17" s="182">
        <f>IF(AT17="","",IF(StaticData.Today=TODAY(),_xll.BDP(AT17,"BID"),_xll.BDH(AT17,"BID",StaticData.Today,StaticData.Today)))</f>
        <v>5964.92</v>
      </c>
      <c r="AX17" s="182">
        <f>IF(AT17="","",IF(StaticData.Today=TODAY(),_xll.BDP(AT17,"ASK"),_xll.BDH(AT17,"ASK",StaticData.Today,StaticData.Today)))</f>
        <v>6369.61</v>
      </c>
      <c r="AY17" s="182">
        <f>IF(AT17="","",IF(StaticData.Today=TODAY(),_xll.BDP(AT17,"LAST_PRICE"),_xll.BDH(AT17,"LAST_PRICE",StaticData.Today,StaticData.Today)))</f>
        <v>6167.26</v>
      </c>
      <c r="AZ17" s="581">
        <f t="shared" si="1"/>
        <v>6167.26</v>
      </c>
    </row>
    <row r="18" spans="2:52" x14ac:dyDescent="0.25">
      <c r="B18" s="36"/>
      <c r="C18" s="36"/>
      <c r="D18" s="36"/>
      <c r="E18" s="36"/>
      <c r="G18" s="349"/>
      <c r="H18" s="25"/>
      <c r="I18" s="25"/>
      <c r="J18" s="187"/>
      <c r="K18" s="187"/>
      <c r="L18" s="26"/>
      <c r="M18" s="27"/>
      <c r="O18" s="24" t="str">
        <f>"CGSWH5"&amp;$O$2&amp;" Curncy"</f>
        <v>CGSWH5 TPRA Curncy</v>
      </c>
      <c r="P18" s="25" t="s">
        <v>331</v>
      </c>
      <c r="Q18" s="28"/>
      <c r="R18" s="29">
        <f>IF(O18="","",IF(StaticData.Today=TODAY(),_xll.BDP(O18,"BID"),_xll.BDH(O18,"BID",StaticData.Today,StaticData.Today)))</f>
        <v>3.3</v>
      </c>
      <c r="S18" s="29">
        <f>IF(O18="","",IF(StaticData.Today=TODAY(),_xll.BDP(O18,"ASK"),_xll.BDH(O18,"ASK",StaticData.Today,StaticData.Today)))</f>
        <v>3.9</v>
      </c>
      <c r="T18" s="30">
        <f>IF(O18="","",IF(StaticData.Today=TODAY(),_xll.BDP(O18,"LAST_PRICE"),_xll.BDH(O18,"LAST_PRICE",StaticData.Today,StaticData.Today)))</f>
        <v>3.6</v>
      </c>
      <c r="U18" s="183">
        <f t="shared" si="3"/>
        <v>3.6000000000000004E-2</v>
      </c>
      <c r="W18" s="24"/>
      <c r="X18" s="25"/>
      <c r="Y18" s="191"/>
      <c r="Z18" s="338"/>
      <c r="AB18" s="24"/>
      <c r="AC18" s="25"/>
      <c r="AD18" s="26"/>
      <c r="AE18" s="27"/>
      <c r="AG18" s="24"/>
      <c r="AH18" s="25"/>
      <c r="AI18" s="26"/>
      <c r="AJ18" s="27"/>
      <c r="AL18" s="14"/>
      <c r="AM18" s="25"/>
      <c r="AN18" s="31"/>
      <c r="AO18" s="29"/>
      <c r="AP18" s="29"/>
      <c r="AQ18" s="177"/>
      <c r="AR18" s="181"/>
      <c r="AT18" s="24" t="str">
        <f t="shared" ref="AT18:AT21" si="4">"BCN"&amp;AU18&amp;$AT$1&amp;" Curncy"</f>
        <v>BCN4Y BGN Curncy</v>
      </c>
      <c r="AU18" s="25" t="s">
        <v>324</v>
      </c>
      <c r="AV18" s="31"/>
      <c r="AW18" s="182">
        <f>IF(AT18="","",IF(StaticData.Today=TODAY(),_xll.BDP(AT18,"BID"),_xll.BDH(AT18,"BID",StaticData.Today,StaticData.Today)))</f>
        <v>10077.540000000001</v>
      </c>
      <c r="AX18" s="182">
        <f>IF(AT18="","",IF(StaticData.Today=TODAY(),_xll.BDP(AT18,"ASK"),_xll.BDH(AT18,"ASK",StaticData.Today,StaticData.Today)))</f>
        <v>10273.950000000001</v>
      </c>
      <c r="AY18" s="182">
        <f>IF(AT18="","",IF(StaticData.Today=TODAY(),_xll.BDP(AT18,"LAST_PRICE"),_xll.BDH(AT18,"LAST_PRICE",StaticData.Today,StaticData.Today)))</f>
        <v>10175.74</v>
      </c>
      <c r="AZ18" s="581">
        <f t="shared" ref="AZ18:AZ21" si="5">AY18</f>
        <v>10175.74</v>
      </c>
    </row>
    <row r="19" spans="2:52" x14ac:dyDescent="0.25">
      <c r="B19" s="36"/>
      <c r="C19" s="36"/>
      <c r="D19" s="36"/>
      <c r="E19" s="36"/>
      <c r="G19" s="349"/>
      <c r="H19" s="25"/>
      <c r="I19" s="25"/>
      <c r="J19" s="187"/>
      <c r="K19" s="187"/>
      <c r="L19" s="26"/>
      <c r="M19" s="27"/>
      <c r="O19" s="24" t="str">
        <f>"UDSW3"&amp;$O$2&amp;" Curncy"</f>
        <v>UDSW3 TPRA Curncy</v>
      </c>
      <c r="P19" s="25" t="s">
        <v>342</v>
      </c>
      <c r="Q19" s="28"/>
      <c r="R19" s="29">
        <f>IF(O19="","",IF(StaticData.Today=TODAY(),_xll.BDP(O19,"BID"),_xll.BDH(O19,"BID",StaticData.Today,StaticData.Today)))</f>
        <v>0.8</v>
      </c>
      <c r="S19" s="29">
        <f>IF(O19="","",IF(StaticData.Today=TODAY(),_xll.BDP(O19,"ASK"),_xll.BDH(O19,"ASK",StaticData.Today,StaticData.Today)))</f>
        <v>0.9</v>
      </c>
      <c r="T19" s="30">
        <f>IF(O19="","",IF(StaticData.Today=TODAY(),_xll.BDP(O19,"LAST_PRICE"),_xll.BDH(O19,"LAST_PRICE",StaticData.Today,StaticData.Today)))</f>
        <v>0.85</v>
      </c>
      <c r="U19" s="183">
        <f t="shared" si="3"/>
        <v>8.5000000000000006E-3</v>
      </c>
      <c r="W19" s="24"/>
      <c r="X19" s="25"/>
      <c r="Y19" s="191"/>
      <c r="Z19" s="338"/>
      <c r="AB19" s="24"/>
      <c r="AC19" s="25"/>
      <c r="AD19" s="26"/>
      <c r="AE19" s="27"/>
      <c r="AG19" s="24"/>
      <c r="AH19" s="25"/>
      <c r="AI19" s="26"/>
      <c r="AJ19" s="27"/>
      <c r="AL19" s="14"/>
      <c r="AM19" s="25"/>
      <c r="AN19" s="28"/>
      <c r="AO19" s="29"/>
      <c r="AP19" s="29"/>
      <c r="AQ19" s="177"/>
      <c r="AR19" s="181"/>
      <c r="AT19" s="24" t="str">
        <f t="shared" si="4"/>
        <v>BCN5Y BGN Curncy</v>
      </c>
      <c r="AU19" s="25" t="s">
        <v>331</v>
      </c>
      <c r="AV19" s="31"/>
      <c r="AW19" s="182">
        <f>IF(AT19="","",IF(StaticData.Today=TODAY(),_xll.BDP(AT19,"BID"),_xll.BDH(AT19,"BID",StaticData.Today,StaticData.Today)))</f>
        <v>14185.65</v>
      </c>
      <c r="AX19" s="182">
        <f>IF(AT19="","",IF(StaticData.Today=TODAY(),_xll.BDP(AT19,"ASK"),_xll.BDH(AT19,"ASK",StaticData.Today,StaticData.Today)))</f>
        <v>14967.02</v>
      </c>
      <c r="AY19" s="182">
        <f>IF(AT19="","",IF(StaticData.Today=TODAY(),_xll.BDP(AT19,"LAST_PRICE"),_xll.BDH(AT19,"LAST_PRICE",StaticData.Today,StaticData.Today)))</f>
        <v>14576.33</v>
      </c>
      <c r="AZ19" s="581">
        <f t="shared" si="5"/>
        <v>14576.33</v>
      </c>
    </row>
    <row r="20" spans="2:52" x14ac:dyDescent="0.25">
      <c r="B20" s="36"/>
      <c r="C20" s="36"/>
      <c r="D20" s="36"/>
      <c r="E20" s="36"/>
      <c r="G20" s="349"/>
      <c r="H20" s="25"/>
      <c r="I20" s="25"/>
      <c r="J20" s="187"/>
      <c r="K20" s="187"/>
      <c r="L20" s="26"/>
      <c r="M20" s="27"/>
      <c r="O20" s="24" t="str">
        <f>"CGSWH10"&amp;$O$2&amp;" Curncy"</f>
        <v>CGSWH10 TPRA Curncy</v>
      </c>
      <c r="P20" s="25" t="s">
        <v>349</v>
      </c>
      <c r="Q20" s="28"/>
      <c r="R20" s="29">
        <f>IF(O20="","",IF(StaticData.Today=TODAY(),_xll.BDP(O20,"BID"),_xll.BDH(O20,"BID",StaticData.Today,StaticData.Today)))</f>
        <v>4.1500000000000004</v>
      </c>
      <c r="S20" s="29">
        <f>IF(O20="","",IF(StaticData.Today=TODAY(),_xll.BDP(O20,"ASK"),_xll.BDH(O20,"ASK",StaticData.Today,StaticData.Today)))</f>
        <v>4.8499999999999996</v>
      </c>
      <c r="T20" s="30">
        <f>IF(O20="","",IF(StaticData.Today=TODAY(),_xll.BDP(O20,"LAST_PRICE"),_xll.BDH(O20,"LAST_PRICE",StaticData.Today,StaticData.Today)))</f>
        <v>4.5</v>
      </c>
      <c r="U20" s="183">
        <f t="shared" si="3"/>
        <v>4.4999999999999998E-2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4"/>
        <v>BCN7Y BGN Curncy</v>
      </c>
      <c r="AU20" s="25" t="s">
        <v>342</v>
      </c>
      <c r="AV20" s="31"/>
      <c r="AW20" s="182">
        <f>IF(AT20="","",IF(StaticData.Today=TODAY(),_xll.BDP(AT20,"BID"),_xll.BDH(AT20,"BID",StaticData.Today,StaticData.Today)))</f>
        <v>24325.39</v>
      </c>
      <c r="AX20" s="182">
        <f>IF(AT20="","",IF(StaticData.Today=TODAY(),_xll.BDP(AT20,"ASK"),_xll.BDH(AT20,"ASK",StaticData.Today,StaticData.Today)))</f>
        <v>25126.59</v>
      </c>
      <c r="AY20" s="182">
        <f>IF(AT20="","",IF(StaticData.Today=TODAY(),_xll.BDP(AT20,"LAST_PRICE"),_xll.BDH(AT20,"LAST_PRICE",StaticData.Today,StaticData.Today)))</f>
        <v>24725.99</v>
      </c>
      <c r="AZ20" s="581">
        <f t="shared" si="5"/>
        <v>24725.99</v>
      </c>
    </row>
    <row r="21" spans="2:52" x14ac:dyDescent="0.25">
      <c r="B21" s="36"/>
      <c r="C21" s="36"/>
      <c r="D21" s="36"/>
      <c r="E21" s="36"/>
      <c r="G21" s="349"/>
      <c r="H21" s="25"/>
      <c r="I21" s="25"/>
      <c r="J21" s="187"/>
      <c r="K21" s="187"/>
      <c r="L21" s="26"/>
      <c r="M21" s="27"/>
      <c r="O21" s="24"/>
      <c r="P21" s="25"/>
      <c r="Q21" s="28"/>
      <c r="R21" s="29"/>
      <c r="S21" s="29"/>
      <c r="T21" s="30"/>
      <c r="U21" s="183"/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si="4"/>
        <v>BCN10Y BGN Curncy</v>
      </c>
      <c r="AU21" s="25" t="s">
        <v>349</v>
      </c>
      <c r="AV21" s="31"/>
      <c r="AW21" s="182">
        <f>IF(AT21="","",IF(StaticData.Today=TODAY(),_xll.BDP(AT21,"BID"),_xll.BDH(AT21,"BID",StaticData.Today,StaticData.Today)))</f>
        <v>41652.31</v>
      </c>
      <c r="AX21" s="182">
        <f>IF(AT21="","",IF(StaticData.Today=TODAY(),_xll.BDP(AT21,"ASK"),_xll.BDH(AT21,"ASK",StaticData.Today,StaticData.Today)))</f>
        <v>42848.12</v>
      </c>
      <c r="AY21" s="182">
        <f>IF(AT21="","",IF(StaticData.Today=TODAY(),_xll.BDP(AT21,"LAST_PRICE"),_xll.BDH(AT21,"LAST_PRICE",StaticData.Today,StaticData.Today)))</f>
        <v>42250.21</v>
      </c>
      <c r="AZ21" s="581">
        <f t="shared" si="5"/>
        <v>42250.21</v>
      </c>
    </row>
    <row r="22" spans="2:52" x14ac:dyDescent="0.25">
      <c r="B22" s="36"/>
      <c r="C22" s="36"/>
      <c r="D22" s="36"/>
      <c r="E22" s="36"/>
      <c r="G22" s="349"/>
      <c r="H22" s="25"/>
      <c r="I22" s="25"/>
      <c r="J22" s="187"/>
      <c r="K22" s="187"/>
      <c r="L22" s="26"/>
      <c r="M22" s="27"/>
      <c r="O22" s="24"/>
      <c r="P22" s="25"/>
      <c r="Q22" s="28"/>
      <c r="R22" s="29"/>
      <c r="S22" s="29"/>
      <c r="T22" s="30"/>
      <c r="U22" s="183"/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/>
      <c r="AU22" s="25"/>
      <c r="AV22" s="28"/>
      <c r="AW22" s="196"/>
      <c r="AX22" s="196"/>
      <c r="AY22" s="196"/>
      <c r="AZ22" s="471"/>
    </row>
    <row r="23" spans="2:52" x14ac:dyDescent="0.25">
      <c r="B23" s="36"/>
      <c r="C23" s="36"/>
      <c r="D23" s="36"/>
      <c r="E23" s="36"/>
      <c r="G23" s="349"/>
      <c r="H23" s="25"/>
      <c r="I23" s="25"/>
      <c r="J23" s="187"/>
      <c r="K23" s="187"/>
      <c r="L23" s="26"/>
      <c r="M23" s="470"/>
      <c r="O23" s="24"/>
      <c r="P23" s="25"/>
      <c r="Q23" s="28"/>
      <c r="R23" s="29"/>
      <c r="S23" s="29"/>
      <c r="T23" s="30"/>
      <c r="U23" s="183"/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/>
      <c r="AU23" s="25"/>
      <c r="AV23" s="28"/>
      <c r="AW23" s="196"/>
      <c r="AX23" s="196"/>
      <c r="AY23" s="196"/>
      <c r="AZ23" s="471"/>
    </row>
    <row r="24" spans="2:52" x14ac:dyDescent="0.25">
      <c r="G24" s="349"/>
      <c r="H24" s="25"/>
      <c r="I24" s="25"/>
      <c r="J24" s="187"/>
      <c r="K24" s="187"/>
      <c r="L24" s="26"/>
      <c r="M24" s="27"/>
      <c r="O24" s="24"/>
      <c r="P24" s="25"/>
      <c r="Q24" s="28"/>
      <c r="R24" s="29"/>
      <c r="S24" s="29"/>
      <c r="T24" s="30"/>
      <c r="U24" s="183"/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/>
      <c r="AU24" s="25"/>
      <c r="AV24" s="28"/>
      <c r="AW24" s="196"/>
      <c r="AX24" s="196"/>
      <c r="AY24" s="196"/>
      <c r="AZ24" s="471"/>
    </row>
    <row r="25" spans="2:52" x14ac:dyDescent="0.25">
      <c r="G25" s="349"/>
      <c r="H25" s="25"/>
      <c r="I25" s="25"/>
      <c r="J25" s="187"/>
      <c r="K25" s="187"/>
      <c r="L25" s="26"/>
      <c r="M25" s="27"/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/>
      <c r="AU25" s="25"/>
      <c r="AV25" s="28"/>
      <c r="AW25" s="196"/>
      <c r="AX25" s="196"/>
      <c r="AY25" s="196"/>
      <c r="AZ25" s="471"/>
    </row>
    <row r="26" spans="2:52" x14ac:dyDescent="0.25">
      <c r="G26" s="349"/>
      <c r="H26" s="25"/>
      <c r="I26" s="25"/>
      <c r="J26" s="187"/>
      <c r="K26" s="187"/>
      <c r="L26" s="26"/>
      <c r="M26" s="27"/>
      <c r="O26" s="24"/>
      <c r="P26" s="25"/>
      <c r="Q26" s="28"/>
      <c r="R26" s="29"/>
      <c r="S26" s="29"/>
      <c r="T26" s="30"/>
      <c r="U26" s="27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78"/>
      <c r="AX26" s="178"/>
      <c r="AY26" s="30"/>
      <c r="AZ26" s="27"/>
    </row>
    <row r="27" spans="2:52" x14ac:dyDescent="0.25">
      <c r="G27" s="349"/>
      <c r="H27" s="25"/>
      <c r="I27" s="25"/>
      <c r="J27" s="187"/>
      <c r="K27" s="187"/>
      <c r="L27" s="26"/>
      <c r="M27" s="27"/>
      <c r="O27" s="24"/>
      <c r="P27" s="25"/>
      <c r="Q27" s="28"/>
      <c r="R27" s="29"/>
      <c r="S27" s="29"/>
      <c r="T27" s="30"/>
      <c r="U27" s="27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29"/>
      <c r="AX27" s="29"/>
      <c r="AY27" s="30" t="str">
        <f>IF(AT27="","",IF(StaticData.Today=TODAY(),_xll.BDP(AT27,"LAST_PRICE"),_xll.BDH(AT27,"LAST_PRICE",StaticData.Today,StaticData.Today)))</f>
        <v/>
      </c>
      <c r="AZ27" s="27"/>
    </row>
    <row r="28" spans="2:52" x14ac:dyDescent="0.25">
      <c r="G28" s="24"/>
      <c r="H28" s="25"/>
      <c r="I28" s="25"/>
      <c r="J28" s="187"/>
      <c r="K28" s="187"/>
      <c r="L28" s="26"/>
      <c r="M28" s="27"/>
      <c r="O28" s="24"/>
      <c r="P28" s="25"/>
      <c r="Q28" s="28"/>
      <c r="R28" s="29"/>
      <c r="S28" s="29"/>
      <c r="T28" s="30"/>
      <c r="U28" s="27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29"/>
      <c r="AX28" s="29"/>
      <c r="AY28" s="30" t="str">
        <f>IF(AT28="","",IF(StaticData.Today=TODAY(),_xll.BDP(AT28,"LAST_PRICE"),_xll.BDH(AT28,"LAST_PRICE",StaticData.Today,StaticData.Today)))</f>
        <v/>
      </c>
      <c r="AZ28" s="27"/>
    </row>
    <row r="29" spans="2:52" x14ac:dyDescent="0.25">
      <c r="G29" s="24"/>
      <c r="H29" s="25"/>
      <c r="I29" s="25"/>
      <c r="J29" s="187"/>
      <c r="K29" s="187"/>
      <c r="L29" s="26"/>
      <c r="M29" s="27"/>
      <c r="O29" s="24"/>
      <c r="P29" s="25"/>
      <c r="Q29" s="28"/>
      <c r="R29" s="29"/>
      <c r="S29" s="29"/>
      <c r="T29" s="30"/>
      <c r="U29" s="27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29"/>
      <c r="AX29" s="29"/>
      <c r="AY29" s="30"/>
      <c r="AZ29" s="27"/>
    </row>
    <row r="30" spans="2:52" x14ac:dyDescent="0.25">
      <c r="G30" s="24"/>
      <c r="H30" s="25"/>
      <c r="I30" s="25"/>
      <c r="J30" s="187"/>
      <c r="K30" s="187"/>
      <c r="L30" s="26"/>
      <c r="M30" s="27"/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29"/>
      <c r="AX30" s="29"/>
      <c r="AY30" s="30"/>
      <c r="AZ30" s="27"/>
    </row>
    <row r="31" spans="2:52" x14ac:dyDescent="0.25">
      <c r="G31" s="24"/>
      <c r="H31" s="25"/>
      <c r="I31" s="25"/>
      <c r="J31" s="187"/>
      <c r="K31" s="187"/>
      <c r="L31" s="26"/>
      <c r="M31" s="27"/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/>
      <c r="AZ31" s="27"/>
    </row>
    <row r="32" spans="2:52" x14ac:dyDescent="0.25">
      <c r="G32" s="24"/>
      <c r="H32" s="25"/>
      <c r="I32" s="25"/>
      <c r="J32" s="187"/>
      <c r="K32" s="187"/>
      <c r="L32" s="26"/>
      <c r="M32" s="27"/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7:52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 t="str">
        <f>IF(O33="","",IF(StaticData.Today=TODAY(),_xll.BDP(O33,"LAST_PRICE"),_xll.BDH(O33,"LAST_PRICE",StaticData.Today,StaticData.Today)))</f>
        <v/>
      </c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7:52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 t="str">
        <f>IF(O34="","",IF(StaticData.Today=TODAY(),_xll.BDP(O34,"LAST_PRICE"),_xll.BDH(O34,"LAST_PRICE",StaticData.Today,StaticData.Today)))</f>
        <v/>
      </c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7:52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 t="str">
        <f>IF(O35="","",IF(StaticData.Today=TODAY(),_xll.BDP(O35,"LAST_PRICE"),_xll.BDH(O35,"LAST_PRICE",StaticData.Today,StaticData.Today)))</f>
        <v/>
      </c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7:52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 t="str">
        <f>IF(O36="","",IF(StaticData.Today=TODAY(),_xll.BDP(O36,"LAST_PRICE"),_xll.BDH(O36,"LAST_PRICE",StaticData.Today,StaticData.Today)))</f>
        <v/>
      </c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 t="str">
        <f>IF(AT36="","",IF(StaticData.Today=TODAY(),_xll.BDP(AT36,"LAST_PRICE"),_xll.BDH(AT36,"LAST_PRICE",StaticData.Today,StaticData.Today)))</f>
        <v/>
      </c>
      <c r="AZ36" s="27"/>
    </row>
    <row r="37" spans="7:52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 t="str">
        <f>IF(O37="","",IF(StaticData.Today=TODAY(),_xll.BDP(O37,"LAST_PRICE"),_xll.BDH(O37,"LAST_PRICE",StaticData.Today,StaticData.Today)))</f>
        <v/>
      </c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 t="str">
        <f>IF(AT37="","",IF(StaticData.Today=TODAY(),_xll.BDP(AT37,"LAST_PRICE"),_xll.BDH(AT37,"LAST_PRICE",StaticData.Today,StaticData.Today)))</f>
        <v/>
      </c>
      <c r="AZ37" s="27"/>
    </row>
    <row r="38" spans="7:52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 t="str">
        <f>IF(O38="","",IF(StaticData.Today=TODAY(),_xll.BDP(O38,"LAST_PRICE"),_xll.BDH(O38,"LAST_PRICE",StaticData.Today,StaticData.Today)))</f>
        <v/>
      </c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</row>
    <row r="39" spans="7:52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7:52" x14ac:dyDescent="0.25">
      <c r="G40" s="24"/>
      <c r="H40" s="25"/>
      <c r="I40" s="25"/>
      <c r="J40" s="25"/>
      <c r="K40" s="25"/>
      <c r="L40" s="26"/>
      <c r="M40" s="27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7:52" x14ac:dyDescent="0.25">
      <c r="G41" s="38"/>
      <c r="H41" s="39"/>
      <c r="I41" s="39"/>
      <c r="J41" s="39"/>
      <c r="K41" s="39"/>
      <c r="L41" s="40"/>
      <c r="M41" s="41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7:52" x14ac:dyDescent="0.25"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7:52" x14ac:dyDescent="0.25">
      <c r="O43" s="38"/>
      <c r="P43" s="39"/>
      <c r="Q43" s="42"/>
      <c r="R43" s="43"/>
      <c r="S43" s="43"/>
      <c r="T43" s="44" t="str">
        <f>IF(O43="","",IF(StaticData.Today=TODAY(),_xll.BDP(O43,"LAST_PRICE"),_xll.BDH(O43,"LAST_PRICE",StaticData.Today,StaticData.Today)))</f>
        <v/>
      </c>
      <c r="U43" s="41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7:52" x14ac:dyDescent="0.25"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7:52" x14ac:dyDescent="0.25"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7:52" x14ac:dyDescent="0.25"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38"/>
      <c r="AU46" s="39"/>
      <c r="AV46" s="42"/>
      <c r="AW46" s="43"/>
      <c r="AX46" s="43"/>
      <c r="AY46" s="44" t="str">
        <f>IF(AT46="","",IF(StaticData.Today=TODAY(),_xll.BDP(AT46,"LAST_PRICE"),_xll.BDH(AT46,"LAST_PRICE",StaticData.Today,StaticData.Today)))</f>
        <v/>
      </c>
      <c r="AZ46" s="41"/>
    </row>
    <row r="47" spans="7:52" x14ac:dyDescent="0.25"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</row>
    <row r="48" spans="7:52" x14ac:dyDescent="0.25">
      <c r="W48" s="38"/>
      <c r="X48" s="39"/>
      <c r="Y48" s="192"/>
      <c r="Z48" s="41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</row>
    <row r="49" spans="28:31" x14ac:dyDescent="0.25"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</row>
    <row r="50" spans="28:31" x14ac:dyDescent="0.25"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41"/>
    </row>
  </sheetData>
  <dataValidations disablePrompts="1" count="4">
    <dataValidation type="list" allowBlank="1" showInputMessage="1" showErrorMessage="1" sqref="AT2">
      <formula1>$AE$100:$AE$103</formula1>
    </dataValidation>
    <dataValidation type="list" allowBlank="1" showInputMessage="1" showErrorMessage="1" sqref="O1">
      <formula1>$Q$85:$Q$88</formula1>
    </dataValidation>
    <dataValidation type="list" allowBlank="1" showInputMessage="1" showErrorMessage="1" sqref="AB2">
      <formula1>$Q$89:$Q$92</formula1>
    </dataValidation>
    <dataValidation type="list" allowBlank="1" showInputMessage="1" showErrorMessage="1" sqref="AL2 W2">
      <formula1>$Q$91:$Q$94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'STATIC DATA'!$AE$97:$AE$100</xm:f>
          </x14:formula1>
          <xm:sqref>O2</xm:sqref>
        </x14:dataValidation>
        <x14:dataValidation type="list" allowBlank="1" showInputMessage="1" showErrorMessage="1">
          <x14:formula1>
            <xm:f>'STATIC DATA'!$AH$92:$AH$95</xm:f>
          </x14:formula1>
          <xm:sqref>AT1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7" tint="0.79998168889431442"/>
  </sheetPr>
  <dimension ref="A1:AZ56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8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96</v>
      </c>
      <c r="G1" s="6" t="s">
        <v>546</v>
      </c>
      <c r="O1" s="6" t="s">
        <v>849</v>
      </c>
      <c r="AT1" s="6" t="s">
        <v>508</v>
      </c>
    </row>
    <row r="2" spans="1:52" x14ac:dyDescent="0.25">
      <c r="G2" s="7"/>
      <c r="O2" s="6" t="s">
        <v>508</v>
      </c>
      <c r="W2" s="6" t="s">
        <v>528</v>
      </c>
      <c r="AB2" s="6" t="s">
        <v>528</v>
      </c>
      <c r="AL2" s="6" t="s">
        <v>528</v>
      </c>
      <c r="AT2" s="6" t="s">
        <v>510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553</v>
      </c>
      <c r="L3" s="8"/>
      <c r="O3" s="2" t="str">
        <f>$A$1&amp;"_3M"</f>
        <v>CAD_3M</v>
      </c>
      <c r="T3" s="8" t="s">
        <v>282</v>
      </c>
      <c r="W3" s="2" t="str">
        <f>$A$1&amp;"_BASIS_6M"</f>
        <v>CAD_BASIS_6M</v>
      </c>
      <c r="AB3" s="2" t="str">
        <f>$A$1&amp;"_BASIS_1M"</f>
        <v>CAD_BASIS_1M</v>
      </c>
      <c r="AG3" s="2" t="str">
        <f>$A$1&amp;"_BASIS_12M"</f>
        <v>CAD_BASIS_12M</v>
      </c>
      <c r="AL3" s="2" t="str">
        <f>'STATIC DATA'!$D$4&amp;'STATIC DATA'!$Q$4&amp;"_BASIS"</f>
        <v>EURCZK_BASIS</v>
      </c>
      <c r="AQ3" s="8" t="s">
        <v>282</v>
      </c>
      <c r="AT3" s="2" t="str">
        <f>$A$1&amp;"_"&amp;'STATIC DATA'!S67</f>
        <v>CAD_USD_1D</v>
      </c>
      <c r="AY3" s="8" t="s">
        <v>282</v>
      </c>
    </row>
    <row r="4" spans="1:52" x14ac:dyDescent="0.25">
      <c r="B4" s="9" t="b">
        <f>SUM(C7:C17)=SUM(D7:D17)</f>
        <v>0</v>
      </c>
      <c r="E4" s="10">
        <f>SUM(E7:E17)</f>
        <v>13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CZEONIA</v>
      </c>
      <c r="C7" s="12">
        <f>COUNTA(G7:G41)</f>
        <v>21</v>
      </c>
      <c r="D7" s="12">
        <f>COUNT(L7:L41)</f>
        <v>9</v>
      </c>
      <c r="E7" s="13">
        <f t="shared" ref="E7:E12" si="0">C7-D7</f>
        <v>12</v>
      </c>
      <c r="G7" s="14" t="s">
        <v>1190</v>
      </c>
      <c r="H7" s="15" t="s">
        <v>298</v>
      </c>
      <c r="I7" s="15"/>
      <c r="J7" s="186"/>
      <c r="K7" s="186"/>
      <c r="L7" s="26">
        <f>IF(G7="","",IF(StaticData.Today=TODAY(),_xll.BDP(G7,"PX_LAST"),_xll.BDH(G7,"PX_LAST",StaticData.Today,StaticData.Today)))</f>
        <v>0.25</v>
      </c>
      <c r="M7" s="17">
        <f>L7/100</f>
        <v>2.5000000000000001E-3</v>
      </c>
      <c r="O7" s="14"/>
      <c r="P7" s="15"/>
      <c r="Q7" s="18"/>
      <c r="R7" s="19"/>
      <c r="S7" s="19"/>
      <c r="T7" s="20" t="str">
        <f>IF(O7="","",IF(StaticData.Today=TODAY(),_xll.BDP(O7,"PX_LAST"),_xll.BDH(O7,"PX_LAST",StaticData.Today,StaticData.Today)))</f>
        <v/>
      </c>
      <c r="U7" s="184">
        <f>U8</f>
        <v>4.8124999999999999E-3</v>
      </c>
      <c r="W7" s="8">
        <f>O7</f>
        <v>0</v>
      </c>
      <c r="X7" s="8" t="s">
        <v>298</v>
      </c>
      <c r="Y7" s="189"/>
      <c r="Z7" s="449">
        <f>U7</f>
        <v>4.8124999999999999E-3</v>
      </c>
      <c r="AB7" s="14">
        <f>O7</f>
        <v>0</v>
      </c>
      <c r="AC7" s="15" t="s">
        <v>298</v>
      </c>
      <c r="AD7" s="16" t="str">
        <f>T7</f>
        <v/>
      </c>
      <c r="AE7" s="17" t="e">
        <f>AD7/100</f>
        <v>#VALUE!</v>
      </c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 t="str">
        <f>"CDBSC"&amp;" Curncy"</f>
        <v>CDBSC Curncy</v>
      </c>
      <c r="AM7" s="15" t="s">
        <v>49</v>
      </c>
      <c r="AN7" s="18"/>
      <c r="AO7" s="19">
        <f>IF(AL7="","",IF(StaticData.Today=TODAY(),_xll.BDP(AL7,"BID"),_xll.BDH(AL7,"BID",StaticData.Today,StaticData.Today)))</f>
        <v>-33.506999999999998</v>
      </c>
      <c r="AP7" s="19">
        <f>IF(AL7="","",IF(StaticData.Today=TODAY(),_xll.BDP(AL7,"ASK"),_xll.BDH(AL7,"ASK",StaticData.Today,StaticData.Today)))</f>
        <v>-31.492999999999999</v>
      </c>
      <c r="AQ7" s="177">
        <f>IF(AL7="","",IF(StaticData.Today=TODAY(),_xll.BDP(AL7,"LAST_PRICE"),_xll.BDH(AL7,"LAST_PRICE",StaticData.Today,StaticData.Today)))</f>
        <v>-32.5</v>
      </c>
      <c r="AR7" s="180">
        <f>AQ7</f>
        <v>-32.5</v>
      </c>
      <c r="AT7" s="24" t="s">
        <v>1194</v>
      </c>
      <c r="AU7" s="15"/>
      <c r="AV7" s="18"/>
      <c r="AW7" s="19">
        <f>IF(AT7="","",IF(StaticData.Today=TODAY(),_xll.BDP(AT7,"BID"),_xll.BDH(AT7,"BID",StaticData.Today,StaticData.Today)))</f>
        <v>1.3229</v>
      </c>
      <c r="AX7" s="19">
        <f>IF(AT7="","",IF(StaticData.Today=TODAY(),_xll.BDP(AT7,"ASK"),_xll.BDH(AT7,"ASK",StaticData.Today,StaticData.Today)))</f>
        <v>1.323</v>
      </c>
      <c r="AY7" s="196">
        <f>IF(AT7="","",IF(StaticData.Today=TODAY(),_xll.BDP(AT7,"PX_LAST"),_xll.BDH(AT7,"PX_LAST",StaticData.Today,StaticData.Today)))</f>
        <v>1.3226</v>
      </c>
      <c r="AZ7" s="180">
        <f t="shared" ref="AZ7:AZ12" si="1">AY7</f>
        <v>1.3226</v>
      </c>
    </row>
    <row r="8" spans="1:52" x14ac:dyDescent="0.25">
      <c r="B8" s="21" t="str">
        <f>O3</f>
        <v>CAD_3M</v>
      </c>
      <c r="C8" s="22">
        <f>COUNTA(O7:O46)</f>
        <v>19</v>
      </c>
      <c r="D8" s="22">
        <f>COUNT(T7:T46)</f>
        <v>19</v>
      </c>
      <c r="E8" s="23">
        <f t="shared" si="0"/>
        <v>0</v>
      </c>
      <c r="G8" s="24" t="str">
        <f>"CDSO1Z"&amp;G$1&amp;" Curncy"</f>
        <v>CDSO1Z FMDR Curncy</v>
      </c>
      <c r="H8" s="25" t="s">
        <v>305</v>
      </c>
      <c r="I8" s="25"/>
      <c r="J8" s="187">
        <f>IF(G8="","",IF(StaticData.Today=TODAY(),_xll.BDP(G8,"BID"),_xll.BDH(G8,"BID",StaticData.Today,StaticData.Today)))</f>
        <v>0.23699999999999999</v>
      </c>
      <c r="K8" s="187">
        <f>IF(G8="","",IF(StaticData.Today=TODAY(),_xll.BDP(G8,"ASK"),_xll.BDH(G8,"ASK",StaticData.Today,StaticData.Today)))</f>
        <v>0.25700000000000001</v>
      </c>
      <c r="L8" s="26">
        <f>IF(G8="","",IF(StaticData.Today=TODAY(),_xll.BDP(G8,"LAST_PRICE"),_xll.BDH(G8,"LAST_PRICE",StaticData.Today,StaticData.Today)))</f>
        <v>0.247</v>
      </c>
      <c r="M8" s="27">
        <f t="shared" ref="M8:M14" si="2">L8/100</f>
        <v>2.47E-3</v>
      </c>
      <c r="O8" s="24" t="s">
        <v>1191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0.48125000000000001</v>
      </c>
      <c r="U8" s="183">
        <f>T8/100</f>
        <v>4.8124999999999999E-3</v>
      </c>
      <c r="W8" s="8" t="str">
        <f t="shared" ref="W8:W9" si="3">O8</f>
        <v>CDOR01 Index</v>
      </c>
      <c r="X8" s="8" t="s">
        <v>300</v>
      </c>
      <c r="Y8" s="189"/>
      <c r="Z8" s="449">
        <f t="shared" ref="Z8:Z9" si="4">U8</f>
        <v>4.8124999999999999E-3</v>
      </c>
      <c r="AB8" s="24" t="str">
        <f>O8</f>
        <v>CDOR01 Index</v>
      </c>
      <c r="AC8" s="25" t="s">
        <v>300</v>
      </c>
      <c r="AD8" s="26">
        <f>T8</f>
        <v>0.48125000000000001</v>
      </c>
      <c r="AE8" s="27">
        <f>AD8/100</f>
        <v>4.8124999999999999E-3</v>
      </c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14" t="str">
        <f>"CDBSF"&amp;" Curncy"</f>
        <v>CDBSF Curncy</v>
      </c>
      <c r="AM8" s="25" t="s">
        <v>46</v>
      </c>
      <c r="AN8" s="28"/>
      <c r="AO8" s="29">
        <f>IF(AL8="","",IF(StaticData.Today=TODAY(),_xll.BDP(AL8,"BID"),_xll.BDH(AL8,"BID",StaticData.Today,StaticData.Today)))</f>
        <v>-35.006999999999998</v>
      </c>
      <c r="AP8" s="29">
        <f>IF(AL8="","",IF(StaticData.Today=TODAY(),_xll.BDP(AL8,"ASK"),_xll.BDH(AL8,"ASK",StaticData.Today,StaticData.Today)))</f>
        <v>-32.993000000000002</v>
      </c>
      <c r="AQ8" s="177">
        <f>IF(AL8="","",IF(StaticData.Today=TODAY(),_xll.BDP(AL8,"LAST_PRICE"),_xll.BDH(AL8,"LAST_PRICE",StaticData.Today,StaticData.Today)))</f>
        <v>-34</v>
      </c>
      <c r="AR8" s="181">
        <f>AQ8</f>
        <v>-34</v>
      </c>
      <c r="AT8" s="24" t="str">
        <f t="shared" ref="AT8:AT19" si="5">"CAD"&amp;AU8&amp;$AT$1&amp;" Curncy"</f>
        <v>CADON BGN Curncy</v>
      </c>
      <c r="AU8" s="25" t="s">
        <v>298</v>
      </c>
      <c r="AV8" s="28"/>
      <c r="AW8" s="196">
        <f>IF(AT8="","",IF(StaticData.Today=TODAY(),_xll.BDP(AT8,"BID"),_xll.BDH(AT8,"BID",StaticData.Today,StaticData.Today)))</f>
        <v>-5.1999999999999998E-2</v>
      </c>
      <c r="AX8" s="196">
        <f>IF(AT8="","",IF(StaticData.Today=TODAY(),_xll.BDP(AT8,"ASK"),_xll.BDH(AT8,"ASK",StaticData.Today,StaticData.Today)))</f>
        <v>-2E-3</v>
      </c>
      <c r="AY8" s="196">
        <f>IF(AT8="","",IF(StaticData.Today=TODAY(),_xll.BDP(AT8,"PX_LAST"),_xll.BDH(AT8,"PX_LAST",StaticData.Today,StaticData.Today)))</f>
        <v>-2.5999999999999999E-2</v>
      </c>
      <c r="AZ8" s="471">
        <f t="shared" si="1"/>
        <v>-2.5999999999999999E-2</v>
      </c>
    </row>
    <row r="9" spans="1:52" x14ac:dyDescent="0.25">
      <c r="B9" s="21" t="s">
        <v>511</v>
      </c>
      <c r="C9" s="22">
        <f>COUNTA(O11:O16)*2</f>
        <v>12</v>
      </c>
      <c r="D9" s="22">
        <f>COUNT(R11:S16)</f>
        <v>12</v>
      </c>
      <c r="E9" s="23">
        <f t="shared" si="0"/>
        <v>0</v>
      </c>
      <c r="G9" s="24" t="str">
        <f>"CDSO1"&amp;G1&amp;" Curncy"</f>
        <v>CDSO1 FMDR Curncy</v>
      </c>
      <c r="H9" s="25" t="s">
        <v>313</v>
      </c>
      <c r="I9" s="25"/>
      <c r="J9" s="187">
        <f>IF(G9="","",IF(StaticData.Today=TODAY(),_xll.BDP(G9,"BID"),_xll.BDH(G9,"BID",StaticData.Today,StaticData.Today)))</f>
        <v>0.22700000000000001</v>
      </c>
      <c r="K9" s="187">
        <f>IF(G9="","",IF(StaticData.Today=TODAY(),_xll.BDP(G9,"ASK"),_xll.BDH(G9,"ASK",StaticData.Today,StaticData.Today)))</f>
        <v>0.247</v>
      </c>
      <c r="L9" s="26">
        <f>IF(G9="","",IF(StaticData.Today=TODAY(),_xll.BDP(G9,"LAST_PRICE"),_xll.BDH(G9,"LAST_PRICE",StaticData.Today,StaticData.Today)))</f>
        <v>0.23699999999999999</v>
      </c>
      <c r="M9" s="27">
        <f t="shared" si="2"/>
        <v>2.3699999999999997E-3</v>
      </c>
      <c r="O9" s="24" t="s">
        <v>1192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0.505</v>
      </c>
      <c r="U9" s="183">
        <f>T9/100</f>
        <v>5.0499999999999998E-3</v>
      </c>
      <c r="W9" s="8" t="str">
        <f t="shared" si="3"/>
        <v>CDOR03 Index</v>
      </c>
      <c r="X9" s="8" t="s">
        <v>49</v>
      </c>
      <c r="Y9" s="189"/>
      <c r="Z9" s="449">
        <f t="shared" si="4"/>
        <v>5.0499999999999998E-3</v>
      </c>
      <c r="AB9" s="24" t="str">
        <f>"CKBSAV1"&amp;$AB$2&amp;" Curncy"</f>
        <v>CKBSAV1 ICPL Curncy</v>
      </c>
      <c r="AC9" s="25" t="s">
        <v>47</v>
      </c>
      <c r="AD9" s="26">
        <f>IF(AB9="","",IF(StaticData.Today=TODAY(),_xll.BDP(AB9,"LAST_PRICE"),_xll.BDH(AB9,"LAST_PRICE",StaticData.Today,StaticData.Today)))</f>
        <v>9.8000000000000007</v>
      </c>
      <c r="AE9" s="27">
        <f>AD9/10000</f>
        <v>9.7999999999999997E-4</v>
      </c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14" t="str">
        <f>"CDBSI"&amp;" Curncy"</f>
        <v>CDBSI Curncy</v>
      </c>
      <c r="AM9" s="25" t="s">
        <v>376</v>
      </c>
      <c r="AN9" s="28"/>
      <c r="AO9" s="29">
        <f>IF(AL9="","",IF(StaticData.Today=TODAY(),_xll.BDP(AL9,"BID"),_xll.BDH(AL9,"BID",StaticData.Today,StaticData.Today)))</f>
        <v>-31.952000000000002</v>
      </c>
      <c r="AP9" s="29">
        <f>IF(AL9="","",IF(StaticData.Today=TODAY(),_xll.BDP(AL9,"ASK"),_xll.BDH(AL9,"ASK",StaticData.Today,StaticData.Today)))</f>
        <v>-30.047999999999998</v>
      </c>
      <c r="AQ9" s="177">
        <f>IF(AL9="","",IF(StaticData.Today=TODAY(),_xll.BDP(AL9,"LAST_PRICE"),_xll.BDH(AL9,"LAST_PRICE",StaticData.Today,StaticData.Today)))</f>
        <v>-31</v>
      </c>
      <c r="AR9" s="181">
        <f>AQ9</f>
        <v>-31</v>
      </c>
      <c r="AT9" s="24" t="str">
        <f t="shared" si="5"/>
        <v>CADTN BGN Curncy</v>
      </c>
      <c r="AU9" s="25" t="s">
        <v>506</v>
      </c>
      <c r="AV9" s="28"/>
      <c r="AW9" s="196">
        <f>IF(AT9="","",IF(StaticData.Today=TODAY(),_xll.BDP(AT9,"BID"),_xll.BDH(AT9,"BID",StaticData.Today,StaticData.Today)))</f>
        <v>-0.05</v>
      </c>
      <c r="AX9" s="196">
        <f>IF(AT9="","",IF(StaticData.Today=TODAY(),_xll.BDP(AT9,"ASK"),_xll.BDH(AT9,"ASK",StaticData.Today,StaticData.Today)))</f>
        <v>-0.01</v>
      </c>
      <c r="AY9" s="196">
        <f>IF(AT9="","",IF(StaticData.Today=TODAY(),_xll.BDP(AT9,"PX_LAST"),_xll.BDH(AT9,"PX_LAST",StaticData.Today,StaticData.Today)))</f>
        <v>-2.5000000000000001E-2</v>
      </c>
      <c r="AZ9" s="471">
        <f t="shared" si="1"/>
        <v>-2.5000000000000001E-2</v>
      </c>
    </row>
    <row r="10" spans="1:52" x14ac:dyDescent="0.25">
      <c r="B10" s="21" t="s">
        <v>283</v>
      </c>
      <c r="C10" s="22">
        <f>COUNTA(W15:W56)</f>
        <v>13</v>
      </c>
      <c r="D10" s="22">
        <f>COUNT(Y15:Y56)</f>
        <v>13</v>
      </c>
      <c r="E10" s="23">
        <f t="shared" si="0"/>
        <v>0</v>
      </c>
      <c r="G10" s="24" t="str">
        <f>"CDSOA"&amp;$G$1&amp;" Curncy"</f>
        <v>CDSOA FMDR Curncy</v>
      </c>
      <c r="H10" s="25" t="s">
        <v>300</v>
      </c>
      <c r="I10" s="25"/>
      <c r="J10" s="187">
        <f>IF(G10="","",IF(StaticData.Today=TODAY(),_xll.BDP(G10,"BID"),_xll.BDH(G10,"BID",StaticData.Today,StaticData.Today)))</f>
        <v>0.23</v>
      </c>
      <c r="K10" s="187">
        <f>IF(G10="","",IF(StaticData.Today=TODAY(),_xll.BDP(G10,"ASK"),_xll.BDH(G10,"ASK",StaticData.Today,StaticData.Today)))</f>
        <v>0.25</v>
      </c>
      <c r="L10" s="26">
        <f>IF(G10="","",IF(StaticData.Today=TODAY(),_xll.BDP(G10,"LAST_PRICE"),_xll.BDH(G10,"LAST_PRICE",StaticData.Today,StaticData.Today)))</f>
        <v>0.24</v>
      </c>
      <c r="M10" s="27">
        <f t="shared" si="2"/>
        <v>2.3999999999999998E-3</v>
      </c>
      <c r="O10" s="24" t="s">
        <v>1193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0.70499999999999996</v>
      </c>
      <c r="U10" s="183">
        <f>T10/100</f>
        <v>7.0499999999999998E-3</v>
      </c>
      <c r="W10" s="8" t="str">
        <f>"CKFR0AD"&amp;$O$1&amp;" Curncy"</f>
        <v>CKFR0AD CMPN Curncy</v>
      </c>
      <c r="X10" s="8" t="s">
        <v>1151</v>
      </c>
      <c r="Y10" s="30">
        <f>IF(T10="","",IF(StaticData.Today=TODAY(),_xll.BDP(W10,"LAST_PRICE"),_xll.BDH(W10,"LAST_PRICE",StaticData.Today,StaticData.Today)))</f>
        <v>0.34300000000000003</v>
      </c>
      <c r="Z10" s="337">
        <f>Y10/100</f>
        <v>3.4300000000000003E-3</v>
      </c>
      <c r="AB10" s="24" t="str">
        <f>"CKBSAV2"&amp;$AB$2&amp;" Curncy"</f>
        <v>CKBSAV2 ICPL Curncy</v>
      </c>
      <c r="AC10" s="25" t="s">
        <v>308</v>
      </c>
      <c r="AD10" s="26">
        <f>IF(AB10="","",IF(StaticData.Today=TODAY(),_xll.BDP(AB10,"LAST_PRICE"),_xll.BDH(AB10,"LAST_PRICE",StaticData.Today,StaticData.Today)))</f>
        <v>8.25</v>
      </c>
      <c r="AE10" s="27">
        <f>AD10/10000</f>
        <v>8.25E-4</v>
      </c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14" t="str">
        <f>"CDBS1"&amp;" Curncy"</f>
        <v>CDBS1 Curncy</v>
      </c>
      <c r="AM10" s="25" t="s">
        <v>47</v>
      </c>
      <c r="AN10" s="28"/>
      <c r="AO10" s="29">
        <f>IF(AL10="","",IF(StaticData.Today=TODAY(),_xll.BDP(AL10,"BID"),_xll.BDH(AL10,"BID",StaticData.Today,StaticData.Today)))</f>
        <v>-31.265000000000001</v>
      </c>
      <c r="AP10" s="29">
        <f>IF(AL10="","",IF(StaticData.Today=TODAY(),_xll.BDP(AL10,"ASK"),_xll.BDH(AL10,"ASK",StaticData.Today,StaticData.Today)))</f>
        <v>-29.234999999999999</v>
      </c>
      <c r="AQ10" s="177">
        <f>IF(AL10="","",IF(StaticData.Today=TODAY(),_xll.BDP(AL10,"LAST_PRICE"),_xll.BDH(AL10,"LAST_PRICE",StaticData.Today,StaticData.Today)))</f>
        <v>-30.25</v>
      </c>
      <c r="AR10" s="181">
        <f>AQ10</f>
        <v>-30.25</v>
      </c>
      <c r="AT10" s="24" t="str">
        <f t="shared" si="5"/>
        <v>CAD1W BGN Curncy</v>
      </c>
      <c r="AU10" s="25" t="s">
        <v>305</v>
      </c>
      <c r="AV10" s="28"/>
      <c r="AW10" s="196">
        <f>IF(AT10="","",IF(StaticData.Today=TODAY(),_xll.BDP(AT10,"BID"),_xll.BDH(AT10,"BID",StaticData.Today,StaticData.Today)))</f>
        <v>-0.28000000000000003</v>
      </c>
      <c r="AX10" s="196">
        <f>IF(AT10="","",IF(StaticData.Today=TODAY(),_xll.BDP(AT10,"ASK"),_xll.BDH(AT10,"ASK",StaticData.Today,StaticData.Today)))</f>
        <v>-0.08</v>
      </c>
      <c r="AY10" s="196">
        <f>IF(AT10="","",IF(StaticData.Today=TODAY(),_xll.BDP(AT10,"PX_LAST"),_xll.BDH(AT10,"PX_LAST",StaticData.Today,StaticData.Today)))</f>
        <v>-0.17</v>
      </c>
      <c r="AZ10" s="471">
        <f t="shared" si="1"/>
        <v>-0.17</v>
      </c>
    </row>
    <row r="11" spans="1:52" x14ac:dyDescent="0.25">
      <c r="B11" s="21" t="s">
        <v>284</v>
      </c>
      <c r="C11" s="22">
        <f>COUNTA(AB7:AB50)</f>
        <v>12</v>
      </c>
      <c r="D11" s="22">
        <f>COUNT(AD7:AD50)</f>
        <v>11</v>
      </c>
      <c r="E11" s="23">
        <f t="shared" si="0"/>
        <v>1</v>
      </c>
      <c r="G11" s="24" t="str">
        <f>"CDSOB"&amp;$G$1&amp;" Curncy"</f>
        <v>CDSOB FMDR Curncy</v>
      </c>
      <c r="H11" s="25" t="s">
        <v>335</v>
      </c>
      <c r="I11" s="25"/>
      <c r="J11" s="187">
        <f>IF(G11="","",IF(StaticData.Today=TODAY(),_xll.BDP(G11,"BID"),_xll.BDH(G11,"BID",StaticData.Today,StaticData.Today)))</f>
        <v>0.22900000000000001</v>
      </c>
      <c r="K11" s="187">
        <f>IF(G11="","",IF(StaticData.Today=TODAY(),_xll.BDP(G11,"ASK"),_xll.BDH(G11,"ASK",StaticData.Today,StaticData.Today)))</f>
        <v>0.249</v>
      </c>
      <c r="L11" s="26">
        <f>IF(G11="","",IF(StaticData.Today=TODAY(),_xll.BDP(G11,"LAST_PRICE"),_xll.BDH(G11,"LAST_PRICE",StaticData.Today,StaticData.Today)))</f>
        <v>0.23899999999999999</v>
      </c>
      <c r="M11" s="27">
        <f t="shared" si="2"/>
        <v>2.3899999999999998E-3</v>
      </c>
      <c r="O11" s="24" t="str">
        <f>"CDSWC"&amp;$O$1&amp;" Curncy"</f>
        <v>CDSWC CMPN Curncy</v>
      </c>
      <c r="P11" s="25" t="s">
        <v>49</v>
      </c>
      <c r="Q11" s="31"/>
      <c r="R11" s="182">
        <f>IF(O11="","",IF(StaticData.Today=TODAY(),_xll.BDP(O11,"BID"),_xll.BDH(O11,"BID",StaticData.Today,StaticData.Today)))</f>
        <v>0.505</v>
      </c>
      <c r="S11" s="182">
        <f>IF(O11="","",IF(StaticData.Today=TODAY(),_xll.BDP(O11,"ASK"),_xll.BDH(O11,"ASK",StaticData.Today,StaticData.Today)))</f>
        <v>0.505</v>
      </c>
      <c r="T11" s="30">
        <f>IF(O11="","",IF(StaticData.Today=TODAY(),_xll.BDP(O11,"LAST_PRICE"),_xll.BDH(O11,"LAST_PRICE",StaticData.Today,StaticData.Today)))</f>
        <v>0.505</v>
      </c>
      <c r="U11" s="183">
        <f t="shared" ref="U11:U26" si="6">T11/100</f>
        <v>5.0499999999999998E-3</v>
      </c>
      <c r="W11" s="8" t="str">
        <f>"CKFR0BE"&amp;$O$1&amp;" Curncy"</f>
        <v>CKFR0BE CMPN Curncy</v>
      </c>
      <c r="X11" s="8" t="s">
        <v>495</v>
      </c>
      <c r="Y11" s="30" t="e">
        <f>IF(#REF!="","",IF(StaticData.Today=TODAY(),_xll.BDP(W11,"LAST_PRICE"),_xll.BDH(W11,"LAST_PRICE",StaticData.Today,StaticData.Today)))</f>
        <v>#REF!</v>
      </c>
      <c r="Z11" s="337" t="e">
        <f t="shared" ref="Z11:Z14" si="7">Y11/100</f>
        <v>#REF!</v>
      </c>
      <c r="AB11" s="24" t="str">
        <f>"CKBSAV3"&amp;$AB$2&amp;" Curncy"</f>
        <v>CKBSAV3 ICPL Curncy</v>
      </c>
      <c r="AC11" s="25" t="s">
        <v>316</v>
      </c>
      <c r="AD11" s="26">
        <f>IF(AB11="","",IF(StaticData.Today=TODAY(),_xll.BDP(AB11,"LAST_PRICE"),_xll.BDH(AB11,"LAST_PRICE",StaticData.Today,StaticData.Today)))</f>
        <v>6.95</v>
      </c>
      <c r="AE11" s="27">
        <f t="shared" ref="AE11:AE18" si="8">AD11/10000</f>
        <v>6.9499999999999998E-4</v>
      </c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14" t="str">
        <f>"CDBS2"&amp;" Curncy"</f>
        <v>CDBS2 Curncy</v>
      </c>
      <c r="AM11" s="25" t="s">
        <v>308</v>
      </c>
      <c r="AN11" s="31"/>
      <c r="AO11" s="29">
        <f>IF(AL11="","",IF(StaticData.Today=TODAY(),_xll.BDP(AL11,"BID"),_xll.BDH(AL11,"BID",StaticData.Today,StaticData.Today)))</f>
        <v>-26.01</v>
      </c>
      <c r="AP11" s="29">
        <f>IF(AL11="","",IF(StaticData.Today=TODAY(),_xll.BDP(AL11,"ASK"),_xll.BDH(AL11,"ASK",StaticData.Today,StaticData.Today)))</f>
        <v>-23.99</v>
      </c>
      <c r="AQ11" s="177">
        <f>IF(AL11="","",IF(StaticData.Today=TODAY(),_xll.BDP(AL11,"LAST_PRICE"),_xll.BDH(AL11,"LAST_PRICE",StaticData.Today,StaticData.Today)))</f>
        <v>-25</v>
      </c>
      <c r="AR11" s="181">
        <f>AQ11</f>
        <v>-25</v>
      </c>
      <c r="AT11" s="24" t="str">
        <f t="shared" si="5"/>
        <v>CAD2W BGN Curncy</v>
      </c>
      <c r="AU11" s="25" t="s">
        <v>313</v>
      </c>
      <c r="AV11" s="28"/>
      <c r="AW11" s="196">
        <f>IF(AT11="","",IF(StaticData.Today=TODAY(),_xll.BDP(AT11,"BID"),_xll.BDH(AT11,"BID",StaticData.Today,StaticData.Today)))</f>
        <v>-0.51</v>
      </c>
      <c r="AX11" s="196">
        <f>IF(AT11="","",IF(StaticData.Today=TODAY(),_xll.BDP(AT11,"ASK"),_xll.BDH(AT11,"ASK",StaticData.Today,StaticData.Today)))</f>
        <v>-0.3</v>
      </c>
      <c r="AY11" s="196">
        <f>IF(AT11="","",IF(StaticData.Today=TODAY(),_xll.BDP(AT11,"PX_LAST"),_xll.BDH(AT11,"PX_LAST",StaticData.Today,StaticData.Today)))</f>
        <v>-0.4</v>
      </c>
      <c r="AZ11" s="471">
        <f t="shared" si="1"/>
        <v>-0.4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"CDSOC"&amp;$G$1&amp;" Curncy"</f>
        <v>CDSOC FMDR Curncy</v>
      </c>
      <c r="H12" s="25" t="s">
        <v>49</v>
      </c>
      <c r="I12" s="25"/>
      <c r="J12" s="187">
        <f>IF(G12="","",IF(StaticData.Today=TODAY(),_xll.BDP(G12,"BID"),_xll.BDH(G12,"BID",StaticData.Today,StaticData.Today)))</f>
        <v>0.22800000000000001</v>
      </c>
      <c r="K12" s="187">
        <f>IF(G12="","",IF(StaticData.Today=TODAY(),_xll.BDP(G12,"ASK"),_xll.BDH(G12,"ASK",StaticData.Today,StaticData.Today)))</f>
        <v>0.248</v>
      </c>
      <c r="L12" s="26">
        <f>IF(G12="","",IF(StaticData.Today=TODAY(),_xll.BDP(G12,"LAST_PRICE"),_xll.BDH(G12,"LAST_PRICE",StaticData.Today,StaticData.Today)))</f>
        <v>0.23799999999999999</v>
      </c>
      <c r="M12" s="27">
        <f t="shared" si="2"/>
        <v>2.3799999999999997E-3</v>
      </c>
      <c r="O12" s="24" t="str">
        <f>"CDSWF"&amp;$O$1&amp;" Curncy"</f>
        <v>CDSWF CMPN Curncy</v>
      </c>
      <c r="P12" s="25" t="s">
        <v>46</v>
      </c>
      <c r="Q12" s="31"/>
      <c r="R12" s="182">
        <f>IF(O12="","",IF(StaticData.Today=TODAY(),_xll.BDP(O12,"BID"),_xll.BDH(O12,"BID",StaticData.Today,StaticData.Today)))</f>
        <v>0.50780000000000003</v>
      </c>
      <c r="S12" s="182">
        <f>IF(O12="","",IF(StaticData.Today=TODAY(),_xll.BDP(O12,"ASK"),_xll.BDH(O12,"ASK",StaticData.Today,StaticData.Today)))</f>
        <v>0.50780000000000003</v>
      </c>
      <c r="T12" s="30">
        <f>IF(O12="","",IF(StaticData.Today=TODAY(),_xll.BDP(O12,"LAST_PRICE"),_xll.BDH(O12,"LAST_PRICE",StaticData.Today,StaticData.Today)))</f>
        <v>0.50780000000000003</v>
      </c>
      <c r="U12" s="183">
        <f t="shared" si="6"/>
        <v>5.078E-3</v>
      </c>
      <c r="W12" s="8" t="str">
        <f>"CKFR0CF"&amp;$O$1&amp;" Curncy"</f>
        <v>CKFR0CF CMPN Curncy</v>
      </c>
      <c r="X12" s="8" t="s">
        <v>496</v>
      </c>
      <c r="Y12" s="30" t="e">
        <f>IF(#REF!="","",IF(StaticData.Today=TODAY(),_xll.BDP(W12,"LAST_PRICE"),_xll.BDH(W12,"LAST_PRICE",StaticData.Today,StaticData.Today)))</f>
        <v>#REF!</v>
      </c>
      <c r="Z12" s="337" t="e">
        <f t="shared" si="7"/>
        <v>#REF!</v>
      </c>
      <c r="AB12" s="24" t="str">
        <f>"CKBSAV4"&amp;$AB$2&amp;" Curncy"</f>
        <v>CKBSAV4 ICPL Curncy</v>
      </c>
      <c r="AC12" s="25" t="s">
        <v>324</v>
      </c>
      <c r="AD12" s="26">
        <f>IF(AB12="","",IF(StaticData.Today=TODAY(),_xll.BDP(AB12,"LAST_PRICE"),_xll.BDH(AB12,"LAST_PRICE",StaticData.Today,StaticData.Today)))</f>
        <v>6</v>
      </c>
      <c r="AE12" s="27">
        <f t="shared" si="8"/>
        <v>5.9999999999999995E-4</v>
      </c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14" t="str">
        <f>"CDBS3"&amp;" Curncy"</f>
        <v>CDBS3 Curncy</v>
      </c>
      <c r="AM12" s="25" t="s">
        <v>316</v>
      </c>
      <c r="AN12" s="31"/>
      <c r="AO12" s="29">
        <f>IF(AL12="","",IF(StaticData.Today=TODAY(),_xll.BDP(AL12,"BID"),_xll.BDH(AL12,"BID",StaticData.Today,StaticData.Today)))</f>
        <v>-22.553999999999998</v>
      </c>
      <c r="AP12" s="29">
        <f>IF(AL12="","",IF(StaticData.Today=TODAY(),_xll.BDP(AL12,"ASK"),_xll.BDH(AL12,"ASK",StaticData.Today,StaticData.Today)))</f>
        <v>-20.446000000000002</v>
      </c>
      <c r="AQ12" s="177">
        <f>IF(AL12="","",IF(StaticData.Today=TODAY(),_xll.BDP(AL12,"LAST_PRICE"),_xll.BDH(AL12,"LAST_PRICE",StaticData.Today,StaticData.Today)))</f>
        <v>-21.5</v>
      </c>
      <c r="AR12" s="181">
        <f t="shared" ref="AR12:AR18" si="9">AQ12</f>
        <v>-21.5</v>
      </c>
      <c r="AT12" s="24" t="str">
        <f t="shared" si="5"/>
        <v>CAD1M BGN Curncy</v>
      </c>
      <c r="AU12" s="25" t="s">
        <v>300</v>
      </c>
      <c r="AV12" s="31"/>
      <c r="AW12" s="196">
        <f>IF(AT12="","",IF(StaticData.Today=TODAY(),_xll.BDP(AT12,"BID"),_xll.BDH(AT12,"BID",StaticData.Today,StaticData.Today)))</f>
        <v>-1.5</v>
      </c>
      <c r="AX12" s="196">
        <f>IF(AT12="","",IF(StaticData.Today=TODAY(),_xll.BDP(AT12,"ASK"),_xll.BDH(AT12,"ASK",StaticData.Today,StaticData.Today)))</f>
        <v>-1.26</v>
      </c>
      <c r="AY12" s="196">
        <f>IF(AT12="","",IF(StaticData.Today=TODAY(),_xll.BDP(AT12,"LAST_PRICE"),_xll.BDH(AT12,"LAST_PRICE",StaticData.Today,StaticData.Today)))</f>
        <v>-1.38</v>
      </c>
      <c r="AZ12" s="471">
        <f t="shared" si="1"/>
        <v>-1.38</v>
      </c>
    </row>
    <row r="13" spans="1:52" x14ac:dyDescent="0.25">
      <c r="B13" s="21"/>
      <c r="C13" s="22"/>
      <c r="D13" s="22"/>
      <c r="E13" s="22"/>
      <c r="G13" s="24" t="str">
        <f>"CDSOF"&amp;$G$1&amp;" Curncy"</f>
        <v>CDSOF FMDR Curncy</v>
      </c>
      <c r="H13" s="25" t="s">
        <v>46</v>
      </c>
      <c r="I13" s="25"/>
      <c r="J13" s="187">
        <f>IF(G13="","",IF(StaticData.Today=TODAY(),_xll.BDP(G13,"BID"),_xll.BDH(G13,"BID",StaticData.Today,StaticData.Today)))</f>
        <v>0.22500000000000001</v>
      </c>
      <c r="K13" s="187">
        <f>IF(G13="","",IF(StaticData.Today=TODAY(),_xll.BDP(G13,"ASK"),_xll.BDH(G13,"ASK",StaticData.Today,StaticData.Today)))</f>
        <v>0.245</v>
      </c>
      <c r="L13" s="26">
        <f>IF(G13="","",IF(StaticData.Today=TODAY(),_xll.BDP(G13,"LAST_PRICE"),_xll.BDH(G13,"LAST_PRICE",StaticData.Today,StaticData.Today)))</f>
        <v>0.23499999999999999</v>
      </c>
      <c r="M13" s="27">
        <f t="shared" si="2"/>
        <v>2.3499999999999997E-3</v>
      </c>
      <c r="O13" s="24" t="str">
        <f>"CDSWI"&amp;$O$1&amp;" Curncy"</f>
        <v>CDSWI CMPN Curncy</v>
      </c>
      <c r="P13" s="25" t="s">
        <v>376</v>
      </c>
      <c r="Q13" s="31"/>
      <c r="R13" s="182">
        <f>IF(O13="","",IF(StaticData.Today=TODAY(),_xll.BDP(O13,"BID"),_xll.BDH(O13,"BID",StaticData.Today,StaticData.Today)))</f>
        <v>0.50829999999999997</v>
      </c>
      <c r="S13" s="182">
        <f>IF(O13="","",IF(StaticData.Today=TODAY(),_xll.BDP(O13,"ASK"),_xll.BDH(O13,"ASK",StaticData.Today,StaticData.Today)))</f>
        <v>0.50829999999999997</v>
      </c>
      <c r="T13" s="30">
        <f>IF(O13="","",IF(StaticData.Today=TODAY(),_xll.BDP(O13,"LAST_PRICE"),_xll.BDH(O13,"LAST_PRICE",StaticData.Today,StaticData.Today)))</f>
        <v>0.50829999999999997</v>
      </c>
      <c r="U13" s="183">
        <f t="shared" si="6"/>
        <v>5.0829999999999998E-3</v>
      </c>
      <c r="W13" s="8" t="str">
        <f>"CKFR0FI"&amp;$O$1&amp;" Curncy"</f>
        <v>CKFR0FI CMPN Curncy</v>
      </c>
      <c r="X13" s="8" t="s">
        <v>497</v>
      </c>
      <c r="Y13" s="30" t="e">
        <f>IF(#REF!="","",IF(StaticData.Today=TODAY(),_xll.BDP(W13,"LAST_PRICE"),_xll.BDH(W13,"LAST_PRICE",StaticData.Today,StaticData.Today)))</f>
        <v>#REF!</v>
      </c>
      <c r="Z13" s="337" t="e">
        <f t="shared" si="7"/>
        <v>#REF!</v>
      </c>
      <c r="AB13" s="24" t="str">
        <f>"CKBSAV5"&amp;$AB$2&amp;" Curncy"</f>
        <v>CKBSAV5 ICPL Curncy</v>
      </c>
      <c r="AC13" s="25" t="s">
        <v>331</v>
      </c>
      <c r="AD13" s="26">
        <f>IF(AB13="","",IF(StaticData.Today=TODAY(),_xll.BDP(AB13,"LAST_PRICE"),_xll.BDH(AB13,"LAST_PRICE",StaticData.Today,StaticData.Today)))</f>
        <v>5.4</v>
      </c>
      <c r="AE13" s="27">
        <f t="shared" si="8"/>
        <v>5.4000000000000001E-4</v>
      </c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14" t="str">
        <f>"CDBS4"&amp;" Curncy"</f>
        <v>CDBS4 Curncy</v>
      </c>
      <c r="AM13" s="25" t="s">
        <v>324</v>
      </c>
      <c r="AN13" s="31"/>
      <c r="AO13" s="29">
        <f>IF(AL13="","",IF(StaticData.Today=TODAY(),_xll.BDP(AL13,"BID"),_xll.BDH(AL13,"BID",StaticData.Today,StaticData.Today)))</f>
        <v>-19.513999999999999</v>
      </c>
      <c r="AP13" s="29">
        <f>IF(AL13="","",IF(StaticData.Today=TODAY(),_xll.BDP(AL13,"ASK"),_xll.BDH(AL13,"ASK",StaticData.Today,StaticData.Today)))</f>
        <v>-17.486000000000001</v>
      </c>
      <c r="AQ13" s="177">
        <f>IF(AL13="","",IF(StaticData.Today=TODAY(),_xll.BDP(AL13,"LAST_PRICE"),_xll.BDH(AL13,"LAST_PRICE",StaticData.Today,StaticData.Today)))</f>
        <v>-18.5</v>
      </c>
      <c r="AR13" s="181">
        <f t="shared" si="9"/>
        <v>-18.5</v>
      </c>
      <c r="AT13" s="24" t="str">
        <f t="shared" si="5"/>
        <v>CAD2M BGN Curncy</v>
      </c>
      <c r="AU13" s="25" t="s">
        <v>335</v>
      </c>
      <c r="AV13" s="31"/>
      <c r="AW13" s="196">
        <f>IF(AT13="","",IF(StaticData.Today=TODAY(),_xll.BDP(AT13,"BID"),_xll.BDH(AT13,"BID",StaticData.Today,StaticData.Today)))</f>
        <v>-2.31</v>
      </c>
      <c r="AX13" s="196">
        <f>IF(AT13="","",IF(StaticData.Today=TODAY(),_xll.BDP(AT13,"ASK"),_xll.BDH(AT13,"ASK",StaticData.Today,StaticData.Today)))</f>
        <v>-1.9</v>
      </c>
      <c r="AY13" s="196">
        <f>IF(AT13="","",IF(StaticData.Today=TODAY(),_xll.BDP(AT13,"LAST_PRICE"),_xll.BDH(AT13,"LAST_PRICE",StaticData.Today,StaticData.Today)))</f>
        <v>-2.11</v>
      </c>
      <c r="AZ13" s="471">
        <f t="shared" ref="AZ13:AZ19" si="10">AY13</f>
        <v>-2.11</v>
      </c>
    </row>
    <row r="14" spans="1:52" x14ac:dyDescent="0.25">
      <c r="B14" s="21"/>
      <c r="C14" s="22"/>
      <c r="D14" s="22"/>
      <c r="E14" s="22"/>
      <c r="G14" s="24" t="str">
        <f>"CDSOI"&amp;$G$1&amp;" Curncy"</f>
        <v>CDSOI FMDR Curncy</v>
      </c>
      <c r="H14" s="25" t="s">
        <v>376</v>
      </c>
      <c r="I14" s="25"/>
      <c r="J14" s="187">
        <f>IF(G14="","",IF(StaticData.Today=TODAY(),_xll.BDP(G14,"BID"),_xll.BDH(G14,"BID",StaticData.Today,StaticData.Today)))</f>
        <v>0.224</v>
      </c>
      <c r="K14" s="187">
        <f>IF(G14="","",IF(StaticData.Today=TODAY(),_xll.BDP(G14,"ASK"),_xll.BDH(G14,"ASK",StaticData.Today,StaticData.Today)))</f>
        <v>0.24399999999999999</v>
      </c>
      <c r="L14" s="26">
        <f>IF(G14="","",IF(StaticData.Today=TODAY(),_xll.BDP(G14,"LAST_PRICE"),_xll.BDH(G14,"LAST_PRICE",StaticData.Today,StaticData.Today)))</f>
        <v>0.23400000000000001</v>
      </c>
      <c r="M14" s="27">
        <f t="shared" si="2"/>
        <v>2.3400000000000001E-3</v>
      </c>
      <c r="O14" s="24" t="str">
        <f>"CDSW1"&amp;$O$2&amp;" Curncy"</f>
        <v>CDSW1 BGN Curncy</v>
      </c>
      <c r="P14" s="25" t="s">
        <v>47</v>
      </c>
      <c r="Q14" s="31"/>
      <c r="R14" s="182">
        <f>IF(O14="","",IF(StaticData.Today=TODAY(),_xll.BDP(O14,"BID"),_xll.BDH(O14,"BID",StaticData.Today,StaticData.Today)))</f>
        <v>0.50390000000000001</v>
      </c>
      <c r="S14" s="182">
        <f>IF(O14="","",IF(StaticData.Today=TODAY(),_xll.BDP(O14,"ASK"),_xll.BDH(O14,"ASK",StaticData.Today,StaticData.Today)))</f>
        <v>0.5181</v>
      </c>
      <c r="T14" s="30">
        <f>IF(O14="","",IF(StaticData.Today=TODAY(),_xll.BDP(O14,"LAST_PRICE"),_xll.BDH(O14,"LAST_PRICE",StaticData.Today,StaticData.Today)))</f>
        <v>0.51100000000000001</v>
      </c>
      <c r="U14" s="183">
        <f t="shared" si="6"/>
        <v>5.11E-3</v>
      </c>
      <c r="W14" s="8" t="str">
        <f>"CKFR0I1"&amp;$O$1&amp;" Curncy"</f>
        <v>CKFR0I1 CMPN Curncy</v>
      </c>
      <c r="X14" s="8" t="s">
        <v>498</v>
      </c>
      <c r="Y14" s="30">
        <f>IF(T11="","",IF(StaticData.Today=TODAY(),_xll.BDP(W14,"LAST_PRICE"),_xll.BDH(W14,"LAST_PRICE",StaticData.Today,StaticData.Today)))</f>
        <v>0.40500000000000003</v>
      </c>
      <c r="Z14" s="337">
        <f t="shared" si="7"/>
        <v>4.0500000000000006E-3</v>
      </c>
      <c r="AB14" s="24" t="str">
        <f>"CKBSAV6"&amp;$AB$2&amp;" Curncy"</f>
        <v>CKBSAV6 ICPL Curncy</v>
      </c>
      <c r="AC14" s="25" t="s">
        <v>339</v>
      </c>
      <c r="AD14" s="26">
        <f>IF(AB14="","",IF(StaticData.Today=TODAY(),_xll.BDP(AB14,"LAST_PRICE"),_xll.BDH(AB14,"LAST_PRICE",StaticData.Today,StaticData.Today)))</f>
        <v>5</v>
      </c>
      <c r="AE14" s="27">
        <f t="shared" si="8"/>
        <v>5.0000000000000001E-4</v>
      </c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14" t="str">
        <f>"CDBS5"&amp;" Curncy"</f>
        <v>CDBS5 Curncy</v>
      </c>
      <c r="AM14" s="25" t="s">
        <v>331</v>
      </c>
      <c r="AN14" s="31"/>
      <c r="AO14" s="29">
        <f>IF(AL14="","",IF(StaticData.Today=TODAY(),_xll.BDP(AL14,"BID"),_xll.BDH(AL14,"BID",StaticData.Today,StaticData.Today)))</f>
        <v>-17.759</v>
      </c>
      <c r="AP14" s="29">
        <f>IF(AL14="","",IF(StaticData.Today=TODAY(),_xll.BDP(AL14,"ASK"),_xll.BDH(AL14,"ASK",StaticData.Today,StaticData.Today)))</f>
        <v>-15.741</v>
      </c>
      <c r="AQ14" s="177">
        <f>IF(AL14="","",IF(StaticData.Today=TODAY(),_xll.BDP(AL14,"LAST_PRICE"),_xll.BDH(AL14,"LAST_PRICE",StaticData.Today,StaticData.Today)))</f>
        <v>-16.75</v>
      </c>
      <c r="AR14" s="181">
        <f t="shared" si="9"/>
        <v>-16.75</v>
      </c>
      <c r="AT14" s="24" t="str">
        <f t="shared" si="5"/>
        <v>CAD3M BGN Curncy</v>
      </c>
      <c r="AU14" s="25" t="s">
        <v>49</v>
      </c>
      <c r="AV14" s="31"/>
      <c r="AW14" s="196">
        <f>IF(AT14="","",IF(StaticData.Today=TODAY(),_xll.BDP(AT14,"BID"),_xll.BDH(AT14,"BID",StaticData.Today,StaticData.Today)))</f>
        <v>-3.21</v>
      </c>
      <c r="AX14" s="196">
        <f>IF(AT14="","",IF(StaticData.Today=TODAY(),_xll.BDP(AT14,"ASK"),_xll.BDH(AT14,"ASK",StaticData.Today,StaticData.Today)))</f>
        <v>-2.7</v>
      </c>
      <c r="AY14" s="196">
        <f>IF(AT14="","",IF(StaticData.Today=TODAY(),_xll.BDP(AT14,"LAST_PRICE"),_xll.BDH(AT14,"LAST_PRICE",StaticData.Today,StaticData.Today)))</f>
        <v>-2.95</v>
      </c>
      <c r="AZ14" s="471">
        <f t="shared" si="10"/>
        <v>-2.95</v>
      </c>
    </row>
    <row r="15" spans="1:52" x14ac:dyDescent="0.25">
      <c r="B15" s="21"/>
      <c r="C15" s="22"/>
      <c r="D15" s="22"/>
      <c r="E15" s="22"/>
      <c r="G15" s="24" t="str">
        <f>"CDSO1"&amp;$G$1&amp;" Curncy"</f>
        <v>CDSO1 FMDR Curncy</v>
      </c>
      <c r="H15" s="25" t="s">
        <v>47</v>
      </c>
      <c r="I15" s="25"/>
      <c r="J15" s="187">
        <f>IF(G15="","",IF(StaticData.Today=TODAY(),_xll.BDP(G15,"BID"),_xll.BDH(G15,"BID",StaticData.Today,StaticData.Today)))</f>
        <v>0.22700000000000001</v>
      </c>
      <c r="K15" s="187">
        <f>IF(G15="","",IF(StaticData.Today=TODAY(),_xll.BDP(G15,"ASK"),_xll.BDH(G15,"ASK",StaticData.Today,StaticData.Today)))</f>
        <v>0.247</v>
      </c>
      <c r="L15" s="26">
        <f>IF(G15="","",IF(StaticData.Today=TODAY(),_xll.BDP(G15,"LAST_PRICE"),_xll.BDH(G15,"LAST_PRICE",StaticData.Today,StaticData.Today)))</f>
        <v>0.23699999999999999</v>
      </c>
      <c r="M15" s="27">
        <f>L15/100</f>
        <v>2.3699999999999997E-3</v>
      </c>
      <c r="O15" s="24" t="str">
        <f>"CDSW2"&amp;$O$2&amp;" Curncy"</f>
        <v>CDSW2 BGN Curncy</v>
      </c>
      <c r="P15" s="25" t="s">
        <v>308</v>
      </c>
      <c r="Q15" s="31"/>
      <c r="R15" s="182">
        <f>IF(O15="","",IF(StaticData.Today=TODAY(),_xll.BDP(O15,"BID"),_xll.BDH(O15,"BID",StaticData.Today,StaticData.Today)))</f>
        <v>0.53290000000000004</v>
      </c>
      <c r="S15" s="182">
        <f>IF(O15="","",IF(StaticData.Today=TODAY(),_xll.BDP(O15,"ASK"),_xll.BDH(O15,"ASK",StaticData.Today,StaticData.Today)))</f>
        <v>0.55230000000000001</v>
      </c>
      <c r="T15" s="30">
        <f>IF(O15="","",IF(StaticData.Today=TODAY(),_xll.BDP(O15,"LAST_PRICE"),_xll.BDH(O15,"LAST_PRICE",StaticData.Today,StaticData.Today)))</f>
        <v>0.54259999999999997</v>
      </c>
      <c r="U15" s="183">
        <f t="shared" si="6"/>
        <v>5.4259999999999994E-3</v>
      </c>
      <c r="W15" s="14" t="str">
        <f>"CKBSV1"&amp;$W$2&amp;" Curncy"</f>
        <v>CKBSV1 ICPL Curncy</v>
      </c>
      <c r="X15" s="15" t="s">
        <v>47</v>
      </c>
      <c r="Y15" s="190">
        <f>IF(W15="","",IF(StaticData.Today=TODAY(),_xll.BDP(W15,"LAST_PRICE"),_xll.BDH(W15,"LAST_PRICE",StaticData.Today,StaticData.Today)))</f>
        <v>2.5</v>
      </c>
      <c r="Z15" s="337">
        <f>Y15/10000</f>
        <v>2.5000000000000001E-4</v>
      </c>
      <c r="AB15" s="24" t="str">
        <f>"CKBSAV7"&amp;$AB$2&amp;" Curncy"</f>
        <v>CKBSAV7 ICPL Curncy</v>
      </c>
      <c r="AC15" s="25" t="s">
        <v>342</v>
      </c>
      <c r="AD15" s="26">
        <f>IF(AB15="","",IF(StaticData.Today=TODAY(),_xll.BDP(AB15,"LAST_PRICE"),_xll.BDH(AB15,"LAST_PRICE",StaticData.Today,StaticData.Today)))</f>
        <v>4.75</v>
      </c>
      <c r="AE15" s="27">
        <f t="shared" si="8"/>
        <v>4.75E-4</v>
      </c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14" t="str">
        <f>"CDBS7"&amp;" Curncy"</f>
        <v>CDBS7 Curncy</v>
      </c>
      <c r="AM15" s="25" t="s">
        <v>342</v>
      </c>
      <c r="AN15" s="31"/>
      <c r="AO15" s="29">
        <f>IF(AL15="","",IF(StaticData.Today=TODAY(),_xll.BDP(AL15,"BID"),_xll.BDH(AL15,"BID",StaticData.Today,StaticData.Today)))</f>
        <v>-15.228</v>
      </c>
      <c r="AP15" s="29">
        <f>IF(AL15="","",IF(StaticData.Today=TODAY(),_xll.BDP(AL15,"ASK"),_xll.BDH(AL15,"ASK",StaticData.Today,StaticData.Today)))</f>
        <v>-12.772</v>
      </c>
      <c r="AQ15" s="177">
        <f>IF(AL15="","",IF(StaticData.Today=TODAY(),_xll.BDP(AL15,"LAST_PRICE"),_xll.BDH(AL15,"LAST_PRICE",StaticData.Today,StaticData.Today)))</f>
        <v>-14</v>
      </c>
      <c r="AR15" s="181">
        <f t="shared" si="9"/>
        <v>-14</v>
      </c>
      <c r="AT15" s="24" t="str">
        <f t="shared" si="5"/>
        <v>CAD6M BGN Curncy</v>
      </c>
      <c r="AU15" s="25" t="s">
        <v>46</v>
      </c>
      <c r="AV15" s="31"/>
      <c r="AW15" s="196">
        <f>IF(AT15="","",IF(StaticData.Today=TODAY(),_xll.BDP(AT15,"BID"),_xll.BDH(AT15,"BID",StaticData.Today,StaticData.Today)))</f>
        <v>-8.3699999999999992</v>
      </c>
      <c r="AX15" s="196">
        <f>IF(AT15="","",IF(StaticData.Today=TODAY(),_xll.BDP(AT15,"ASK"),_xll.BDH(AT15,"ASK",StaticData.Today,StaticData.Today)))</f>
        <v>-7.44</v>
      </c>
      <c r="AY15" s="196">
        <f>IF(AT15="","",IF(StaticData.Today=TODAY(),_xll.BDP(AT15,"LAST_PRICE"),_xll.BDH(AT15,"LAST_PRICE",StaticData.Today,StaticData.Today)))</f>
        <v>-7.9</v>
      </c>
      <c r="AZ15" s="471">
        <f t="shared" si="10"/>
        <v>-7.9</v>
      </c>
    </row>
    <row r="16" spans="1:52" x14ac:dyDescent="0.25">
      <c r="B16" s="21"/>
      <c r="C16" s="22"/>
      <c r="D16" s="22"/>
      <c r="E16" s="22"/>
      <c r="G16" s="344" t="s">
        <v>927</v>
      </c>
      <c r="H16" s="345" t="s">
        <v>47</v>
      </c>
      <c r="I16" s="345"/>
      <c r="J16" s="346"/>
      <c r="K16" s="346"/>
      <c r="L16" s="347"/>
      <c r="M16" s="348">
        <f>M15-USD_DATA!J18</f>
        <v>1.8399999999999996E-3</v>
      </c>
      <c r="N16" t="s">
        <v>567</v>
      </c>
      <c r="O16" s="24" t="str">
        <f>"CDSW3"&amp;$O$2&amp;" Curncy"</f>
        <v>CDSW3 BGN Curncy</v>
      </c>
      <c r="P16" s="25" t="s">
        <v>316</v>
      </c>
      <c r="Q16" s="31"/>
      <c r="R16" s="182">
        <f>IF(O16="","",IF(StaticData.Today=TODAY(),_xll.BDP(O16,"BID"),_xll.BDH(O16,"BID",StaticData.Today,StaticData.Today)))</f>
        <v>0.59040000000000004</v>
      </c>
      <c r="S16" s="182">
        <f>IF(O16="","",IF(StaticData.Today=TODAY(),_xll.BDP(O16,"ASK"),_xll.BDH(O16,"ASK",StaticData.Today,StaticData.Today)))</f>
        <v>0.61260000000000003</v>
      </c>
      <c r="T16" s="30">
        <f>IF(O16="","",IF(StaticData.Today=TODAY(),_xll.BDP(O16,"LAST_PRICE"),_xll.BDH(O16,"LAST_PRICE",StaticData.Today,StaticData.Today)))</f>
        <v>0.60150000000000003</v>
      </c>
      <c r="U16" s="183">
        <f t="shared" si="6"/>
        <v>6.0150000000000004E-3</v>
      </c>
      <c r="W16" s="24" t="str">
        <f>"CKBSV2"&amp;$W$2&amp;" Curncy"</f>
        <v>CKBSV2 ICPL Curncy</v>
      </c>
      <c r="X16" s="25" t="s">
        <v>308</v>
      </c>
      <c r="Y16" s="191">
        <f>IF(W16="","",IF(StaticData.Today=TODAY(),_xll.BDP(W16,"LAST_PRICE"),_xll.BDH(W16,"LAST_PRICE",StaticData.Today,StaticData.Today)))</f>
        <v>4</v>
      </c>
      <c r="Z16" s="338">
        <f>Y16/10000</f>
        <v>4.0000000000000002E-4</v>
      </c>
      <c r="AB16" s="24" t="str">
        <f>"CKBSAV8"&amp;$AB$2&amp;" Curncy"</f>
        <v>CKBSAV8 ICPL Curncy</v>
      </c>
      <c r="AC16" s="25" t="s">
        <v>355</v>
      </c>
      <c r="AD16" s="26">
        <f>IF(AB16="","",IF(StaticData.Today=TODAY(),_xll.BDP(AB16,"LAST_PRICE"),_xll.BDH(AB16,"LAST_PRICE",StaticData.Today,StaticData.Today)))</f>
        <v>4.55</v>
      </c>
      <c r="AE16" s="27">
        <f t="shared" si="8"/>
        <v>4.55E-4</v>
      </c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14" t="str">
        <f>"CDBS10"&amp;" Curncy"</f>
        <v>CDBS10 Curncy</v>
      </c>
      <c r="AM16" s="25" t="s">
        <v>349</v>
      </c>
      <c r="AN16" s="31"/>
      <c r="AO16" s="29">
        <f>IF(AL16="","",IF(StaticData.Today=TODAY(),_xll.BDP(AL16,"BID"),_xll.BDH(AL16,"BID",StaticData.Today,StaticData.Today)))</f>
        <v>-12.746</v>
      </c>
      <c r="AP16" s="29">
        <f>IF(AL16="","",IF(StaticData.Today=TODAY(),_xll.BDP(AL16,"ASK"),_xll.BDH(AL16,"ASK",StaticData.Today,StaticData.Today)))</f>
        <v>-10.754</v>
      </c>
      <c r="AQ16" s="177">
        <f>IF(AL16="","",IF(StaticData.Today=TODAY(),_xll.BDP(AL16,"LAST_PRICE"),_xll.BDH(AL16,"LAST_PRICE",StaticData.Today,StaticData.Today)))</f>
        <v>-11.75</v>
      </c>
      <c r="AR16" s="181">
        <f t="shared" si="9"/>
        <v>-11.75</v>
      </c>
      <c r="AT16" s="24" t="str">
        <f t="shared" si="5"/>
        <v>CAD9M BGN Curncy</v>
      </c>
      <c r="AU16" s="25" t="s">
        <v>376</v>
      </c>
      <c r="AV16" s="31"/>
      <c r="AW16" s="196">
        <f>IF(AT16="","",IF(StaticData.Today=TODAY(),_xll.BDP(AT16,"BID"),_xll.BDH(AT16,"BID",StaticData.Today,StaticData.Today)))</f>
        <v>-7.81</v>
      </c>
      <c r="AX16" s="196">
        <f>IF(AT16="","",IF(StaticData.Today=TODAY(),_xll.BDP(AT16,"ASK"),_xll.BDH(AT16,"ASK",StaticData.Today,StaticData.Today)))</f>
        <v>-6.2</v>
      </c>
      <c r="AY16" s="196">
        <f>IF(AT16="","",IF(StaticData.Today=TODAY(),_xll.BDP(AT16,"LAST_PRICE"),_xll.BDH(AT16,"LAST_PRICE",StaticData.Today,StaticData.Today)))</f>
        <v>-7.01</v>
      </c>
      <c r="AZ16" s="471">
        <f t="shared" si="10"/>
        <v>-7.01</v>
      </c>
    </row>
    <row r="17" spans="2:52" x14ac:dyDescent="0.25">
      <c r="B17" s="34"/>
      <c r="C17" s="35"/>
      <c r="D17" s="35"/>
      <c r="E17" s="35"/>
      <c r="G17" s="349" t="s">
        <v>928</v>
      </c>
      <c r="H17" s="25" t="s">
        <v>308</v>
      </c>
      <c r="I17" s="25"/>
      <c r="J17" s="187"/>
      <c r="K17" s="187"/>
      <c r="L17" s="26"/>
      <c r="M17" s="27">
        <f>USD_DATA!J19+CAD_DATA!$M$16</f>
        <v>2.1899999999999997E-3</v>
      </c>
      <c r="O17" s="24" t="str">
        <f>"CDSW4"&amp;$O$2&amp;" Curncy"</f>
        <v>CDSW4 BGN Curncy</v>
      </c>
      <c r="P17" s="25" t="s">
        <v>324</v>
      </c>
      <c r="Q17" s="28"/>
      <c r="R17" s="29">
        <f>IF(O17="","",IF(StaticData.Today=TODAY(),_xll.BDP(O17,"BID"),_xll.BDH(O17,"BID",StaticData.Today,StaticData.Today)))</f>
        <v>0.67120000000000002</v>
      </c>
      <c r="S17" s="29">
        <f>IF(O17="","",IF(StaticData.Today=TODAY(),_xll.BDP(O17,"ASK"),_xll.BDH(O17,"ASK",StaticData.Today,StaticData.Today)))</f>
        <v>0.68240000000000001</v>
      </c>
      <c r="T17" s="30">
        <f>IF(O17="","",IF(StaticData.Today=TODAY(),_xll.BDP(O17,"LAST_PRICE"),_xll.BDH(O17,"LAST_PRICE",StaticData.Today,StaticData.Today)))</f>
        <v>0.67679999999999996</v>
      </c>
      <c r="U17" s="183">
        <f t="shared" si="6"/>
        <v>6.7679999999999997E-3</v>
      </c>
      <c r="W17" s="24" t="str">
        <f>"CKBSV3"&amp;$W$2&amp;" Curncy"</f>
        <v>CKBSV3 ICPL Curncy</v>
      </c>
      <c r="X17" s="25" t="s">
        <v>316</v>
      </c>
      <c r="Y17" s="191">
        <f>IF(W17="","",IF(StaticData.Today=TODAY(),_xll.BDP(W17,"LAST_PRICE"),_xll.BDH(W17,"LAST_PRICE",StaticData.Today,StaticData.Today)))</f>
        <v>4.75</v>
      </c>
      <c r="Z17" s="338">
        <f t="shared" ref="Z17:Z27" si="11">Y17/10000</f>
        <v>4.75E-4</v>
      </c>
      <c r="AB17" s="24" t="str">
        <f>"CKBSAV9"&amp;$AB$2&amp;" Curncy"</f>
        <v>CKBSAV9 ICPL Curncy</v>
      </c>
      <c r="AC17" s="25" t="s">
        <v>364</v>
      </c>
      <c r="AD17" s="26">
        <f>IF(AB17="","",IF(StaticData.Today=TODAY(),_xll.BDP(AB17,"LAST_PRICE"),_xll.BDH(AB17,"LAST_PRICE",StaticData.Today,StaticData.Today)))</f>
        <v>4.3499999999999996</v>
      </c>
      <c r="AE17" s="27">
        <f t="shared" si="8"/>
        <v>4.3499999999999995E-4</v>
      </c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14" t="str">
        <f>"CDBS20"&amp;" Curncy"</f>
        <v>CDBS20 Curncy</v>
      </c>
      <c r="AM17" s="25" t="s">
        <v>374</v>
      </c>
      <c r="AN17" s="31"/>
      <c r="AO17" s="29">
        <f>IF(AL17="","",IF(StaticData.Today=TODAY(),_xll.BDP(AL17,"BID"),_xll.BDH(AL17,"BID",StaticData.Today,StaticData.Today)))</f>
        <v>-15.866</v>
      </c>
      <c r="AP17" s="29">
        <f>IF(AL17="","",IF(StaticData.Today=TODAY(),_xll.BDP(AL17,"ASK"),_xll.BDH(AL17,"ASK",StaticData.Today,StaticData.Today)))</f>
        <v>-13.634</v>
      </c>
      <c r="AQ17" s="177">
        <f>IF(AL17="","",IF(StaticData.Today=TODAY(),_xll.BDP(AL17,"LAST_PRICE"),_xll.BDH(AL17,"LAST_PRICE",StaticData.Today,StaticData.Today)))</f>
        <v>-14.75</v>
      </c>
      <c r="AR17" s="181">
        <f t="shared" si="9"/>
        <v>-14.75</v>
      </c>
      <c r="AT17" s="24" t="str">
        <f t="shared" si="5"/>
        <v>CAD12M BGN Curncy</v>
      </c>
      <c r="AU17" s="25" t="s">
        <v>322</v>
      </c>
      <c r="AV17" s="31"/>
      <c r="AW17" s="196">
        <f>IF(AT17="","",IF(StaticData.Today=TODAY(),_xll.BDP(AT17,"BID"),_xll.BDH(AT17,"BID",StaticData.Today,StaticData.Today)))</f>
        <v>-6.1</v>
      </c>
      <c r="AX17" s="196">
        <f>IF(AT17="","",IF(StaticData.Today=TODAY(),_xll.BDP(AT17,"ASK"),_xll.BDH(AT17,"ASK",StaticData.Today,StaticData.Today)))</f>
        <v>-4.08</v>
      </c>
      <c r="AY17" s="196">
        <f>IF(AT17="","",IF(StaticData.Today=TODAY(),_xll.BDP(AT17,"LAST_PRICE"),_xll.BDH(AT17,"LAST_PRICE",StaticData.Today,StaticData.Today)))</f>
        <v>-5.09</v>
      </c>
      <c r="AZ17" s="471">
        <f t="shared" si="10"/>
        <v>-5.09</v>
      </c>
    </row>
    <row r="18" spans="2:52" x14ac:dyDescent="0.25">
      <c r="B18" s="36"/>
      <c r="C18" s="36"/>
      <c r="D18" s="36"/>
      <c r="E18" s="36"/>
      <c r="G18" s="349" t="s">
        <v>928</v>
      </c>
      <c r="H18" s="25" t="s">
        <v>316</v>
      </c>
      <c r="I18" s="25"/>
      <c r="J18" s="187"/>
      <c r="K18" s="187"/>
      <c r="L18" s="26"/>
      <c r="M18" s="27">
        <f>USD_DATA!J20+CAD_DATA!$M$16</f>
        <v>2.2299999999999998E-3</v>
      </c>
      <c r="O18" s="24" t="str">
        <f>"CDSW5"&amp;$O$2&amp;" Curncy"</f>
        <v>CDSW5 BGN Curncy</v>
      </c>
      <c r="P18" s="25" t="s">
        <v>331</v>
      </c>
      <c r="Q18" s="28"/>
      <c r="R18" s="29">
        <f>IF(O18="","",IF(StaticData.Today=TODAY(),_xll.BDP(O18,"BID"),_xll.BDH(O18,"BID",StaticData.Today,StaticData.Today)))</f>
        <v>0.73980000000000001</v>
      </c>
      <c r="S18" s="29">
        <f>IF(O18="","",IF(StaticData.Today=TODAY(),_xll.BDP(O18,"ASK"),_xll.BDH(O18,"ASK",StaticData.Today,StaticData.Today)))</f>
        <v>0.75509999999999999</v>
      </c>
      <c r="T18" s="30">
        <f>IF(O18="","",IF(StaticData.Today=TODAY(),_xll.BDP(O18,"LAST_PRICE"),_xll.BDH(O18,"LAST_PRICE",StaticData.Today,StaticData.Today)))</f>
        <v>0.74780000000000002</v>
      </c>
      <c r="U18" s="183">
        <f t="shared" si="6"/>
        <v>7.4780000000000003E-3</v>
      </c>
      <c r="W18" s="24" t="str">
        <f>"CKBSV4"&amp;$W$2&amp;" Curncy"</f>
        <v>CKBSV4 ICPL Curncy</v>
      </c>
      <c r="X18" s="25" t="s">
        <v>324</v>
      </c>
      <c r="Y18" s="191">
        <f>IF(W18="","",IF(StaticData.Today=TODAY(),_xll.BDP(W18,"LAST_PRICE"),_xll.BDH(W18,"LAST_PRICE",StaticData.Today,StaticData.Today)))</f>
        <v>5.75</v>
      </c>
      <c r="Z18" s="338">
        <f t="shared" si="11"/>
        <v>5.7499999999999999E-4</v>
      </c>
      <c r="AB18" s="24" t="str">
        <f>"CKBSAV10"&amp;$AB$2&amp;" Curncy"</f>
        <v>CKBSAV10 ICPL Curncy</v>
      </c>
      <c r="AC18" s="25" t="s">
        <v>349</v>
      </c>
      <c r="AD18" s="26">
        <f>IF(AB18="","",IF(StaticData.Today=TODAY(),_xll.BDP(AB18,"LAST_PRICE"),_xll.BDH(AB18,"LAST_PRICE",StaticData.Today,StaticData.Today)))</f>
        <v>4.25</v>
      </c>
      <c r="AE18" s="27">
        <f t="shared" si="8"/>
        <v>4.2499999999999998E-4</v>
      </c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14" t="str">
        <f>"CDBS30"&amp;" Curncy"</f>
        <v>CDBS30 Curncy</v>
      </c>
      <c r="AM18" s="25" t="s">
        <v>389</v>
      </c>
      <c r="AN18" s="31"/>
      <c r="AO18" s="29">
        <f>IF(AL18="","",IF(StaticData.Today=TODAY(),_xll.BDP(AL18,"BID"),_xll.BDH(AL18,"BID",StaticData.Today,StaticData.Today)))</f>
        <v>-19.038</v>
      </c>
      <c r="AP18" s="29">
        <f>IF(AL18="","",IF(StaticData.Today=TODAY(),_xll.BDP(AL18,"ASK"),_xll.BDH(AL18,"ASK",StaticData.Today,StaticData.Today)))</f>
        <v>-16.962</v>
      </c>
      <c r="AQ18" s="177">
        <f>IF(AL18="","",IF(StaticData.Today=TODAY(),_xll.BDP(AL18,"LAST_PRICE"),_xll.BDH(AL18,"LAST_PRICE",StaticData.Today,StaticData.Today)))</f>
        <v>-18</v>
      </c>
      <c r="AR18" s="181">
        <f t="shared" si="9"/>
        <v>-18</v>
      </c>
      <c r="AT18" s="24" t="str">
        <f t="shared" si="5"/>
        <v>CAD18M BGN Curncy</v>
      </c>
      <c r="AU18" s="25" t="s">
        <v>501</v>
      </c>
      <c r="AV18" s="31"/>
      <c r="AW18" s="196">
        <f>IF(AT18="","",IF(StaticData.Today=TODAY(),_xll.BDP(AT18,"BID"),_xll.BDH(AT18,"BID",StaticData.Today,StaticData.Today)))</f>
        <v>-1.62</v>
      </c>
      <c r="AX18" s="196">
        <f>IF(AT18="","",IF(StaticData.Today=TODAY(),_xll.BDP(AT18,"ASK"),_xll.BDH(AT18,"ASK",StaticData.Today,StaticData.Today)))</f>
        <v>3.36</v>
      </c>
      <c r="AY18" s="196">
        <f>IF(AT18="","",IF(StaticData.Today=TODAY(),_xll.BDP(AT18,"LAST_PRICE"),_xll.BDH(AT18,"LAST_PRICE",StaticData.Today,StaticData.Today)))</f>
        <v>0.87</v>
      </c>
      <c r="AZ18" s="471">
        <f t="shared" si="10"/>
        <v>0.87</v>
      </c>
    </row>
    <row r="19" spans="2:52" x14ac:dyDescent="0.25">
      <c r="B19" s="36"/>
      <c r="C19" s="36"/>
      <c r="D19" s="36"/>
      <c r="E19" s="36"/>
      <c r="G19" s="349" t="s">
        <v>928</v>
      </c>
      <c r="H19" s="25" t="s">
        <v>324</v>
      </c>
      <c r="I19" s="25"/>
      <c r="J19" s="187"/>
      <c r="K19" s="187"/>
      <c r="L19" s="26"/>
      <c r="M19" s="27">
        <f>USD_DATA!J21+CAD_DATA!$M$16</f>
        <v>2.5399999999999997E-3</v>
      </c>
      <c r="O19" s="24" t="str">
        <f>"UDSW3"&amp;$O$2&amp;" Curncy"</f>
        <v>UDSW3 BGN Curncy</v>
      </c>
      <c r="P19" s="25" t="s">
        <v>339</v>
      </c>
      <c r="Q19" s="28"/>
      <c r="R19" s="29">
        <f>IF(O19="","",IF(StaticData.Today=TODAY(),_xll.BDP(O19,"BID"),_xll.BDH(O19,"BID",StaticData.Today,StaticData.Today)))</f>
        <v>0.84460000000000002</v>
      </c>
      <c r="S19" s="29">
        <f>IF(O19="","",IF(StaticData.Today=TODAY(),_xll.BDP(O19,"ASK"),_xll.BDH(O19,"ASK",StaticData.Today,StaticData.Today)))</f>
        <v>0.90539999999999998</v>
      </c>
      <c r="T19" s="30">
        <f>IF(O19="","",IF(StaticData.Today=TODAY(),_xll.BDP(O19,"LAST_PRICE"),_xll.BDH(O19,"LAST_PRICE",StaticData.Today,StaticData.Today)))</f>
        <v>0.875</v>
      </c>
      <c r="U19" s="183">
        <f t="shared" si="6"/>
        <v>8.7500000000000008E-3</v>
      </c>
      <c r="W19" s="24" t="str">
        <f>"CKBSV5"&amp;$W$2&amp;" Curncy"</f>
        <v>CKBSV5 ICPL Curncy</v>
      </c>
      <c r="X19" s="25" t="s">
        <v>331</v>
      </c>
      <c r="Y19" s="191">
        <f>IF(W19="","",IF(StaticData.Today=TODAY(),_xll.BDP(W19,"LAST_PRICE"),_xll.BDH(W19,"LAST_PRICE",StaticData.Today,StaticData.Today)))</f>
        <v>6.5</v>
      </c>
      <c r="Z19" s="338">
        <f t="shared" si="11"/>
        <v>6.4999999999999997E-4</v>
      </c>
      <c r="AB19" s="24"/>
      <c r="AC19" s="25"/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14"/>
      <c r="AM19" s="25"/>
      <c r="AN19" s="28"/>
      <c r="AO19" s="29"/>
      <c r="AP19" s="29"/>
      <c r="AQ19" s="177"/>
      <c r="AR19" s="181"/>
      <c r="AT19" s="24" t="str">
        <f t="shared" si="5"/>
        <v>CAD2Y BGN Curncy</v>
      </c>
      <c r="AU19" s="25" t="s">
        <v>308</v>
      </c>
      <c r="AV19" s="31"/>
      <c r="AW19" s="196">
        <f>IF(AT19="","",IF(StaticData.Today=TODAY(),_xll.BDP(AT19,"BID"),_xll.BDH(AT19,"BID",StaticData.Today,StaticData.Today)))</f>
        <v>8.7799999999999994</v>
      </c>
      <c r="AX19" s="196">
        <f>IF(AT19="","",IF(StaticData.Today=TODAY(),_xll.BDP(AT19,"ASK"),_xll.BDH(AT19,"ASK",StaticData.Today,StaticData.Today)))</f>
        <v>20.329999999999998</v>
      </c>
      <c r="AY19" s="196">
        <f>IF(AT19="","",IF(StaticData.Today=TODAY(),_xll.BDP(AT19,"LAST_PRICE"),_xll.BDH(AT19,"LAST_PRICE",StaticData.Today,StaticData.Today)))</f>
        <v>14.56</v>
      </c>
      <c r="AZ19" s="471">
        <f t="shared" si="10"/>
        <v>14.56</v>
      </c>
    </row>
    <row r="20" spans="2:52" x14ac:dyDescent="0.25">
      <c r="B20" s="36"/>
      <c r="C20" s="36"/>
      <c r="D20" s="36"/>
      <c r="E20" s="36"/>
      <c r="G20" s="349" t="s">
        <v>928</v>
      </c>
      <c r="H20" s="25" t="s">
        <v>331</v>
      </c>
      <c r="I20" s="25"/>
      <c r="J20" s="187"/>
      <c r="K20" s="187"/>
      <c r="L20" s="26"/>
      <c r="M20" s="27">
        <f>USD_DATA!J22+CAD_DATA!$M$16</f>
        <v>3.1199999999999995E-3</v>
      </c>
      <c r="O20" s="24" t="str">
        <f>"CDSW7"&amp;$O$2&amp;" Curncy"</f>
        <v>CDSW7 BGN Curncy</v>
      </c>
      <c r="P20" s="25" t="s">
        <v>342</v>
      </c>
      <c r="Q20" s="28"/>
      <c r="R20" s="29">
        <f>IF(O20="","",IF(StaticData.Today=TODAY(),_xll.BDP(O20,"BID"),_xll.BDH(O20,"BID",StaticData.Today,StaticData.Today)))</f>
        <v>0.86429999999999996</v>
      </c>
      <c r="S20" s="29">
        <f>IF(O20="","",IF(StaticData.Today=TODAY(),_xll.BDP(O20,"ASK"),_xll.BDH(O20,"ASK",StaticData.Today,StaticData.Today)))</f>
        <v>0.88649999999999995</v>
      </c>
      <c r="T20" s="30">
        <f>IF(O20="","",IF(StaticData.Today=TODAY(),_xll.BDP(O20,"LAST_PRICE"),_xll.BDH(O20,"LAST_PRICE",StaticData.Today,StaticData.Today)))</f>
        <v>0.87539999999999996</v>
      </c>
      <c r="U20" s="183">
        <f t="shared" si="6"/>
        <v>8.7539999999999996E-3</v>
      </c>
      <c r="W20" s="24" t="str">
        <f>"CKBSV6"&amp;$W$2&amp;" Curncy"</f>
        <v>CKBSV6 ICPL Curncy</v>
      </c>
      <c r="X20" s="25" t="s">
        <v>339</v>
      </c>
      <c r="Y20" s="191">
        <f>IF(W20="","",IF(StaticData.Today=TODAY(),_xll.BDP(W20,"LAST_PRICE"),_xll.BDH(W20,"LAST_PRICE",StaticData.Today,StaticData.Today)))</f>
        <v>7.75</v>
      </c>
      <c r="Z20" s="338">
        <f t="shared" si="11"/>
        <v>7.7499999999999997E-4</v>
      </c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ref="AT20:AT24" si="12">"CAD"&amp;AU20&amp;$AT$1&amp;" Curncy"</f>
        <v>CAD3Y BGN Curncy</v>
      </c>
      <c r="AU20" s="25" t="s">
        <v>316</v>
      </c>
      <c r="AV20" s="31"/>
      <c r="AW20" s="196">
        <f>IF(AT20="","",IF(StaticData.Today=TODAY(),_xll.BDP(AT20,"BID"),_xll.BDH(AT20,"BID",StaticData.Today,StaticData.Today)))</f>
        <v>49.36</v>
      </c>
      <c r="AX20" s="196">
        <f>IF(AT20="","",IF(StaticData.Today=TODAY(),_xll.BDP(AT20,"ASK"),_xll.BDH(AT20,"ASK",StaticData.Today,StaticData.Today)))</f>
        <v>65.45</v>
      </c>
      <c r="AY20" s="196">
        <f>IF(AT20="","",IF(StaticData.Today=TODAY(),_xll.BDP(AT20,"LAST_PRICE"),_xll.BDH(AT20,"LAST_PRICE",StaticData.Today,StaticData.Today)))</f>
        <v>57.4</v>
      </c>
      <c r="AZ20" s="471">
        <f t="shared" ref="AZ20:AZ24" si="13">AY20</f>
        <v>57.4</v>
      </c>
    </row>
    <row r="21" spans="2:52" x14ac:dyDescent="0.25">
      <c r="B21" s="36"/>
      <c r="C21" s="36"/>
      <c r="D21" s="36"/>
      <c r="E21" s="36"/>
      <c r="G21" s="349" t="s">
        <v>928</v>
      </c>
      <c r="H21" s="25" t="s">
        <v>339</v>
      </c>
      <c r="I21" s="25"/>
      <c r="J21" s="187"/>
      <c r="K21" s="187"/>
      <c r="L21" s="26"/>
      <c r="M21" s="27">
        <f>0.5*(M20+M22)</f>
        <v>3.8349999999999999E-3</v>
      </c>
      <c r="O21" s="24" t="str">
        <f>"CDSW8"&amp;$O$2&amp;" Curncy"</f>
        <v>CDSW8 BGN Curncy</v>
      </c>
      <c r="P21" s="25" t="s">
        <v>355</v>
      </c>
      <c r="Q21" s="28"/>
      <c r="R21" s="29">
        <f>IF(O21="","",IF(StaticData.Today=TODAY(),_xll.BDP(O21,"BID"),_xll.BDH(O21,"BID",StaticData.Today,StaticData.Today)))</f>
        <v>0.9234</v>
      </c>
      <c r="S21" s="29">
        <f>IF(O21="","",IF(StaticData.Today=TODAY(),_xll.BDP(O21,"ASK"),_xll.BDH(O21,"ASK",StaticData.Today,StaticData.Today)))</f>
        <v>0.9476</v>
      </c>
      <c r="T21" s="30">
        <f>IF(O21="","",IF(StaticData.Today=TODAY(),_xll.BDP(O21,"LAST_PRICE"),_xll.BDH(O21,"LAST_PRICE",StaticData.Today,StaticData.Today)))</f>
        <v>0.9355</v>
      </c>
      <c r="U21" s="183">
        <f t="shared" si="6"/>
        <v>9.3550000000000005E-3</v>
      </c>
      <c r="W21" s="24" t="str">
        <f>"CKBSV7"&amp;$W$2&amp;" Curncy"</f>
        <v>CKBSV7 ICPL Curncy</v>
      </c>
      <c r="X21" s="25" t="s">
        <v>342</v>
      </c>
      <c r="Y21" s="191">
        <f>IF(W21="","",IF(StaticData.Today=TODAY(),_xll.BDP(W21,"LAST_PRICE"),_xll.BDH(W21,"LAST_PRICE",StaticData.Today,StaticData.Today)))</f>
        <v>9.5</v>
      </c>
      <c r="Z21" s="338">
        <f t="shared" si="11"/>
        <v>9.5E-4</v>
      </c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si="12"/>
        <v>CAD4Y BGN Curncy</v>
      </c>
      <c r="AU21" s="25" t="s">
        <v>324</v>
      </c>
      <c r="AV21" s="31"/>
      <c r="AW21" s="196">
        <f>IF(AT21="","",IF(StaticData.Today=TODAY(),_xll.BDP(AT21,"BID"),_xll.BDH(AT21,"BID",StaticData.Today,StaticData.Today)))</f>
        <v>103.54</v>
      </c>
      <c r="AX21" s="196">
        <f>IF(AT21="","",IF(StaticData.Today=TODAY(),_xll.BDP(AT21,"ASK"),_xll.BDH(AT21,"ASK",StaticData.Today,StaticData.Today)))</f>
        <v>123.58</v>
      </c>
      <c r="AY21" s="196">
        <f>IF(AT21="","",IF(StaticData.Today=TODAY(),_xll.BDP(AT21,"LAST_PRICE"),_xll.BDH(AT21,"LAST_PRICE",StaticData.Today,StaticData.Today)))</f>
        <v>113.56</v>
      </c>
      <c r="AZ21" s="471">
        <f t="shared" si="13"/>
        <v>113.56</v>
      </c>
    </row>
    <row r="22" spans="2:52" x14ac:dyDescent="0.25">
      <c r="B22" s="36"/>
      <c r="C22" s="36"/>
      <c r="D22" s="36"/>
      <c r="E22" s="36"/>
      <c r="G22" s="349" t="s">
        <v>928</v>
      </c>
      <c r="H22" s="25" t="s">
        <v>342</v>
      </c>
      <c r="I22" s="25"/>
      <c r="J22" s="187"/>
      <c r="K22" s="187"/>
      <c r="L22" s="26"/>
      <c r="M22" s="27">
        <f>USD_DATA!J23+CAD_DATA!$M$16</f>
        <v>4.5500000000000002E-3</v>
      </c>
      <c r="O22" s="24" t="str">
        <f>"CDSW9"&amp;$O$2&amp;" Curncy"</f>
        <v>CDSW9 BGN Curncy</v>
      </c>
      <c r="P22" s="25" t="s">
        <v>364</v>
      </c>
      <c r="Q22" s="28"/>
      <c r="R22" s="29">
        <f>IF(O22="","",IF(StaticData.Today=TODAY(),_xll.BDP(O22,"BID"),_xll.BDH(O22,"BID",StaticData.Today,StaticData.Today)))</f>
        <v>0.98429999999999995</v>
      </c>
      <c r="S22" s="29">
        <f>IF(O22="","",IF(StaticData.Today=TODAY(),_xll.BDP(O22,"ASK"),_xll.BDH(O22,"ASK",StaticData.Today,StaticData.Today)))</f>
        <v>0.99590000000000001</v>
      </c>
      <c r="T22" s="30">
        <f>IF(O22="","",IF(StaticData.Today=TODAY(),_xll.BDP(O22,"LAST_PRICE"),_xll.BDH(O22,"LAST_PRICE",StaticData.Today,StaticData.Today)))</f>
        <v>0.99009999999999998</v>
      </c>
      <c r="U22" s="183">
        <f t="shared" si="6"/>
        <v>9.9010000000000001E-3</v>
      </c>
      <c r="W22" s="24" t="str">
        <f>"CKBSV8"&amp;$W$2&amp;" Curncy"</f>
        <v>CKBSV8 ICPL Curncy</v>
      </c>
      <c r="X22" s="25" t="s">
        <v>355</v>
      </c>
      <c r="Y22" s="191">
        <f>IF(W22="","",IF(StaticData.Today=TODAY(),_xll.BDP(W22,"LAST_PRICE"),_xll.BDH(W22,"LAST_PRICE",StaticData.Today,StaticData.Today)))</f>
        <v>11</v>
      </c>
      <c r="Z22" s="338">
        <f t="shared" si="11"/>
        <v>1.1000000000000001E-3</v>
      </c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 t="shared" si="12"/>
        <v>CAD5Y BGN Curncy</v>
      </c>
      <c r="AU22" s="25" t="s">
        <v>331</v>
      </c>
      <c r="AV22" s="31"/>
      <c r="AW22" s="196">
        <f>IF(AT22="","",IF(StaticData.Today=TODAY(),_xll.BDP(AT22,"BID"),_xll.BDH(AT22,"BID",StaticData.Today,StaticData.Today)))</f>
        <v>151.57</v>
      </c>
      <c r="AX22" s="196">
        <f>IF(AT22="","",IF(StaticData.Today=TODAY(),_xll.BDP(AT22,"ASK"),_xll.BDH(AT22,"ASK",StaticData.Today,StaticData.Today)))</f>
        <v>178.33</v>
      </c>
      <c r="AY22" s="196">
        <f>IF(AT22="","",IF(StaticData.Today=TODAY(),_xll.BDP(AT22,"LAST_PRICE"),_xll.BDH(AT22,"LAST_PRICE",StaticData.Today,StaticData.Today)))</f>
        <v>164.95</v>
      </c>
      <c r="AZ22" s="471">
        <f t="shared" si="13"/>
        <v>164.95</v>
      </c>
    </row>
    <row r="23" spans="2:52" x14ac:dyDescent="0.25">
      <c r="B23" s="36"/>
      <c r="C23" s="36"/>
      <c r="D23" s="36"/>
      <c r="E23" s="36"/>
      <c r="G23" s="349" t="s">
        <v>928</v>
      </c>
      <c r="H23" s="25" t="s">
        <v>355</v>
      </c>
      <c r="I23" s="25"/>
      <c r="J23" s="187"/>
      <c r="K23" s="187"/>
      <c r="L23" s="26"/>
      <c r="M23" s="470">
        <f>M22+(M25-M22)/3</f>
        <v>5.2133333333333328E-3</v>
      </c>
      <c r="O23" s="24" t="str">
        <f>"CDSW10"&amp;$O$2&amp;" Curncy"</f>
        <v>CDSW10 BGN Curncy</v>
      </c>
      <c r="P23" s="25" t="s">
        <v>349</v>
      </c>
      <c r="Q23" s="28"/>
      <c r="R23" s="29">
        <f>IF(O23="","",IF(StaticData.Today=TODAY(),_xll.BDP(O23,"BID"),_xll.BDH(O23,"BID",StaticData.Today,StaticData.Today)))</f>
        <v>1.0328999999999999</v>
      </c>
      <c r="S23" s="29">
        <f>IF(O23="","",IF(StaticData.Today=TODAY(),_xll.BDP(O23,"ASK"),_xll.BDH(O23,"ASK",StaticData.Today,StaticData.Today)))</f>
        <v>1.0601</v>
      </c>
      <c r="T23" s="30">
        <f>IF(O23="","",IF(StaticData.Today=TODAY(),_xll.BDP(O23,"LAST_PRICE"),_xll.BDH(O23,"LAST_PRICE",StaticData.Today,StaticData.Today)))</f>
        <v>1.0465</v>
      </c>
      <c r="U23" s="183">
        <f t="shared" si="6"/>
        <v>1.0465E-2</v>
      </c>
      <c r="W23" s="24" t="str">
        <f>"CKBSV9"&amp;$W$2&amp;" Curncy"</f>
        <v>CKBSV9 ICPL Curncy</v>
      </c>
      <c r="X23" s="25" t="s">
        <v>364</v>
      </c>
      <c r="Y23" s="191">
        <f>IF(W23="","",IF(StaticData.Today=TODAY(),_xll.BDP(W23,"LAST_PRICE"),_xll.BDH(W23,"LAST_PRICE",StaticData.Today,StaticData.Today)))</f>
        <v>12.75</v>
      </c>
      <c r="Z23" s="338">
        <f t="shared" si="11"/>
        <v>1.2750000000000001E-3</v>
      </c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si="12"/>
        <v>CAD7Y BGN Curncy</v>
      </c>
      <c r="AU23" s="25" t="s">
        <v>342</v>
      </c>
      <c r="AV23" s="31"/>
      <c r="AW23" s="196">
        <f>IF(AT23="","",IF(StaticData.Today=TODAY(),_xll.BDP(AT23,"BID"),_xll.BDH(AT23,"BID",StaticData.Today,StaticData.Today)))</f>
        <v>230.38</v>
      </c>
      <c r="AX23" s="196">
        <f>IF(AT23="","",IF(StaticData.Today=TODAY(),_xll.BDP(AT23,"ASK"),_xll.BDH(AT23,"ASK",StaticData.Today,StaticData.Today)))</f>
        <v>260.48</v>
      </c>
      <c r="AY23" s="196">
        <f>IF(AT23="","",IF(StaticData.Today=TODAY(),_xll.BDP(AT23,"LAST_PRICE"),_xll.BDH(AT23,"LAST_PRICE",StaticData.Today,StaticData.Today)))</f>
        <v>245.43</v>
      </c>
      <c r="AZ23" s="471">
        <f t="shared" si="13"/>
        <v>245.43</v>
      </c>
    </row>
    <row r="24" spans="2:52" x14ac:dyDescent="0.25">
      <c r="G24" s="349" t="s">
        <v>928</v>
      </c>
      <c r="H24" s="25" t="s">
        <v>364</v>
      </c>
      <c r="I24" s="25"/>
      <c r="J24" s="187"/>
      <c r="K24" s="187"/>
      <c r="L24" s="26"/>
      <c r="M24" s="27">
        <f>M22+2*(M25-M22)/3</f>
        <v>5.8766666666666663E-3</v>
      </c>
      <c r="O24" s="24" t="str">
        <f>"CDSW12"&amp;$O$2&amp;" Curncy"</f>
        <v>CDSW12 BGN Curncy</v>
      </c>
      <c r="P24" s="25" t="s">
        <v>358</v>
      </c>
      <c r="Q24" s="28"/>
      <c r="R24" s="29">
        <f>IF(O24="","",IF(StaticData.Today=TODAY(),_xll.BDP(O24,"BID"),_xll.BDH(O24,"BID",StaticData.Today,StaticData.Today)))</f>
        <v>1.1368</v>
      </c>
      <c r="S24" s="29">
        <f>IF(O24="","",IF(StaticData.Today=TODAY(),_xll.BDP(O24,"ASK"),_xll.BDH(O24,"ASK",StaticData.Today,StaticData.Today)))</f>
        <v>1.1741999999999999</v>
      </c>
      <c r="T24" s="30">
        <f>IF(O24="","",IF(StaticData.Today=TODAY(),_xll.BDP(O24,"LAST_PRICE"),_xll.BDH(O24,"LAST_PRICE",StaticData.Today,StaticData.Today)))</f>
        <v>1.1555</v>
      </c>
      <c r="U24" s="183">
        <f t="shared" si="6"/>
        <v>1.1554999999999999E-2</v>
      </c>
      <c r="W24" s="24" t="str">
        <f>"CKBSV10"&amp;$W$2&amp;" Curncy"</f>
        <v>CKBSV10 ICPL Curncy</v>
      </c>
      <c r="X24" s="25" t="s">
        <v>349</v>
      </c>
      <c r="Y24" s="191">
        <f>IF(W24="","",IF(StaticData.Today=TODAY(),_xll.BDP(W24,"LAST_PRICE"),_xll.BDH(W24,"LAST_PRICE",StaticData.Today,StaticData.Today)))</f>
        <v>14.25</v>
      </c>
      <c r="Z24" s="338">
        <f t="shared" si="11"/>
        <v>1.4250000000000001E-3</v>
      </c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si="12"/>
        <v>CAD10Y BGN Curncy</v>
      </c>
      <c r="AU24" s="25" t="s">
        <v>349</v>
      </c>
      <c r="AV24" s="31"/>
      <c r="AW24" s="196">
        <f>IF(AT24="","",IF(StaticData.Today=TODAY(),_xll.BDP(AT24,"BID"),_xll.BDH(AT24,"BID",StaticData.Today,StaticData.Today)))</f>
        <v>333.45</v>
      </c>
      <c r="AX24" s="196">
        <f>IF(AT24="","",IF(StaticData.Today=TODAY(),_xll.BDP(AT24,"ASK"),_xll.BDH(AT24,"ASK",StaticData.Today,StaticData.Today)))</f>
        <v>354.46</v>
      </c>
      <c r="AY24" s="196">
        <f>IF(AT24="","",IF(StaticData.Today=TODAY(),_xll.BDP(AT24,"LAST_PRICE"),_xll.BDH(AT24,"LAST_PRICE",StaticData.Today,StaticData.Today)))</f>
        <v>343.96</v>
      </c>
      <c r="AZ24" s="471">
        <f t="shared" si="13"/>
        <v>343.96</v>
      </c>
    </row>
    <row r="25" spans="2:52" x14ac:dyDescent="0.25">
      <c r="G25" s="349" t="s">
        <v>928</v>
      </c>
      <c r="H25" s="25" t="s">
        <v>349</v>
      </c>
      <c r="I25" s="25"/>
      <c r="J25" s="187"/>
      <c r="K25" s="187"/>
      <c r="L25" s="26"/>
      <c r="M25" s="27">
        <f>USD_DATA!J24+CAD_DATA!$M$16</f>
        <v>6.5399999999999989E-3</v>
      </c>
      <c r="O25" s="24" t="str">
        <f>"CDSW15"&amp;$O$2&amp;" Curncy"</f>
        <v>CDSW15 BGN Curncy</v>
      </c>
      <c r="P25" s="25" t="s">
        <v>367</v>
      </c>
      <c r="Q25" s="28"/>
      <c r="R25" s="29">
        <f>IF(O25="","",IF(StaticData.Today=TODAY(),_xll.BDP(O25,"BID"),_xll.BDH(O25,"BID",StaticData.Today,StaticData.Today)))</f>
        <v>1.2779</v>
      </c>
      <c r="S25" s="29">
        <f>IF(O25="","",IF(StaticData.Today=TODAY(),_xll.BDP(O25,"ASK"),_xll.BDH(O25,"ASK",StaticData.Today,StaticData.Today)))</f>
        <v>1.3021</v>
      </c>
      <c r="T25" s="30">
        <f>IF(O25="","",IF(StaticData.Today=TODAY(),_xll.BDP(O25,"LAST_PRICE"),_xll.BDH(O25,"LAST_PRICE",StaticData.Today,StaticData.Today)))</f>
        <v>1.29</v>
      </c>
      <c r="U25" s="183">
        <f t="shared" si="6"/>
        <v>1.29E-2</v>
      </c>
      <c r="W25" s="24" t="str">
        <f>"CKBSV12"&amp;$W$2&amp;" Curncy"</f>
        <v>CKBSV12 ICPL Curncy</v>
      </c>
      <c r="X25" s="25" t="s">
        <v>358</v>
      </c>
      <c r="Y25" s="191">
        <f>IF(W25="","",IF(StaticData.Today=TODAY(),_xll.BDP(W25,"LAST_PRICE"),_xll.BDH(W25,"LAST_PRICE",StaticData.Today,StaticData.Today)))</f>
        <v>15.25</v>
      </c>
      <c r="Z25" s="338">
        <f t="shared" si="11"/>
        <v>1.5250000000000001E-3</v>
      </c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/>
      <c r="AU25" s="25"/>
      <c r="AV25" s="28"/>
      <c r="AW25" s="178"/>
      <c r="AX25" s="178"/>
      <c r="AY25" s="30"/>
      <c r="AZ25" s="27"/>
    </row>
    <row r="26" spans="2:52" x14ac:dyDescent="0.25">
      <c r="G26" s="349" t="s">
        <v>928</v>
      </c>
      <c r="H26" s="25" t="s">
        <v>374</v>
      </c>
      <c r="I26" s="25"/>
      <c r="J26" s="187"/>
      <c r="K26" s="187"/>
      <c r="L26" s="26"/>
      <c r="M26" s="27">
        <f>USD_DATA!J25+CAD_DATA!$M$16</f>
        <v>9.6299999999999997E-3</v>
      </c>
      <c r="O26" s="24" t="str">
        <f>"CDSW20"&amp;$O$2&amp;" Curncy"</f>
        <v>CDSW20 BGN Curncy</v>
      </c>
      <c r="P26" s="25" t="s">
        <v>374</v>
      </c>
      <c r="Q26" s="28"/>
      <c r="R26" s="29">
        <f>IF(O26="","",IF(StaticData.Today=TODAY(),_xll.BDP(O26,"BID"),_xll.BDH(O26,"BID",StaticData.Today,StaticData.Today)))</f>
        <v>1.4001999999999999</v>
      </c>
      <c r="S26" s="29">
        <f>IF(O26="","",IF(StaticData.Today=TODAY(),_xll.BDP(O26,"ASK"),_xll.BDH(O26,"ASK",StaticData.Today,StaticData.Today)))</f>
        <v>1.4208000000000001</v>
      </c>
      <c r="T26" s="30">
        <f>IF(O26="","",IF(StaticData.Today=TODAY(),_xll.BDP(O26,"LAST_PRICE"),_xll.BDH(O26,"LAST_PRICE",StaticData.Today,StaticData.Today)))</f>
        <v>1.4105000000000001</v>
      </c>
      <c r="U26" s="183">
        <f t="shared" si="6"/>
        <v>1.4105000000000001E-2</v>
      </c>
      <c r="W26" s="24" t="str">
        <f>"CKBSV15"&amp;$W$2&amp;" Curncy"</f>
        <v>CKBSV15 ICPL Curncy</v>
      </c>
      <c r="X26" s="25" t="s">
        <v>367</v>
      </c>
      <c r="Y26" s="191">
        <f>IF(W26="","",IF(StaticData.Today=TODAY(),_xll.BDP(W26,"LAST_PRICE"),_xll.BDH(W26,"LAST_PRICE",StaticData.Today,StaticData.Today)))</f>
        <v>13.1</v>
      </c>
      <c r="Z26" s="338">
        <f t="shared" si="11"/>
        <v>1.31E-3</v>
      </c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78"/>
      <c r="AX26" s="178"/>
      <c r="AY26" s="30"/>
      <c r="AZ26" s="27"/>
    </row>
    <row r="27" spans="2:52" x14ac:dyDescent="0.25">
      <c r="G27" s="349" t="s">
        <v>928</v>
      </c>
      <c r="H27" s="25" t="s">
        <v>389</v>
      </c>
      <c r="I27" s="25"/>
      <c r="J27" s="187"/>
      <c r="K27" s="187"/>
      <c r="L27" s="26"/>
      <c r="M27" s="27">
        <f>USD_DATA!J26+CAD_DATA!M16</f>
        <v>1.014E-2</v>
      </c>
      <c r="O27" s="24"/>
      <c r="P27" s="25"/>
      <c r="Q27" s="28"/>
      <c r="R27" s="29"/>
      <c r="S27" s="29"/>
      <c r="T27" s="30"/>
      <c r="U27" s="183"/>
      <c r="W27" s="24" t="str">
        <f>"CKBSV20"&amp;$W$2&amp;" Curncy"</f>
        <v>CKBSV20 ICPL Curncy</v>
      </c>
      <c r="X27" s="25" t="s">
        <v>374</v>
      </c>
      <c r="Y27" s="191">
        <f>IF(W27="","",IF(StaticData.Today=TODAY(),_xll.BDP(W27,"LAST_PRICE"),_xll.BDH(W27,"LAST_PRICE",StaticData.Today,StaticData.Today)))</f>
        <v>12.1</v>
      </c>
      <c r="Z27" s="338">
        <f t="shared" si="11"/>
        <v>1.2099999999999999E-3</v>
      </c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178"/>
      <c r="AX27" s="178"/>
      <c r="AY27" s="30"/>
      <c r="AZ27" s="27"/>
    </row>
    <row r="28" spans="2:52" x14ac:dyDescent="0.25">
      <c r="G28" s="24"/>
      <c r="H28" s="25"/>
      <c r="I28" s="25"/>
      <c r="J28" s="187"/>
      <c r="K28" s="187"/>
      <c r="L28" s="26"/>
      <c r="M28" s="27"/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178"/>
      <c r="AX28" s="178"/>
      <c r="AY28" s="30"/>
      <c r="AZ28" s="27"/>
    </row>
    <row r="29" spans="2:52" x14ac:dyDescent="0.25">
      <c r="G29" s="24"/>
      <c r="H29" s="25"/>
      <c r="I29" s="25"/>
      <c r="J29" s="187"/>
      <c r="K29" s="187"/>
      <c r="L29" s="26"/>
      <c r="M29" s="27"/>
      <c r="O29" s="24"/>
      <c r="P29" s="25"/>
      <c r="Q29" s="28"/>
      <c r="R29" s="29"/>
      <c r="S29" s="29"/>
      <c r="T29" s="30"/>
      <c r="U29" s="27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178"/>
      <c r="AX29" s="178"/>
      <c r="AY29" s="30"/>
      <c r="AZ29" s="27"/>
    </row>
    <row r="30" spans="2:52" x14ac:dyDescent="0.25">
      <c r="G30" s="24"/>
      <c r="H30" s="25"/>
      <c r="I30" s="25"/>
      <c r="J30" s="187"/>
      <c r="K30" s="187"/>
      <c r="L30" s="26"/>
      <c r="M30" s="27"/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29"/>
      <c r="AX30" s="29"/>
      <c r="AY30" s="30" t="str">
        <f>IF(AT30="","",IF(StaticData.Today=TODAY(),_xll.BDP(AT30,"LAST_PRICE"),_xll.BDH(AT30,"LAST_PRICE",StaticData.Today,StaticData.Today)))</f>
        <v/>
      </c>
      <c r="AZ30" s="27"/>
    </row>
    <row r="31" spans="2:52" x14ac:dyDescent="0.25">
      <c r="G31" s="24"/>
      <c r="H31" s="25"/>
      <c r="I31" s="25"/>
      <c r="J31" s="187"/>
      <c r="K31" s="187"/>
      <c r="L31" s="26"/>
      <c r="M31" s="27"/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 t="str">
        <f>IF(AT31="","",IF(StaticData.Today=TODAY(),_xll.BDP(AT31,"LAST_PRICE"),_xll.BDH(AT31,"LAST_PRICE",StaticData.Today,StaticData.Today)))</f>
        <v/>
      </c>
      <c r="AZ31" s="27"/>
    </row>
    <row r="32" spans="2:52" x14ac:dyDescent="0.25">
      <c r="G32" s="24"/>
      <c r="H32" s="25"/>
      <c r="I32" s="25"/>
      <c r="J32" s="187"/>
      <c r="K32" s="187"/>
      <c r="L32" s="26"/>
      <c r="M32" s="27"/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7:52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7:52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7:52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7:52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 t="str">
        <f>IF(O36="","",IF(StaticData.Today=TODAY(),_xll.BDP(O36,"LAST_PRICE"),_xll.BDH(O36,"LAST_PRICE",StaticData.Today,StaticData.Today)))</f>
        <v/>
      </c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7:52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 t="str">
        <f>IF(O37="","",IF(StaticData.Today=TODAY(),_xll.BDP(O37,"LAST_PRICE"),_xll.BDH(O37,"LAST_PRICE",StaticData.Today,StaticData.Today)))</f>
        <v/>
      </c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7:52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 t="str">
        <f>IF(O38="","",IF(StaticData.Today=TODAY(),_xll.BDP(O38,"LAST_PRICE"),_xll.BDH(O38,"LAST_PRICE",StaticData.Today,StaticData.Today)))</f>
        <v/>
      </c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7:52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7:52" x14ac:dyDescent="0.25">
      <c r="G40" s="24"/>
      <c r="H40" s="25"/>
      <c r="I40" s="25"/>
      <c r="J40" s="25"/>
      <c r="K40" s="25"/>
      <c r="L40" s="26"/>
      <c r="M40" s="27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7:52" x14ac:dyDescent="0.25">
      <c r="G41" s="38"/>
      <c r="H41" s="39"/>
      <c r="I41" s="39"/>
      <c r="J41" s="39"/>
      <c r="K41" s="39"/>
      <c r="L41" s="40"/>
      <c r="M41" s="41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7:52" x14ac:dyDescent="0.25"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7:52" x14ac:dyDescent="0.25"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7:52" x14ac:dyDescent="0.25"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7:52" x14ac:dyDescent="0.25"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7:52" x14ac:dyDescent="0.25">
      <c r="O46" s="38"/>
      <c r="P46" s="39"/>
      <c r="Q46" s="42"/>
      <c r="R46" s="43"/>
      <c r="S46" s="43"/>
      <c r="T46" s="44" t="str">
        <f>IF(O46="","",IF(StaticData.Today=TODAY(),_xll.BDP(O46,"LAST_PRICE"),_xll.BDH(O46,"LAST_PRICE",StaticData.Today,StaticData.Today)))</f>
        <v/>
      </c>
      <c r="U46" s="41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7:52" x14ac:dyDescent="0.25"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7:52" x14ac:dyDescent="0.25">
      <c r="W48" s="24"/>
      <c r="X48" s="25"/>
      <c r="Y48" s="191"/>
      <c r="Z48" s="27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23:52" x14ac:dyDescent="0.25">
      <c r="W49" s="24"/>
      <c r="X49" s="25"/>
      <c r="Y49" s="191"/>
      <c r="Z49" s="27"/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  <c r="AT49" s="38"/>
      <c r="AU49" s="39"/>
      <c r="AV49" s="42"/>
      <c r="AW49" s="43"/>
      <c r="AX49" s="43"/>
      <c r="AY49" s="44" t="str">
        <f>IF(AT49="","",IF(StaticData.Today=TODAY(),_xll.BDP(AT49,"LAST_PRICE"),_xll.BDH(AT49,"LAST_PRICE",StaticData.Today,StaticData.Today)))</f>
        <v/>
      </c>
      <c r="AZ49" s="41"/>
    </row>
    <row r="50" spans="23:52" x14ac:dyDescent="0.25">
      <c r="W50" s="24"/>
      <c r="X50" s="25"/>
      <c r="Y50" s="191"/>
      <c r="Z50" s="27"/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41"/>
    </row>
    <row r="51" spans="23:52" x14ac:dyDescent="0.25">
      <c r="W51" s="24"/>
      <c r="X51" s="25"/>
      <c r="Y51" s="191"/>
      <c r="Z51" s="27"/>
    </row>
    <row r="52" spans="23:52" x14ac:dyDescent="0.25">
      <c r="W52" s="24"/>
      <c r="X52" s="25"/>
      <c r="Y52" s="191"/>
      <c r="Z52" s="27"/>
    </row>
    <row r="53" spans="23:52" x14ac:dyDescent="0.25">
      <c r="W53" s="24"/>
      <c r="X53" s="25"/>
      <c r="Y53" s="191"/>
      <c r="Z53" s="27"/>
    </row>
    <row r="54" spans="23:52" x14ac:dyDescent="0.25">
      <c r="W54" s="24"/>
      <c r="X54" s="25"/>
      <c r="Y54" s="191"/>
      <c r="Z54" s="27"/>
    </row>
    <row r="55" spans="23:52" x14ac:dyDescent="0.25">
      <c r="W55" s="24"/>
      <c r="X55" s="25"/>
      <c r="Y55" s="191"/>
      <c r="Z55" s="27"/>
    </row>
    <row r="56" spans="23:52" x14ac:dyDescent="0.25">
      <c r="W56" s="38"/>
      <c r="X56" s="39"/>
      <c r="Y56" s="192"/>
      <c r="Z56" s="41"/>
    </row>
  </sheetData>
  <dataValidations count="4">
    <dataValidation type="list" allowBlank="1" showInputMessage="1" showErrorMessage="1" sqref="O2">
      <formula1>$Q$93:$Q$96</formula1>
    </dataValidation>
    <dataValidation type="list" allowBlank="1" showInputMessage="1" showErrorMessage="1" sqref="O1">
      <formula1>$Q$88:$Q$91</formula1>
    </dataValidation>
    <dataValidation type="list" allowBlank="1" showInputMessage="1" showErrorMessage="1" sqref="AB2">
      <formula1>$Q$92:$Q$95</formula1>
    </dataValidation>
    <dataValidation type="list" allowBlank="1" showInputMessage="1" showErrorMessage="1" sqref="AL2 W2">
      <formula1>$Q$94:$Q$97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'STATIC DATA'!$Q$97:$Q$100</xm:f>
          </x14:formula1>
          <xm:sqref>AT1:AT2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7" tint="0.79998168889431442"/>
  </sheetPr>
  <dimension ref="A1:AZ54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8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1211</v>
      </c>
      <c r="G1" s="6" t="s">
        <v>546</v>
      </c>
      <c r="O1" s="6" t="s">
        <v>849</v>
      </c>
      <c r="AT1" s="6" t="s">
        <v>849</v>
      </c>
    </row>
    <row r="2" spans="1:52" x14ac:dyDescent="0.25">
      <c r="G2" s="7"/>
      <c r="O2" s="6" t="s">
        <v>529</v>
      </c>
      <c r="W2" s="6" t="s">
        <v>528</v>
      </c>
      <c r="AB2" s="6" t="s">
        <v>528</v>
      </c>
      <c r="AL2" s="6" t="s">
        <v>528</v>
      </c>
      <c r="AT2" s="6" t="s">
        <v>1264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1261</v>
      </c>
      <c r="L3" s="8"/>
      <c r="O3" s="2" t="str">
        <f>$A$1&amp;"_3M"</f>
        <v>CNH_3M</v>
      </c>
      <c r="T3" s="8" t="s">
        <v>282</v>
      </c>
      <c r="W3" s="2" t="str">
        <f>$A$1&amp;"_BASIS_6M"</f>
        <v>CNH_BASIS_6M</v>
      </c>
      <c r="AB3" s="2" t="str">
        <f>$A$1&amp;"_BASIS_1M"</f>
        <v>CNH_BASIS_1M</v>
      </c>
      <c r="AG3" s="2" t="str">
        <f>$A$1&amp;"_BASIS_12M"</f>
        <v>CNH_BASIS_12M</v>
      </c>
      <c r="AL3" s="2" t="str">
        <f>'STATIC DATA'!$C$4&amp;'STATIC DATA'!$AE$4&amp;"_BASIS"</f>
        <v>USDCNH_BASIS</v>
      </c>
      <c r="AQ3" s="8" t="s">
        <v>282</v>
      </c>
      <c r="AT3" s="2" t="str">
        <f>$A$1&amp;"_"&amp;'STATIC DATA'!AE67</f>
        <v>CNH_USD_1D</v>
      </c>
      <c r="AY3" s="8" t="s">
        <v>282</v>
      </c>
    </row>
    <row r="4" spans="1:52" x14ac:dyDescent="0.25">
      <c r="B4" s="9" t="b">
        <f>SUM(C7:C17)=SUM(D7:D17)</f>
        <v>1</v>
      </c>
      <c r="E4" s="10">
        <f>SUM(E7:E17)</f>
        <v>0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CNH OIS</v>
      </c>
      <c r="C7" s="12">
        <f>COUNTA(G7:G41)</f>
        <v>0</v>
      </c>
      <c r="D7" s="12">
        <f>COUNT(L7:L41)</f>
        <v>0</v>
      </c>
      <c r="E7" s="13">
        <f t="shared" ref="E7:E12" si="0">C7-D7</f>
        <v>0</v>
      </c>
      <c r="G7" s="14"/>
      <c r="H7" s="15"/>
      <c r="I7" s="15"/>
      <c r="J7" s="186"/>
      <c r="K7" s="186"/>
      <c r="L7" s="26"/>
      <c r="M7" s="17"/>
      <c r="O7" s="24" t="s">
        <v>1245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2.0688399999999998</v>
      </c>
      <c r="U7" s="184">
        <f>U8</f>
        <v>2.6826699999999998E-2</v>
      </c>
      <c r="W7" s="14"/>
      <c r="X7" s="15"/>
      <c r="Y7" s="190"/>
      <c r="Z7" s="337"/>
      <c r="AB7" s="14"/>
      <c r="AC7" s="15"/>
      <c r="AD7" s="16"/>
      <c r="AE7" s="17"/>
      <c r="AG7" s="14"/>
      <c r="AH7" s="15"/>
      <c r="AI7" s="16"/>
      <c r="AJ7" s="17"/>
      <c r="AL7" s="14"/>
      <c r="AM7" s="15"/>
      <c r="AN7" s="18"/>
      <c r="AO7" s="19"/>
      <c r="AP7" s="19"/>
      <c r="AQ7" s="177"/>
      <c r="AR7" s="180"/>
      <c r="AT7" s="24" t="s">
        <v>1243</v>
      </c>
      <c r="AU7" s="15"/>
      <c r="AV7" s="18"/>
      <c r="AW7" s="19">
        <f>IF(AT7="","",IF(StaticData.Today=TODAY(),_xll.BDP(AT7,"BID"),_xll.BDH(AT7,"BID",StaticData.Today,StaticData.Today)))</f>
        <v>6.8479999999999999</v>
      </c>
      <c r="AX7" s="19">
        <f>IF(AT7="","",IF(StaticData.Today=TODAY(),_xll.BDP(AT7,"ASK"),_xll.BDH(AT7,"ASK",StaticData.Today,StaticData.Today)))</f>
        <v>6.8483999999999998</v>
      </c>
      <c r="AY7" s="196">
        <f>IF(AT7="","",IF(StaticData.Today=TODAY(),_xll.BDP(AT7,"PX_LAST"),_xll.BDH(AT7,"PX_LAST",StaticData.Today,StaticData.Today)))</f>
        <v>6.8487999999999998</v>
      </c>
      <c r="AZ7" s="180">
        <f t="shared" ref="AZ7:AZ29" si="1">AY7</f>
        <v>6.8487999999999998</v>
      </c>
    </row>
    <row r="8" spans="1:52" x14ac:dyDescent="0.25">
      <c r="B8" s="21" t="str">
        <f>O3</f>
        <v>CNH_3M</v>
      </c>
      <c r="C8" s="22">
        <f>COUNTA(O7:O43)</f>
        <v>13</v>
      </c>
      <c r="D8" s="22">
        <f>COUNT(T7:T43)</f>
        <v>13</v>
      </c>
      <c r="E8" s="23">
        <f t="shared" si="0"/>
        <v>0</v>
      </c>
      <c r="G8" s="24"/>
      <c r="H8" s="25"/>
      <c r="I8" s="25"/>
      <c r="J8" s="187"/>
      <c r="K8" s="187"/>
      <c r="L8" s="26"/>
      <c r="M8" s="27"/>
      <c r="O8" s="24" t="s">
        <v>1244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2.6826699999999999</v>
      </c>
      <c r="U8" s="183">
        <f>T8/100</f>
        <v>2.6826699999999998E-2</v>
      </c>
      <c r="W8" s="24"/>
      <c r="X8" s="25"/>
      <c r="Y8" s="191"/>
      <c r="Z8" s="338"/>
      <c r="AB8" s="24"/>
      <c r="AC8" s="25"/>
      <c r="AD8" s="26"/>
      <c r="AE8" s="27"/>
      <c r="AG8" s="24"/>
      <c r="AH8" s="25"/>
      <c r="AI8" s="26"/>
      <c r="AJ8" s="27"/>
      <c r="AL8" s="14"/>
      <c r="AM8" s="25"/>
      <c r="AN8" s="28"/>
      <c r="AO8" s="29"/>
      <c r="AP8" s="29"/>
      <c r="AQ8" s="177"/>
      <c r="AR8" s="181"/>
      <c r="AT8" s="24" t="str">
        <f t="shared" ref="AT8:AT25" si="2">"CNH"&amp;AU8&amp;$AT$1&amp;" Curncy"</f>
        <v>CNHON CMPN Curncy</v>
      </c>
      <c r="AU8" s="25" t="s">
        <v>298</v>
      </c>
      <c r="AV8" s="28"/>
      <c r="AW8" s="182">
        <f>IF(AT8="","",IF(StaticData.Today=TODAY(),_xll.BDP(AT8,"BID"),_xll.BDH(AT8,"BID",StaticData.Today,StaticData.Today)))</f>
        <v>3.04</v>
      </c>
      <c r="AX8" s="182">
        <f>IF(AT8="","",IF(StaticData.Today=TODAY(),_xll.BDP(AT8,"ASK"),_xll.BDH(AT8,"ASK",StaticData.Today,StaticData.Today)))</f>
        <v>5.15</v>
      </c>
      <c r="AY8" s="182">
        <f>IF(AT8="","",IF(StaticData.Today=TODAY(),_xll.BDP(AT8,"PX_LAST"),_xll.BDH(AT8,"PX_LAST",StaticData.Today,StaticData.Today)))</f>
        <v>4.0999999999999996</v>
      </c>
      <c r="AZ8" s="581">
        <f t="shared" si="1"/>
        <v>4.0999999999999996</v>
      </c>
    </row>
    <row r="9" spans="1:52" x14ac:dyDescent="0.25">
      <c r="B9" s="21" t="s">
        <v>511</v>
      </c>
      <c r="C9" s="22">
        <f>COUNTA(O11:O16)*2</f>
        <v>10</v>
      </c>
      <c r="D9" s="22">
        <f>COUNT(R11:S16)</f>
        <v>10</v>
      </c>
      <c r="E9" s="23">
        <f t="shared" si="0"/>
        <v>0</v>
      </c>
      <c r="G9" s="24"/>
      <c r="H9" s="25"/>
      <c r="I9" s="25"/>
      <c r="J9" s="187"/>
      <c r="K9" s="187"/>
      <c r="L9" s="26"/>
      <c r="M9" s="27"/>
      <c r="O9" s="24" t="s">
        <v>1246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2.8205</v>
      </c>
      <c r="U9" s="183">
        <f>T9/100</f>
        <v>2.8205000000000001E-2</v>
      </c>
      <c r="W9" s="24"/>
      <c r="X9" s="25"/>
      <c r="Y9" s="191"/>
      <c r="Z9" s="338"/>
      <c r="AB9" s="24"/>
      <c r="AC9" s="25"/>
      <c r="AD9" s="26"/>
      <c r="AE9" s="27"/>
      <c r="AG9" s="24"/>
      <c r="AH9" s="25"/>
      <c r="AI9" s="26"/>
      <c r="AJ9" s="27"/>
      <c r="AL9" s="14"/>
      <c r="AM9" s="25"/>
      <c r="AN9" s="28"/>
      <c r="AO9" s="29"/>
      <c r="AP9" s="29"/>
      <c r="AQ9" s="177"/>
      <c r="AR9" s="181"/>
      <c r="AT9" s="24" t="str">
        <f t="shared" si="2"/>
        <v>CNHTN CMPN Curncy</v>
      </c>
      <c r="AU9" s="25" t="s">
        <v>506</v>
      </c>
      <c r="AV9" s="28"/>
      <c r="AW9" s="182">
        <f>IF(AT9="","",IF(StaticData.Today=TODAY(),_xll.BDP(AT9,"BID"),_xll.BDH(AT9,"BID",StaticData.Today,StaticData.Today)))</f>
        <v>4</v>
      </c>
      <c r="AX9" s="182">
        <f>IF(AT9="","",IF(StaticData.Today=TODAY(),_xll.BDP(AT9,"ASK"),_xll.BDH(AT9,"ASK",StaticData.Today,StaticData.Today)))</f>
        <v>5.4</v>
      </c>
      <c r="AY9" s="182">
        <f>IF(AT9="","",IF(StaticData.Today=TODAY(),_xll.BDP(AT9,"PX_LAST"),_xll.BDH(AT9,"PX_LAST",StaticData.Today,StaticData.Today)))</f>
        <v>4.5199999999999996</v>
      </c>
      <c r="AZ9" s="581">
        <f t="shared" si="1"/>
        <v>4.5199999999999996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/>
      <c r="H10" s="25"/>
      <c r="I10" s="25"/>
      <c r="J10" s="187"/>
      <c r="K10" s="187"/>
      <c r="L10" s="26"/>
      <c r="M10" s="27"/>
      <c r="O10" s="24" t="s">
        <v>1247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3.0295000000000001</v>
      </c>
      <c r="U10" s="183">
        <f>T10/100</f>
        <v>3.0295000000000002E-2</v>
      </c>
      <c r="W10" s="24"/>
      <c r="X10" s="25"/>
      <c r="Y10" s="191"/>
      <c r="Z10" s="338"/>
      <c r="AB10" s="24"/>
      <c r="AC10" s="25"/>
      <c r="AD10" s="26"/>
      <c r="AE10" s="27"/>
      <c r="AG10" s="24"/>
      <c r="AH10" s="25"/>
      <c r="AI10" s="26"/>
      <c r="AJ10" s="27"/>
      <c r="AL10" s="14"/>
      <c r="AM10" s="25"/>
      <c r="AN10" s="28"/>
      <c r="AO10" s="29"/>
      <c r="AP10" s="29"/>
      <c r="AQ10" s="177"/>
      <c r="AR10" s="181"/>
      <c r="AT10" s="24" t="str">
        <f t="shared" si="2"/>
        <v>CNH1W CMPN Curncy</v>
      </c>
      <c r="AU10" s="25" t="s">
        <v>305</v>
      </c>
      <c r="AV10" s="28"/>
      <c r="AW10" s="182">
        <f>IF(AT10="","",IF(StaticData.Today=TODAY(),_xll.BDP(AT10,"BID"),_xll.BDH(AT10,"BID",StaticData.Today,StaticData.Today)))</f>
        <v>26</v>
      </c>
      <c r="AX10" s="182">
        <f>IF(AT10="","",IF(StaticData.Today=TODAY(),_xll.BDP(AT10,"ASK"),_xll.BDH(AT10,"ASK",StaticData.Today,StaticData.Today)))</f>
        <v>32</v>
      </c>
      <c r="AY10" s="182">
        <f>IF(AT10="","",IF(StaticData.Today=TODAY(),_xll.BDP(AT10,"PX_LAST"),_xll.BDH(AT10,"PX_LAST",StaticData.Today,StaticData.Today)))</f>
        <v>30</v>
      </c>
      <c r="AZ10" s="581">
        <f t="shared" si="1"/>
        <v>30</v>
      </c>
    </row>
    <row r="11" spans="1:52" x14ac:dyDescent="0.25">
      <c r="B11" s="21" t="s">
        <v>284</v>
      </c>
      <c r="C11" s="22">
        <f>COUNTA(AB7:AB50)</f>
        <v>0</v>
      </c>
      <c r="D11" s="22">
        <f>COUNT(AD7:AD50)</f>
        <v>0</v>
      </c>
      <c r="E11" s="23">
        <f t="shared" si="0"/>
        <v>0</v>
      </c>
      <c r="G11" s="24"/>
      <c r="H11" s="25"/>
      <c r="I11" s="25"/>
      <c r="J11" s="187"/>
      <c r="K11" s="187"/>
      <c r="L11" s="26"/>
      <c r="M11" s="27"/>
      <c r="O11" s="24"/>
      <c r="P11" s="25"/>
      <c r="Q11" s="31"/>
      <c r="R11" s="182"/>
      <c r="S11" s="182"/>
      <c r="T11" s="30"/>
      <c r="U11" s="183"/>
      <c r="W11" s="24"/>
      <c r="X11" s="25"/>
      <c r="Y11" s="191"/>
      <c r="Z11" s="338"/>
      <c r="AB11" s="24"/>
      <c r="AC11" s="25"/>
      <c r="AD11" s="26"/>
      <c r="AE11" s="27"/>
      <c r="AG11" s="24"/>
      <c r="AH11" s="25"/>
      <c r="AI11" s="26"/>
      <c r="AJ11" s="27"/>
      <c r="AL11" s="14"/>
      <c r="AM11" s="25"/>
      <c r="AN11" s="31"/>
      <c r="AO11" s="29"/>
      <c r="AP11" s="29"/>
      <c r="AQ11" s="177"/>
      <c r="AR11" s="181"/>
      <c r="AT11" s="24" t="str">
        <f t="shared" si="2"/>
        <v>CNH2W CMPN Curncy</v>
      </c>
      <c r="AU11" s="25" t="s">
        <v>313</v>
      </c>
      <c r="AV11" s="28"/>
      <c r="AW11" s="182">
        <f>IF(AT11="","",IF(StaticData.Today=TODAY(),_xll.BDP(AT11,"BID"),_xll.BDH(AT11,"BID",StaticData.Today,StaticData.Today)))</f>
        <v>57</v>
      </c>
      <c r="AX11" s="182">
        <f>IF(AT11="","",IF(StaticData.Today=TODAY(),_xll.BDP(AT11,"ASK"),_xll.BDH(AT11,"ASK",StaticData.Today,StaticData.Today)))</f>
        <v>61</v>
      </c>
      <c r="AY11" s="182">
        <f>IF(AT11="","",IF(StaticData.Today=TODAY(),_xll.BDP(AT11,"PX_LAST"),_xll.BDH(AT11,"PX_LAST",StaticData.Today,StaticData.Today)))</f>
        <v>60</v>
      </c>
      <c r="AZ11" s="581">
        <f t="shared" si="1"/>
        <v>60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/>
      <c r="H12" s="25"/>
      <c r="I12" s="25"/>
      <c r="J12" s="187"/>
      <c r="K12" s="187"/>
      <c r="L12" s="26"/>
      <c r="M12" s="27"/>
      <c r="O12" s="24" t="str">
        <f>"CGSWF"&amp;$O$2&amp;" Curncy"</f>
        <v>CGSWF TPRA Curncy</v>
      </c>
      <c r="P12" s="25" t="s">
        <v>46</v>
      </c>
      <c r="Q12" s="31"/>
      <c r="R12" s="182">
        <f>IF(O12="","",IF(StaticData.Today=TODAY(),_xll.BDP(O12,"BID"),_xll.BDH(O12,"BID",StaticData.Today,StaticData.Today)))</f>
        <v>2.7</v>
      </c>
      <c r="S12" s="182">
        <f>IF(O12="","",IF(StaticData.Today=TODAY(),_xll.BDP(O12,"ASK"),_xll.BDH(O12,"ASK",StaticData.Today,StaticData.Today)))</f>
        <v>2.9</v>
      </c>
      <c r="T12" s="30">
        <f>IF(O12="","",IF(StaticData.Today=TODAY(),_xll.BDP(O12,"LAST_PRICE"),_xll.BDH(O12,"LAST_PRICE",StaticData.Today,StaticData.Today)))</f>
        <v>2.8</v>
      </c>
      <c r="U12" s="183">
        <f t="shared" ref="U12:U20" si="3">T12/100</f>
        <v>2.7999999999999997E-2</v>
      </c>
      <c r="W12" s="24"/>
      <c r="X12" s="25"/>
      <c r="Y12" s="191"/>
      <c r="Z12" s="338"/>
      <c r="AB12" s="24"/>
      <c r="AC12" s="25"/>
      <c r="AD12" s="26"/>
      <c r="AE12" s="27"/>
      <c r="AG12" s="24"/>
      <c r="AH12" s="25"/>
      <c r="AI12" s="26"/>
      <c r="AJ12" s="27"/>
      <c r="AL12" s="14"/>
      <c r="AM12" s="25"/>
      <c r="AN12" s="31"/>
      <c r="AO12" s="29"/>
      <c r="AP12" s="29"/>
      <c r="AQ12" s="177"/>
      <c r="AR12" s="181"/>
      <c r="AT12" s="24" t="str">
        <f t="shared" si="2"/>
        <v>CNH1M CMPN Curncy</v>
      </c>
      <c r="AU12" s="25" t="s">
        <v>300</v>
      </c>
      <c r="AV12" s="31"/>
      <c r="AW12" s="182">
        <f>IF(AT12="","",IF(StaticData.Today=TODAY(),_xll.BDP(AT12,"BID"),_xll.BDH(AT12,"BID",StaticData.Today,StaticData.Today)))</f>
        <v>136.29</v>
      </c>
      <c r="AX12" s="182">
        <f>IF(AT12="","",IF(StaticData.Today=TODAY(),_xll.BDP(AT12,"ASK"),_xll.BDH(AT12,"ASK",StaticData.Today,StaticData.Today)))</f>
        <v>147.02000000000001</v>
      </c>
      <c r="AY12" s="182">
        <f>IF(AT12="","",IF(StaticData.Today=TODAY(),_xll.BDP(AT12,"LAST_PRICE"),_xll.BDH(AT12,"LAST_PRICE",StaticData.Today,StaticData.Today)))</f>
        <v>141.65</v>
      </c>
      <c r="AZ12" s="581">
        <f t="shared" si="1"/>
        <v>141.65</v>
      </c>
    </row>
    <row r="13" spans="1:52" x14ac:dyDescent="0.25">
      <c r="B13" s="21"/>
      <c r="C13" s="22"/>
      <c r="D13" s="22"/>
      <c r="E13" s="22"/>
      <c r="G13" s="24"/>
      <c r="H13" s="25"/>
      <c r="I13" s="25"/>
      <c r="J13" s="187"/>
      <c r="K13" s="187"/>
      <c r="L13" s="26"/>
      <c r="M13" s="27"/>
      <c r="O13" s="24" t="str">
        <f>"CGSWI"&amp;$O$2&amp;" Curncy"</f>
        <v>CGSWI TPRA Curncy</v>
      </c>
      <c r="P13" s="25" t="s">
        <v>376</v>
      </c>
      <c r="Q13" s="31"/>
      <c r="R13" s="182">
        <f>IF(O13="","",IF(StaticData.Today=TODAY(),_xll.BDP(O13,"BID"),_xll.BDH(O13,"BID",StaticData.Today,StaticData.Today)))</f>
        <v>2.75</v>
      </c>
      <c r="S13" s="182">
        <f>IF(O13="","",IF(StaticData.Today=TODAY(),_xll.BDP(O13,"ASK"),_xll.BDH(O13,"ASK",StaticData.Today,StaticData.Today)))</f>
        <v>2.95</v>
      </c>
      <c r="T13" s="30">
        <f>IF(O13="","",IF(StaticData.Today=TODAY(),_xll.BDP(O13,"LAST_PRICE"),_xll.BDH(O13,"LAST_PRICE",StaticData.Today,StaticData.Today)))</f>
        <v>2.85</v>
      </c>
      <c r="U13" s="183">
        <f t="shared" si="3"/>
        <v>2.8500000000000001E-2</v>
      </c>
      <c r="W13" s="24"/>
      <c r="X13" s="25"/>
      <c r="Y13" s="191"/>
      <c r="Z13" s="338"/>
      <c r="AB13" s="24"/>
      <c r="AC13" s="25"/>
      <c r="AD13" s="26"/>
      <c r="AE13" s="27"/>
      <c r="AG13" s="24"/>
      <c r="AH13" s="25"/>
      <c r="AI13" s="26"/>
      <c r="AJ13" s="27"/>
      <c r="AL13" s="14"/>
      <c r="AM13" s="25"/>
      <c r="AN13" s="31"/>
      <c r="AO13" s="29"/>
      <c r="AP13" s="29"/>
      <c r="AQ13" s="177"/>
      <c r="AR13" s="181"/>
      <c r="AT13" s="24" t="str">
        <f t="shared" si="2"/>
        <v>CNH2M CMPN Curncy</v>
      </c>
      <c r="AU13" s="25" t="s">
        <v>335</v>
      </c>
      <c r="AV13" s="31"/>
      <c r="AW13" s="182">
        <f>IF(AT13="","",IF(StaticData.Today=TODAY(),_xll.BDP(AT13,"BID"),_xll.BDH(AT13,"BID",StaticData.Today,StaticData.Today)))</f>
        <v>266.61</v>
      </c>
      <c r="AX13" s="182">
        <f>IF(AT13="","",IF(StaticData.Today=TODAY(),_xll.BDP(AT13,"ASK"),_xll.BDH(AT13,"ASK",StaticData.Today,StaticData.Today)))</f>
        <v>277.52999999999997</v>
      </c>
      <c r="AY13" s="182">
        <f>IF(AT13="","",IF(StaticData.Today=TODAY(),_xll.BDP(AT13,"LAST_PRICE"),_xll.BDH(AT13,"LAST_PRICE",StaticData.Today,StaticData.Today)))</f>
        <v>272.07</v>
      </c>
      <c r="AZ13" s="581">
        <f t="shared" si="1"/>
        <v>272.07</v>
      </c>
    </row>
    <row r="14" spans="1:52" x14ac:dyDescent="0.25">
      <c r="B14" s="21"/>
      <c r="C14" s="22"/>
      <c r="D14" s="22"/>
      <c r="E14" s="22"/>
      <c r="G14" s="24"/>
      <c r="H14" s="25"/>
      <c r="I14" s="25"/>
      <c r="J14" s="187"/>
      <c r="K14" s="187"/>
      <c r="L14" s="26"/>
      <c r="M14" s="27"/>
      <c r="O14" s="24" t="str">
        <f>"CGSWH1"&amp;$O$2&amp;" Curncy"</f>
        <v>CGSWH1 TPRA Curncy</v>
      </c>
      <c r="P14" s="25" t="s">
        <v>47</v>
      </c>
      <c r="Q14" s="31"/>
      <c r="R14" s="182">
        <f>IF(O14="","",IF(StaticData.Today=TODAY(),_xll.BDP(O14,"BID"),_xll.BDH(O14,"BID",StaticData.Today,StaticData.Today)))</f>
        <v>2.95</v>
      </c>
      <c r="S14" s="182">
        <f>IF(O14="","",IF(StaticData.Today=TODAY(),_xll.BDP(O14,"ASK"),_xll.BDH(O14,"ASK",StaticData.Today,StaticData.Today)))</f>
        <v>3.45</v>
      </c>
      <c r="T14" s="30">
        <f>IF(O14="","",IF(StaticData.Today=TODAY(),_xll.BDP(O14,"LAST_PRICE"),_xll.BDH(O14,"LAST_PRICE",StaticData.Today,StaticData.Today)))</f>
        <v>3.2</v>
      </c>
      <c r="U14" s="183">
        <f t="shared" si="3"/>
        <v>3.2000000000000001E-2</v>
      </c>
      <c r="W14" s="24"/>
      <c r="X14" s="25"/>
      <c r="Y14" s="191"/>
      <c r="Z14" s="338"/>
      <c r="AB14" s="24"/>
      <c r="AC14" s="25"/>
      <c r="AD14" s="26"/>
      <c r="AE14" s="27"/>
      <c r="AG14" s="24"/>
      <c r="AH14" s="25"/>
      <c r="AI14" s="26"/>
      <c r="AJ14" s="27"/>
      <c r="AL14" s="14"/>
      <c r="AM14" s="25"/>
      <c r="AN14" s="31"/>
      <c r="AO14" s="29"/>
      <c r="AP14" s="29"/>
      <c r="AQ14" s="177"/>
      <c r="AR14" s="181"/>
      <c r="AT14" s="24" t="str">
        <f t="shared" si="2"/>
        <v>CNH3M CMPN Curncy</v>
      </c>
      <c r="AU14" s="25" t="s">
        <v>49</v>
      </c>
      <c r="AV14" s="31"/>
      <c r="AW14" s="182">
        <f>IF(AT14="","",IF(StaticData.Today=TODAY(),_xll.BDP(AT14,"BID"),_xll.BDH(AT14,"BID",StaticData.Today,StaticData.Today)))</f>
        <v>392.64</v>
      </c>
      <c r="AX14" s="182">
        <f>IF(AT14="","",IF(StaticData.Today=TODAY(),_xll.BDP(AT14,"ASK"),_xll.BDH(AT14,"ASK",StaticData.Today,StaticData.Today)))</f>
        <v>405.47</v>
      </c>
      <c r="AY14" s="182">
        <f>IF(AT14="","",IF(StaticData.Today=TODAY(),_xll.BDP(AT14,"LAST_PRICE"),_xll.BDH(AT14,"LAST_PRICE",StaticData.Today,StaticData.Today)))</f>
        <v>399.05</v>
      </c>
      <c r="AZ14" s="581">
        <f t="shared" si="1"/>
        <v>399.05</v>
      </c>
    </row>
    <row r="15" spans="1:52" x14ac:dyDescent="0.25">
      <c r="B15" s="21"/>
      <c r="C15" s="22"/>
      <c r="D15" s="22"/>
      <c r="E15" s="22"/>
      <c r="G15" s="24"/>
      <c r="H15" s="25"/>
      <c r="I15" s="25"/>
      <c r="J15" s="187"/>
      <c r="K15" s="187"/>
      <c r="L15" s="26"/>
      <c r="M15" s="27"/>
      <c r="O15" s="24" t="str">
        <f>"CGSWH2"&amp;$O$2&amp;" Curncy"</f>
        <v>CGSWH2 TPRA Curncy</v>
      </c>
      <c r="P15" s="25" t="s">
        <v>308</v>
      </c>
      <c r="Q15" s="31"/>
      <c r="R15" s="182">
        <f>IF(O15="","",IF(StaticData.Today=TODAY(),_xll.BDP(O15,"BID"),_xll.BDH(O15,"BID",StaticData.Today,StaticData.Today)))</f>
        <v>3</v>
      </c>
      <c r="S15" s="182">
        <f>IF(O15="","",IF(StaticData.Today=TODAY(),_xll.BDP(O15,"ASK"),_xll.BDH(O15,"ASK",StaticData.Today,StaticData.Today)))</f>
        <v>3.6</v>
      </c>
      <c r="T15" s="30">
        <f>IF(O15="","",IF(StaticData.Today=TODAY(),_xll.BDP(O15,"LAST_PRICE"),_xll.BDH(O15,"LAST_PRICE",StaticData.Today,StaticData.Today)))</f>
        <v>3.3</v>
      </c>
      <c r="U15" s="183">
        <f t="shared" si="3"/>
        <v>3.3000000000000002E-2</v>
      </c>
      <c r="W15" s="24"/>
      <c r="X15" s="25"/>
      <c r="Y15" s="191"/>
      <c r="Z15" s="338"/>
      <c r="AB15" s="24"/>
      <c r="AC15" s="25"/>
      <c r="AD15" s="26"/>
      <c r="AE15" s="27"/>
      <c r="AG15" s="24"/>
      <c r="AH15" s="25"/>
      <c r="AI15" s="26"/>
      <c r="AJ15" s="27"/>
      <c r="AL15" s="14"/>
      <c r="AM15" s="25"/>
      <c r="AN15" s="31"/>
      <c r="AO15" s="29"/>
      <c r="AP15" s="29"/>
      <c r="AQ15" s="177"/>
      <c r="AR15" s="181"/>
      <c r="AT15" s="24" t="str">
        <f t="shared" si="2"/>
        <v>CNH4M CMPN Curncy</v>
      </c>
      <c r="AU15" s="25" t="s">
        <v>351</v>
      </c>
      <c r="AV15" s="31"/>
      <c r="AW15" s="182">
        <f>IF(AT15="","",IF(StaticData.Today=TODAY(),_xll.BDP(AT15,"BID"),_xll.BDH(AT15,"BID",StaticData.Today,StaticData.Today)))</f>
        <v>530</v>
      </c>
      <c r="AX15" s="182">
        <f>IF(AT15="","",IF(StaticData.Today=TODAY(),_xll.BDP(AT15,"ASK"),_xll.BDH(AT15,"ASK",StaticData.Today,StaticData.Today)))</f>
        <v>540</v>
      </c>
      <c r="AY15" s="182">
        <f>IF(AT15="","",IF(StaticData.Today=TODAY(),_xll.BDP(AT15,"LAST_PRICE"),_xll.BDH(AT15,"LAST_PRICE",StaticData.Today,StaticData.Today)))</f>
        <v>535</v>
      </c>
      <c r="AZ15" s="581">
        <f t="shared" ref="AZ15:AZ16" si="4">AY15</f>
        <v>535</v>
      </c>
    </row>
    <row r="16" spans="1:52" x14ac:dyDescent="0.25">
      <c r="B16" s="21"/>
      <c r="C16" s="22"/>
      <c r="D16" s="22"/>
      <c r="E16" s="22"/>
      <c r="G16" s="344"/>
      <c r="H16" s="345"/>
      <c r="I16" s="345"/>
      <c r="J16" s="346"/>
      <c r="K16" s="346"/>
      <c r="L16" s="347"/>
      <c r="M16" s="348"/>
      <c r="O16" s="24" t="str">
        <f>"CGSWH3"&amp;$O$2&amp;" Curncy"</f>
        <v>CGSWH3 TPRA Curncy</v>
      </c>
      <c r="P16" s="25" t="s">
        <v>316</v>
      </c>
      <c r="Q16" s="31"/>
      <c r="R16" s="182">
        <f>IF(O16="","",IF(StaticData.Today=TODAY(),_xll.BDP(O16,"BID"),_xll.BDH(O16,"BID",StaticData.Today,StaticData.Today)))</f>
        <v>3.3</v>
      </c>
      <c r="S16" s="182">
        <f>IF(O16="","",IF(StaticData.Today=TODAY(),_xll.BDP(O16,"ASK"),_xll.BDH(O16,"ASK",StaticData.Today,StaticData.Today)))</f>
        <v>3.9</v>
      </c>
      <c r="T16" s="30">
        <f>IF(O16="","",IF(StaticData.Today=TODAY(),_xll.BDP(O16,"LAST_PRICE"),_xll.BDH(O16,"LAST_PRICE",StaticData.Today,StaticData.Today)))</f>
        <v>3.6</v>
      </c>
      <c r="U16" s="183">
        <f t="shared" si="3"/>
        <v>3.6000000000000004E-2</v>
      </c>
      <c r="W16" s="24"/>
      <c r="X16" s="25"/>
      <c r="Y16" s="191"/>
      <c r="Z16" s="338"/>
      <c r="AB16" s="24"/>
      <c r="AC16" s="25"/>
      <c r="AD16" s="26"/>
      <c r="AE16" s="27"/>
      <c r="AG16" s="24"/>
      <c r="AH16" s="25"/>
      <c r="AI16" s="26"/>
      <c r="AJ16" s="27"/>
      <c r="AL16" s="14"/>
      <c r="AM16" s="25"/>
      <c r="AN16" s="31"/>
      <c r="AO16" s="29"/>
      <c r="AP16" s="29"/>
      <c r="AQ16" s="177"/>
      <c r="AR16" s="181"/>
      <c r="AT16" s="24" t="str">
        <f t="shared" si="2"/>
        <v>CNH5M CMPN Curncy</v>
      </c>
      <c r="AU16" s="25" t="s">
        <v>360</v>
      </c>
      <c r="AV16" s="31"/>
      <c r="AW16" s="182">
        <f>IF(AT16="","",IF(StaticData.Today=TODAY(),_xll.BDP(AT16,"BID"),_xll.BDH(AT16,"BID",StaticData.Today,StaticData.Today)))</f>
        <v>665</v>
      </c>
      <c r="AX16" s="182">
        <f>IF(AT16="","",IF(StaticData.Today=TODAY(),_xll.BDP(AT16,"ASK"),_xll.BDH(AT16,"ASK",StaticData.Today,StaticData.Today)))</f>
        <v>710</v>
      </c>
      <c r="AY16" s="182">
        <f>IF(AT16="","",IF(StaticData.Today=TODAY(),_xll.BDP(AT16,"LAST_PRICE"),_xll.BDH(AT16,"LAST_PRICE",StaticData.Today,StaticData.Today)))</f>
        <v>687.5</v>
      </c>
      <c r="AZ16" s="581">
        <f t="shared" si="4"/>
        <v>687.5</v>
      </c>
    </row>
    <row r="17" spans="2:52" x14ac:dyDescent="0.25">
      <c r="B17" s="34"/>
      <c r="C17" s="35"/>
      <c r="D17" s="35"/>
      <c r="E17" s="35"/>
      <c r="G17" s="349"/>
      <c r="H17" s="25"/>
      <c r="I17" s="25"/>
      <c r="J17" s="187"/>
      <c r="K17" s="187"/>
      <c r="L17" s="26"/>
      <c r="M17" s="27"/>
      <c r="O17" s="24" t="str">
        <f>"CGSWH4"&amp;$O$2&amp;" Curncy"</f>
        <v>CGSWH4 TPRA Curncy</v>
      </c>
      <c r="P17" s="25" t="s">
        <v>324</v>
      </c>
      <c r="Q17" s="28"/>
      <c r="R17" s="29">
        <f>IF(O17="","",IF(StaticData.Today=TODAY(),_xll.BDP(O17,"BID"),_xll.BDH(O17,"BID",StaticData.Today,StaticData.Today)))</f>
        <v>3.3</v>
      </c>
      <c r="S17" s="29">
        <f>IF(O17="","",IF(StaticData.Today=TODAY(),_xll.BDP(O17,"ASK"),_xll.BDH(O17,"ASK",StaticData.Today,StaticData.Today)))</f>
        <v>3.9</v>
      </c>
      <c r="T17" s="30">
        <f>IF(O17="","",IF(StaticData.Today=TODAY(),_xll.BDP(O17,"LAST_PRICE"),_xll.BDH(O17,"LAST_PRICE",StaticData.Today,StaticData.Today)))</f>
        <v>3.6</v>
      </c>
      <c r="U17" s="183">
        <f t="shared" si="3"/>
        <v>3.6000000000000004E-2</v>
      </c>
      <c r="W17" s="24"/>
      <c r="X17" s="25"/>
      <c r="Y17" s="191"/>
      <c r="Z17" s="338"/>
      <c r="AB17" s="24"/>
      <c r="AC17" s="25"/>
      <c r="AD17" s="26"/>
      <c r="AE17" s="27"/>
      <c r="AG17" s="24"/>
      <c r="AH17" s="25"/>
      <c r="AI17" s="26"/>
      <c r="AJ17" s="27"/>
      <c r="AL17" s="14"/>
      <c r="AM17" s="25"/>
      <c r="AN17" s="31"/>
      <c r="AO17" s="29"/>
      <c r="AP17" s="29"/>
      <c r="AQ17" s="177"/>
      <c r="AR17" s="181"/>
      <c r="AT17" s="24" t="str">
        <f t="shared" si="2"/>
        <v>CNH6M CMPN Curncy</v>
      </c>
      <c r="AU17" s="25" t="s">
        <v>46</v>
      </c>
      <c r="AV17" s="31"/>
      <c r="AW17" s="182">
        <f>IF(AT17="","",IF(StaticData.Today=TODAY(),_xll.BDP(AT17,"BID"),_xll.BDH(AT17,"BID",StaticData.Today,StaticData.Today)))</f>
        <v>797</v>
      </c>
      <c r="AX17" s="182">
        <f>IF(AT17="","",IF(StaticData.Today=TODAY(),_xll.BDP(AT17,"ASK"),_xll.BDH(AT17,"ASK",StaticData.Today,StaticData.Today)))</f>
        <v>812</v>
      </c>
      <c r="AY17" s="182">
        <f>IF(AT17="","",IF(StaticData.Today=TODAY(),_xll.BDP(AT17,"LAST_PRICE"),_xll.BDH(AT17,"LAST_PRICE",StaticData.Today,StaticData.Today)))</f>
        <v>804.5</v>
      </c>
      <c r="AZ17" s="581">
        <f t="shared" si="1"/>
        <v>804.5</v>
      </c>
    </row>
    <row r="18" spans="2:52" x14ac:dyDescent="0.25">
      <c r="B18" s="36"/>
      <c r="C18" s="36"/>
      <c r="D18" s="36"/>
      <c r="E18" s="36"/>
      <c r="G18" s="349"/>
      <c r="H18" s="25"/>
      <c r="I18" s="25"/>
      <c r="J18" s="187"/>
      <c r="K18" s="187"/>
      <c r="L18" s="26"/>
      <c r="M18" s="27"/>
      <c r="O18" s="24" t="str">
        <f>"CGSWH5"&amp;$O$2&amp;" Curncy"</f>
        <v>CGSWH5 TPRA Curncy</v>
      </c>
      <c r="P18" s="25" t="s">
        <v>331</v>
      </c>
      <c r="Q18" s="28"/>
      <c r="R18" s="29">
        <f>IF(O18="","",IF(StaticData.Today=TODAY(),_xll.BDP(O18,"BID"),_xll.BDH(O18,"BID",StaticData.Today,StaticData.Today)))</f>
        <v>3.3</v>
      </c>
      <c r="S18" s="29">
        <f>IF(O18="","",IF(StaticData.Today=TODAY(),_xll.BDP(O18,"ASK"),_xll.BDH(O18,"ASK",StaticData.Today,StaticData.Today)))</f>
        <v>3.9</v>
      </c>
      <c r="T18" s="30">
        <f>IF(O18="","",IF(StaticData.Today=TODAY(),_xll.BDP(O18,"LAST_PRICE"),_xll.BDH(O18,"LAST_PRICE",StaticData.Today,StaticData.Today)))</f>
        <v>3.6</v>
      </c>
      <c r="U18" s="183">
        <f t="shared" si="3"/>
        <v>3.6000000000000004E-2</v>
      </c>
      <c r="W18" s="24"/>
      <c r="X18" s="25"/>
      <c r="Y18" s="191"/>
      <c r="Z18" s="338"/>
      <c r="AB18" s="24"/>
      <c r="AC18" s="25"/>
      <c r="AD18" s="26"/>
      <c r="AE18" s="27"/>
      <c r="AG18" s="24"/>
      <c r="AH18" s="25"/>
      <c r="AI18" s="26"/>
      <c r="AJ18" s="27"/>
      <c r="AL18" s="14"/>
      <c r="AM18" s="25"/>
      <c r="AN18" s="31"/>
      <c r="AO18" s="29"/>
      <c r="AP18" s="29"/>
      <c r="AQ18" s="177"/>
      <c r="AR18" s="181"/>
      <c r="AT18" s="24" t="str">
        <f t="shared" si="2"/>
        <v>CNH7M CMPN Curncy</v>
      </c>
      <c r="AU18" s="25" t="s">
        <v>1570</v>
      </c>
      <c r="AV18" s="31"/>
      <c r="AW18" s="182">
        <f>IF(AT18="","",IF(StaticData.Today=TODAY(),_xll.BDP(AT18,"BID"),_xll.BDH(AT18,"BID",StaticData.Today,StaticData.Today)))</f>
        <v>943.41</v>
      </c>
      <c r="AX18" s="182">
        <f>IF(AT18="","",IF(StaticData.Today=TODAY(),_xll.BDP(AT18,"ASK"),_xll.BDH(AT18,"ASK",StaticData.Today,StaticData.Today)))</f>
        <v>959.98</v>
      </c>
      <c r="AY18" s="182">
        <f>IF(AT18="","",IF(StaticData.Today=TODAY(),_xll.BDP(AT18,"LAST_PRICE"),_xll.BDH(AT18,"LAST_PRICE",StaticData.Today,StaticData.Today)))</f>
        <v>951.7</v>
      </c>
      <c r="AZ18" s="581">
        <f t="shared" ref="AZ18" si="5">AY18</f>
        <v>951.7</v>
      </c>
    </row>
    <row r="19" spans="2:52" x14ac:dyDescent="0.25">
      <c r="B19" s="36"/>
      <c r="C19" s="36"/>
      <c r="D19" s="36"/>
      <c r="E19" s="36"/>
      <c r="G19" s="349"/>
      <c r="H19" s="25"/>
      <c r="I19" s="25"/>
      <c r="J19" s="187"/>
      <c r="K19" s="187"/>
      <c r="L19" s="26"/>
      <c r="M19" s="27"/>
      <c r="O19" s="24" t="str">
        <f>"CGSWH7"&amp;$O$2&amp;" Curncy"</f>
        <v>CGSWH7 TPRA Curncy</v>
      </c>
      <c r="P19" s="25" t="s">
        <v>342</v>
      </c>
      <c r="Q19" s="28"/>
      <c r="R19" s="29">
        <f>IF(O19="","",IF(StaticData.Today=TODAY(),_xll.BDP(O19,"BID"),_xll.BDH(O19,"BID",StaticData.Today,StaticData.Today)))</f>
        <v>4.1500000000000004</v>
      </c>
      <c r="S19" s="29">
        <f>IF(O19="","",IF(StaticData.Today=TODAY(),_xll.BDP(O19,"ASK"),_xll.BDH(O19,"ASK",StaticData.Today,StaticData.Today)))</f>
        <v>4.8499999999999996</v>
      </c>
      <c r="T19" s="30">
        <f>IF(O19="","",IF(StaticData.Today=TODAY(),_xll.BDP(O19,"LAST_PRICE"),_xll.BDH(O19,"LAST_PRICE",StaticData.Today,StaticData.Today)))</f>
        <v>4.5</v>
      </c>
      <c r="U19" s="183">
        <f t="shared" si="3"/>
        <v>4.4999999999999998E-2</v>
      </c>
      <c r="W19" s="24"/>
      <c r="X19" s="25"/>
      <c r="Y19" s="191"/>
      <c r="Z19" s="338"/>
      <c r="AB19" s="24"/>
      <c r="AC19" s="25"/>
      <c r="AD19" s="26"/>
      <c r="AE19" s="27"/>
      <c r="AG19" s="24"/>
      <c r="AH19" s="25"/>
      <c r="AI19" s="26"/>
      <c r="AJ19" s="27"/>
      <c r="AL19" s="14"/>
      <c r="AM19" s="25"/>
      <c r="AN19" s="28"/>
      <c r="AO19" s="29"/>
      <c r="AP19" s="29"/>
      <c r="AQ19" s="177"/>
      <c r="AR19" s="181"/>
      <c r="AT19" s="24" t="str">
        <f t="shared" si="2"/>
        <v>CNH8M CMPN Curncy</v>
      </c>
      <c r="AU19" s="25" t="s">
        <v>1571</v>
      </c>
      <c r="AV19" s="31"/>
      <c r="AW19" s="182">
        <f>IF(AT19="","",IF(StaticData.Today=TODAY(),_xll.BDP(AT19,"BID"),_xll.BDH(AT19,"BID",StaticData.Today,StaticData.Today)))</f>
        <v>1065.31</v>
      </c>
      <c r="AX19" s="182">
        <f>IF(AT19="","",IF(StaticData.Today=TODAY(),_xll.BDP(AT19,"ASK"),_xll.BDH(AT19,"ASK",StaticData.Today,StaticData.Today)))</f>
        <v>1095.99</v>
      </c>
      <c r="AY19" s="182">
        <f>IF(AT19="","",IF(StaticData.Today=TODAY(),_xll.BDP(AT19,"LAST_PRICE"),_xll.BDH(AT19,"LAST_PRICE",StaticData.Today,StaticData.Today)))</f>
        <v>1080.6500000000001</v>
      </c>
      <c r="AZ19" s="581">
        <f t="shared" ref="AZ19" si="6">AY19</f>
        <v>1080.6500000000001</v>
      </c>
    </row>
    <row r="20" spans="2:52" x14ac:dyDescent="0.25">
      <c r="B20" s="36"/>
      <c r="C20" s="36"/>
      <c r="D20" s="36"/>
      <c r="E20" s="36"/>
      <c r="G20" s="349"/>
      <c r="H20" s="25"/>
      <c r="I20" s="25"/>
      <c r="J20" s="187"/>
      <c r="K20" s="187"/>
      <c r="L20" s="26"/>
      <c r="M20" s="27"/>
      <c r="O20" s="24" t="str">
        <f>"CGSWH10"&amp;$O$2&amp;" Curncy"</f>
        <v>CGSWH10 TPRA Curncy</v>
      </c>
      <c r="P20" s="25" t="s">
        <v>349</v>
      </c>
      <c r="Q20" s="28"/>
      <c r="R20" s="29">
        <f>IF(O20="","",IF(StaticData.Today=TODAY(),_xll.BDP(O20,"BID"),_xll.BDH(O20,"BID",StaticData.Today,StaticData.Today)))</f>
        <v>4.1500000000000004</v>
      </c>
      <c r="S20" s="29">
        <f>IF(O20="","",IF(StaticData.Today=TODAY(),_xll.BDP(O20,"ASK"),_xll.BDH(O20,"ASK",StaticData.Today,StaticData.Today)))</f>
        <v>4.8499999999999996</v>
      </c>
      <c r="T20" s="30">
        <f>IF(O20="","",IF(StaticData.Today=TODAY(),_xll.BDP(O20,"LAST_PRICE"),_xll.BDH(O20,"LAST_PRICE",StaticData.Today,StaticData.Today)))</f>
        <v>4.5</v>
      </c>
      <c r="U20" s="183">
        <f t="shared" si="3"/>
        <v>4.4999999999999998E-2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2"/>
        <v>CNH9M CMPN Curncy</v>
      </c>
      <c r="AU20" s="25" t="s">
        <v>376</v>
      </c>
      <c r="AV20" s="31"/>
      <c r="AW20" s="182">
        <f>IF(AT20="","",IF(StaticData.Today=TODAY(),_xll.BDP(AT20,"BID"),_xll.BDH(AT20,"BID",StaticData.Today,StaticData.Today)))</f>
        <v>1206.8</v>
      </c>
      <c r="AX20" s="182">
        <f>IF(AT20="","",IF(StaticData.Today=TODAY(),_xll.BDP(AT20,"ASK"),_xll.BDH(AT20,"ASK",StaticData.Today,StaticData.Today)))</f>
        <v>1234.8</v>
      </c>
      <c r="AY20" s="182">
        <f>IF(AT20="","",IF(StaticData.Today=TODAY(),_xll.BDP(AT20,"LAST_PRICE"),_xll.BDH(AT20,"LAST_PRICE",StaticData.Today,StaticData.Today)))</f>
        <v>1220.8</v>
      </c>
      <c r="AZ20" s="581">
        <f t="shared" si="1"/>
        <v>1220.8</v>
      </c>
    </row>
    <row r="21" spans="2:52" x14ac:dyDescent="0.25">
      <c r="B21" s="36"/>
      <c r="C21" s="36"/>
      <c r="D21" s="36"/>
      <c r="E21" s="36"/>
      <c r="G21" s="349"/>
      <c r="H21" s="25"/>
      <c r="I21" s="25"/>
      <c r="J21" s="187"/>
      <c r="K21" s="187"/>
      <c r="L21" s="26"/>
      <c r="M21" s="27"/>
      <c r="O21" s="24"/>
      <c r="P21" s="25"/>
      <c r="Q21" s="28"/>
      <c r="R21" s="29"/>
      <c r="S21" s="29"/>
      <c r="T21" s="30"/>
      <c r="U21" s="183"/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si="2"/>
        <v>CNH10M CMPN Curncy</v>
      </c>
      <c r="AU21" s="25" t="s">
        <v>1576</v>
      </c>
      <c r="AV21" s="31"/>
      <c r="AW21" s="182">
        <f>IF(AT21="","",IF(StaticData.Today=TODAY(),_xll.BDP(AT21,"BID"),_xll.BDH(AT21,"BID",StaticData.Today,StaticData.Today)))</f>
        <v>1348.9</v>
      </c>
      <c r="AX21" s="182">
        <f>IF(AT21="","",IF(StaticData.Today=TODAY(),_xll.BDP(AT21,"ASK"),_xll.BDH(AT21,"ASK",StaticData.Today,StaticData.Today)))</f>
        <v>1374.15</v>
      </c>
      <c r="AY21" s="182">
        <f>IF(AT21="","",IF(StaticData.Today=TODAY(),_xll.BDP(AT21,"LAST_PRICE"),_xll.BDH(AT21,"LAST_PRICE",StaticData.Today,StaticData.Today)))</f>
        <v>1361.53</v>
      </c>
      <c r="AZ21" s="581">
        <f t="shared" ref="AZ21:AZ22" si="7">AY21</f>
        <v>1361.53</v>
      </c>
    </row>
    <row r="22" spans="2:52" x14ac:dyDescent="0.25">
      <c r="B22" s="36"/>
      <c r="C22" s="36"/>
      <c r="D22" s="36"/>
      <c r="E22" s="36"/>
      <c r="G22" s="349"/>
      <c r="H22" s="25"/>
      <c r="I22" s="25"/>
      <c r="J22" s="187"/>
      <c r="K22" s="187"/>
      <c r="L22" s="26"/>
      <c r="M22" s="27"/>
      <c r="O22" s="24"/>
      <c r="P22" s="25"/>
      <c r="Q22" s="28"/>
      <c r="R22" s="29"/>
      <c r="S22" s="29"/>
      <c r="T22" s="30"/>
      <c r="U22" s="183"/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 t="shared" si="2"/>
        <v>CNH11M CMPN Curncy</v>
      </c>
      <c r="AU22" s="25" t="s">
        <v>1577</v>
      </c>
      <c r="AV22" s="31"/>
      <c r="AW22" s="182">
        <f>IF(AT22="","",IF(StaticData.Today=TODAY(),_xll.BDP(AT22,"BID"),_xll.BDH(AT22,"BID",StaticData.Today,StaticData.Today)))</f>
        <v>1484.24</v>
      </c>
      <c r="AX22" s="182">
        <f>IF(AT22="","",IF(StaticData.Today=TODAY(),_xll.BDP(AT22,"ASK"),_xll.BDH(AT22,"ASK",StaticData.Today,StaticData.Today)))</f>
        <v>1509.96</v>
      </c>
      <c r="AY22" s="182">
        <f>IF(AT22="","",IF(StaticData.Today=TODAY(),_xll.BDP(AT22,"LAST_PRICE"),_xll.BDH(AT22,"LAST_PRICE",StaticData.Today,StaticData.Today)))</f>
        <v>1497.1</v>
      </c>
      <c r="AZ22" s="581">
        <f t="shared" si="7"/>
        <v>1497.1</v>
      </c>
    </row>
    <row r="23" spans="2:52" x14ac:dyDescent="0.25">
      <c r="B23" s="36"/>
      <c r="C23" s="36"/>
      <c r="D23" s="36"/>
      <c r="E23" s="36"/>
      <c r="G23" s="349"/>
      <c r="H23" s="25"/>
      <c r="I23" s="25"/>
      <c r="J23" s="187"/>
      <c r="K23" s="187"/>
      <c r="L23" s="26"/>
      <c r="M23" s="470"/>
      <c r="O23" s="24"/>
      <c r="P23" s="25"/>
      <c r="Q23" s="28"/>
      <c r="R23" s="29"/>
      <c r="S23" s="29"/>
      <c r="T23" s="30"/>
      <c r="U23" s="183"/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si="2"/>
        <v>CNH12M CMPN Curncy</v>
      </c>
      <c r="AU23" s="25" t="s">
        <v>322</v>
      </c>
      <c r="AV23" s="31"/>
      <c r="AW23" s="182">
        <f>IF(AT23="","",IF(StaticData.Today=TODAY(),_xll.BDP(AT23,"BID"),_xll.BDH(AT23,"BID",StaticData.Today,StaticData.Today)))</f>
        <v>1634.92</v>
      </c>
      <c r="AX23" s="182">
        <f>IF(AT23="","",IF(StaticData.Today=TODAY(),_xll.BDP(AT23,"ASK"),_xll.BDH(AT23,"ASK",StaticData.Today,StaticData.Today)))</f>
        <v>1655.86</v>
      </c>
      <c r="AY23" s="182">
        <f>IF(AT23="","",IF(StaticData.Today=TODAY(),_xll.BDP(AT23,"LAST_PRICE"),_xll.BDH(AT23,"LAST_PRICE",StaticData.Today,StaticData.Today)))</f>
        <v>1645.39</v>
      </c>
      <c r="AZ23" s="581">
        <f t="shared" si="1"/>
        <v>1645.39</v>
      </c>
    </row>
    <row r="24" spans="2:52" x14ac:dyDescent="0.25">
      <c r="G24" s="349"/>
      <c r="H24" s="25"/>
      <c r="I24" s="25"/>
      <c r="J24" s="187"/>
      <c r="K24" s="187"/>
      <c r="L24" s="26"/>
      <c r="M24" s="27"/>
      <c r="O24" s="24"/>
      <c r="P24" s="25"/>
      <c r="Q24" s="28"/>
      <c r="R24" s="29"/>
      <c r="S24" s="29"/>
      <c r="T24" s="30"/>
      <c r="U24" s="183"/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si="2"/>
        <v>CNH2Y CMPN Curncy</v>
      </c>
      <c r="AU24" s="25" t="s">
        <v>308</v>
      </c>
      <c r="AV24" s="31"/>
      <c r="AW24" s="182">
        <f>IF(AT24="","",IF(StaticData.Today=TODAY(),_xll.BDP(AT24,"BID"),_xll.BDH(AT24,"BID",StaticData.Today,StaticData.Today)))</f>
        <v>3285</v>
      </c>
      <c r="AX24" s="182">
        <f>IF(AT24="","",IF(StaticData.Today=TODAY(),_xll.BDP(AT24,"ASK"),_xll.BDH(AT24,"ASK",StaticData.Today,StaticData.Today)))</f>
        <v>3345</v>
      </c>
      <c r="AY24" s="182">
        <f>IF(AT24="","",IF(StaticData.Today=TODAY(),_xll.BDP(AT24,"LAST_PRICE"),_xll.BDH(AT24,"LAST_PRICE",StaticData.Today,StaticData.Today)))</f>
        <v>3315</v>
      </c>
      <c r="AZ24" s="581">
        <f t="shared" si="1"/>
        <v>3315</v>
      </c>
    </row>
    <row r="25" spans="2:52" x14ac:dyDescent="0.25">
      <c r="G25" s="349"/>
      <c r="H25" s="25"/>
      <c r="I25" s="25"/>
      <c r="J25" s="187"/>
      <c r="K25" s="187"/>
      <c r="L25" s="26"/>
      <c r="M25" s="27"/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 t="shared" si="2"/>
        <v>CNH3Y CMPN Curncy</v>
      </c>
      <c r="AU25" s="25" t="s">
        <v>316</v>
      </c>
      <c r="AV25" s="31"/>
      <c r="AW25" s="182">
        <f>IF(AT25="","",IF(StaticData.Today=TODAY(),_xll.BDP(AT25,"BID"),_xll.BDH(AT25,"BID",StaticData.Today,StaticData.Today)))</f>
        <v>4911</v>
      </c>
      <c r="AX25" s="182">
        <f>IF(AT25="","",IF(StaticData.Today=TODAY(),_xll.BDP(AT25,"ASK"),_xll.BDH(AT25,"ASK",StaticData.Today,StaticData.Today)))</f>
        <v>4991</v>
      </c>
      <c r="AY25" s="182">
        <f>IF(AT25="","",IF(StaticData.Today=TODAY(),_xll.BDP(AT25,"LAST_PRICE"),_xll.BDH(AT25,"LAST_PRICE",StaticData.Today,StaticData.Today)))</f>
        <v>4951</v>
      </c>
      <c r="AZ25" s="581">
        <f t="shared" si="1"/>
        <v>4951</v>
      </c>
    </row>
    <row r="26" spans="2:52" x14ac:dyDescent="0.25">
      <c r="G26" s="349"/>
      <c r="H26" s="25"/>
      <c r="I26" s="25"/>
      <c r="J26" s="187"/>
      <c r="K26" s="187"/>
      <c r="L26" s="26"/>
      <c r="M26" s="27"/>
      <c r="O26" s="24"/>
      <c r="P26" s="25"/>
      <c r="Q26" s="28"/>
      <c r="R26" s="29"/>
      <c r="S26" s="29"/>
      <c r="T26" s="30"/>
      <c r="U26" s="27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>"CGUSSWF"&amp;$AT$1&amp;" Curncy"</f>
        <v>CGUSSWF CMPN Curncy</v>
      </c>
      <c r="AU26" s="25" t="s">
        <v>46</v>
      </c>
      <c r="AV26" s="28"/>
      <c r="AW26" s="178">
        <f>IF(AT26="","",IF(StaticData.Today=TODAY(),_xll.BDP(AT26,"BID"),_xll.BDH(AT26,"BID",StaticData.Today,StaticData.Today)))</f>
        <v>2.5499999999999998</v>
      </c>
      <c r="AX26" s="178">
        <f>IF(AT26="","",IF(StaticData.Today=TODAY(),_xll.BDP(AT26,"ASK"),_xll.BDH(AT26,"ASK",StaticData.Today,StaticData.Today)))</f>
        <v>2.65</v>
      </c>
      <c r="AY26" s="30">
        <f>IF(AT26="","",IF(StaticData.Today=TODAY(),_xll.BDP(AT26,"LAST_PRICE"),_xll.BDH(AT26,"LAST_PRICE",StaticData.Today,StaticData.Today)))</f>
        <v>2.6</v>
      </c>
      <c r="AZ26" s="27">
        <f t="shared" ref="AZ26" si="8">AY26/100</f>
        <v>2.6000000000000002E-2</v>
      </c>
    </row>
    <row r="27" spans="2:52" x14ac:dyDescent="0.25">
      <c r="G27" s="349"/>
      <c r="H27" s="25"/>
      <c r="I27" s="25"/>
      <c r="J27" s="187"/>
      <c r="K27" s="187"/>
      <c r="L27" s="26"/>
      <c r="M27" s="27"/>
      <c r="O27" s="24"/>
      <c r="P27" s="25"/>
      <c r="Q27" s="28"/>
      <c r="R27" s="29"/>
      <c r="S27" s="29"/>
      <c r="T27" s="30"/>
      <c r="U27" s="27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>"CGUSSWI"&amp;$AT$1&amp;" Curncy"</f>
        <v>CGUSSWI CMPN Curncy</v>
      </c>
      <c r="AU27" s="25" t="s">
        <v>376</v>
      </c>
      <c r="AV27" s="31"/>
      <c r="AW27" s="196">
        <f>IF(AT27="","",IF(StaticData.Today=TODAY(),_xll.BDP(AT27,"BID"),_xll.BDH(AT27,"BID",StaticData.Today,StaticData.Today)))</f>
        <v>2.5550000000000002</v>
      </c>
      <c r="AX27" s="196">
        <f>IF(AT27="","",IF(StaticData.Today=TODAY(),_xll.BDP(AT27,"ASK"),_xll.BDH(AT27,"ASK",StaticData.Today,StaticData.Today)))</f>
        <v>2.6549999999999998</v>
      </c>
      <c r="AY27" s="196">
        <f>IF(AT27="","",IF(StaticData.Today=TODAY(),_xll.BDP(AT27,"LAST_PRICE"),_xll.BDH(AT27,"LAST_PRICE",StaticData.Today,StaticData.Today)))</f>
        <v>2.605</v>
      </c>
      <c r="AZ27" s="471">
        <f t="shared" si="1"/>
        <v>2.605</v>
      </c>
    </row>
    <row r="28" spans="2:52" x14ac:dyDescent="0.25">
      <c r="G28" s="24"/>
      <c r="H28" s="25"/>
      <c r="I28" s="25"/>
      <c r="J28" s="187"/>
      <c r="K28" s="187"/>
      <c r="L28" s="26"/>
      <c r="M28" s="27"/>
      <c r="O28" s="24"/>
      <c r="P28" s="25"/>
      <c r="Q28" s="28"/>
      <c r="R28" s="29"/>
      <c r="S28" s="29"/>
      <c r="T28" s="30"/>
      <c r="U28" s="27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>"CGUSSW1"&amp;$AT$2&amp;" Curncy"</f>
        <v>CGUSSW1 ICHK Curncy</v>
      </c>
      <c r="AU28" s="25" t="s">
        <v>47</v>
      </c>
      <c r="AV28" s="31"/>
      <c r="AW28" s="196">
        <f>IF(AT28="","",IF(StaticData.Today=TODAY(),_xll.BDP(AT28,"BID"),_xll.BDH(AT28,"BID",StaticData.Today,StaticData.Today)))</f>
        <v>2.54</v>
      </c>
      <c r="AX28" s="196">
        <f>IF(AT28="","",IF(StaticData.Today=TODAY(),_xll.BDP(AT28,"ASK"),_xll.BDH(AT28,"ASK",StaticData.Today,StaticData.Today)))</f>
        <v>2.6</v>
      </c>
      <c r="AY28" s="196">
        <f>IF(AT28="","",IF(StaticData.Today=TODAY(),_xll.BDP(AT28,"LAST_PRICE"),_xll.BDH(AT28,"LAST_PRICE",StaticData.Today,StaticData.Today)))</f>
        <v>2.57</v>
      </c>
      <c r="AZ28" s="471">
        <f t="shared" si="1"/>
        <v>2.57</v>
      </c>
    </row>
    <row r="29" spans="2:52" x14ac:dyDescent="0.25">
      <c r="G29" s="24"/>
      <c r="H29" s="25"/>
      <c r="I29" s="25"/>
      <c r="J29" s="187"/>
      <c r="K29" s="187"/>
      <c r="L29" s="26"/>
      <c r="M29" s="27"/>
      <c r="O29" s="24"/>
      <c r="P29" s="25"/>
      <c r="Q29" s="28"/>
      <c r="R29" s="29"/>
      <c r="S29" s="29"/>
      <c r="T29" s="30"/>
      <c r="U29" s="27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>"CGUSSW2"&amp;$AT$2&amp;" Curncy"</f>
        <v>CGUSSW2 ICHK Curncy</v>
      </c>
      <c r="AU29" s="25" t="s">
        <v>308</v>
      </c>
      <c r="AV29" s="31"/>
      <c r="AW29" s="196">
        <f>IF(AT29="","",IF(StaticData.Today=TODAY(),_xll.BDP(AT29,"BID"),_xll.BDH(AT29,"BID",StaticData.Today,StaticData.Today)))</f>
        <v>2.5299999999999998</v>
      </c>
      <c r="AX29" s="196">
        <f>IF(AT29="","",IF(StaticData.Today=TODAY(),_xll.BDP(AT29,"ASK"),_xll.BDH(AT29,"ASK",StaticData.Today,StaticData.Today)))</f>
        <v>2.59</v>
      </c>
      <c r="AY29" s="196">
        <f>IF(AT29="","",IF(StaticData.Today=TODAY(),_xll.BDP(AT29,"LAST_PRICE"),_xll.BDH(AT29,"LAST_PRICE",StaticData.Today,StaticData.Today)))</f>
        <v>2.56</v>
      </c>
      <c r="AZ29" s="471">
        <f t="shared" si="1"/>
        <v>2.56</v>
      </c>
    </row>
    <row r="30" spans="2:52" x14ac:dyDescent="0.25">
      <c r="G30" s="24"/>
      <c r="H30" s="25"/>
      <c r="I30" s="25"/>
      <c r="J30" s="187"/>
      <c r="K30" s="187"/>
      <c r="L30" s="26"/>
      <c r="M30" s="27"/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>"CGUSSW3"&amp;$AT$2&amp;" Curncy"</f>
        <v>CGUSSW3 ICHK Curncy</v>
      </c>
      <c r="AU30" s="25" t="s">
        <v>316</v>
      </c>
      <c r="AV30" s="28"/>
      <c r="AW30" s="196">
        <f>IF(AT30="","",IF(StaticData.Today=TODAY(),_xll.BDP(AT30,"BID"),_xll.BDH(AT30,"BID",StaticData.Today,StaticData.Today)))</f>
        <v>2.5099999999999998</v>
      </c>
      <c r="AX30" s="196">
        <f>IF(AT30="","",IF(StaticData.Today=TODAY(),_xll.BDP(AT30,"ASK"),_xll.BDH(AT30,"ASK",StaticData.Today,StaticData.Today)))</f>
        <v>2.57</v>
      </c>
      <c r="AY30" s="196">
        <f>IF(AT30="","",IF(StaticData.Today=TODAY(),_xll.BDP(AT30,"LAST_PRICE"),_xll.BDH(AT30,"LAST_PRICE",StaticData.Today,StaticData.Today)))</f>
        <v>2.54</v>
      </c>
      <c r="AZ30" s="471">
        <f t="shared" ref="AZ30:AZ33" si="9">AY30</f>
        <v>2.54</v>
      </c>
    </row>
    <row r="31" spans="2:52" x14ac:dyDescent="0.25">
      <c r="G31" s="24"/>
      <c r="H31" s="25"/>
      <c r="I31" s="25"/>
      <c r="J31" s="187"/>
      <c r="K31" s="187"/>
      <c r="L31" s="26"/>
      <c r="M31" s="27"/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 t="str">
        <f>"CGUSSW5"&amp;$AT$2&amp;" Curncy"</f>
        <v>CGUSSW5 ICHK Curncy</v>
      </c>
      <c r="AU31" s="25" t="s">
        <v>331</v>
      </c>
      <c r="AV31" s="28"/>
      <c r="AW31" s="196">
        <f>IF(AT31="","",IF(StaticData.Today=TODAY(),_xll.BDP(AT31,"BID"),_xll.BDH(AT31,"BID",StaticData.Today,StaticData.Today)))</f>
        <v>2.4700000000000002</v>
      </c>
      <c r="AX31" s="196">
        <f>IF(AT31="","",IF(StaticData.Today=TODAY(),_xll.BDP(AT31,"ASK"),_xll.BDH(AT31,"ASK",StaticData.Today,StaticData.Today)))</f>
        <v>2.5299999999999998</v>
      </c>
      <c r="AY31" s="196">
        <f>IF(AT31="","",IF(StaticData.Today=TODAY(),_xll.BDP(AT31,"LAST_PRICE"),_xll.BDH(AT31,"LAST_PRICE",StaticData.Today,StaticData.Today)))</f>
        <v>2.5</v>
      </c>
      <c r="AZ31" s="471">
        <f t="shared" si="9"/>
        <v>2.5</v>
      </c>
    </row>
    <row r="32" spans="2:52" x14ac:dyDescent="0.25">
      <c r="G32" s="24"/>
      <c r="H32" s="25"/>
      <c r="I32" s="25"/>
      <c r="J32" s="187"/>
      <c r="K32" s="187"/>
      <c r="L32" s="26"/>
      <c r="M32" s="27"/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 t="str">
        <f>"CGUSSW7"&amp;$AT$2&amp;" Curncy"</f>
        <v>CGUSSW7 ICHK Curncy</v>
      </c>
      <c r="AU32" s="25" t="s">
        <v>342</v>
      </c>
      <c r="AV32" s="28"/>
      <c r="AW32" s="196">
        <f>IF(AT32="","",IF(StaticData.Today=TODAY(),_xll.BDP(AT32,"BID"),_xll.BDH(AT32,"BID",StaticData.Today,StaticData.Today)))</f>
        <v>2.46</v>
      </c>
      <c r="AX32" s="196">
        <f>IF(AT32="","",IF(StaticData.Today=TODAY(),_xll.BDP(AT32,"ASK"),_xll.BDH(AT32,"ASK",StaticData.Today,StaticData.Today)))</f>
        <v>2.52</v>
      </c>
      <c r="AY32" s="196">
        <f>IF(AT32="","",IF(StaticData.Today=TODAY(),_xll.BDP(AT32,"LAST_PRICE"),_xll.BDH(AT32,"LAST_PRICE",StaticData.Today,StaticData.Today)))</f>
        <v>2.4900000000000002</v>
      </c>
      <c r="AZ32" s="471">
        <f t="shared" si="9"/>
        <v>2.4900000000000002</v>
      </c>
    </row>
    <row r="33" spans="7:52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 t="str">
        <f>IF(O33="","",IF(StaticData.Today=TODAY(),_xll.BDP(O33,"LAST_PRICE"),_xll.BDH(O33,"LAST_PRICE",StaticData.Today,StaticData.Today)))</f>
        <v/>
      </c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 t="str">
        <f>"CGUSSW10"&amp;$AT$2&amp;" Curncy"</f>
        <v>CGUSSW10 ICHK Curncy</v>
      </c>
      <c r="AU33" s="25" t="s">
        <v>349</v>
      </c>
      <c r="AV33" s="28"/>
      <c r="AW33" s="196">
        <f>IF(AT33="","",IF(StaticData.Today=TODAY(),_xll.BDP(AT33,"BID"),_xll.BDH(AT33,"BID",StaticData.Today,StaticData.Today)))</f>
        <v>2.4500000000000002</v>
      </c>
      <c r="AX33" s="196">
        <f>IF(AT33="","",IF(StaticData.Today=TODAY(),_xll.BDP(AT33,"ASK"),_xll.BDH(AT33,"ASK",StaticData.Today,StaticData.Today)))</f>
        <v>2.5099999999999998</v>
      </c>
      <c r="AY33" s="196">
        <f>IF(AT33="","",IF(StaticData.Today=TODAY(),_xll.BDP(AT33,"LAST_PRICE"),_xll.BDH(AT33,"LAST_PRICE",StaticData.Today,StaticData.Today)))</f>
        <v>2.48</v>
      </c>
      <c r="AZ33" s="471">
        <f t="shared" si="9"/>
        <v>2.48</v>
      </c>
    </row>
    <row r="34" spans="7:52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 t="str">
        <f>IF(O34="","",IF(StaticData.Today=TODAY(),_xll.BDP(O34,"LAST_PRICE"),_xll.BDH(O34,"LAST_PRICE",StaticData.Today,StaticData.Today)))</f>
        <v/>
      </c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178"/>
      <c r="AX34" s="178"/>
      <c r="AY34" s="30"/>
      <c r="AZ34" s="27"/>
    </row>
    <row r="35" spans="7:52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 t="str">
        <f>IF(O35="","",IF(StaticData.Today=TODAY(),_xll.BDP(O35,"LAST_PRICE"),_xll.BDH(O35,"LAST_PRICE",StaticData.Today,StaticData.Today)))</f>
        <v/>
      </c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 t="str">
        <f>IF(AT35="","",IF(StaticData.Today=TODAY(),_xll.BDP(AT35,"LAST_PRICE"),_xll.BDH(AT35,"LAST_PRICE",StaticData.Today,StaticData.Today)))</f>
        <v/>
      </c>
      <c r="AZ35" s="27"/>
    </row>
    <row r="36" spans="7:52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 t="str">
        <f>IF(O36="","",IF(StaticData.Today=TODAY(),_xll.BDP(O36,"LAST_PRICE"),_xll.BDH(O36,"LAST_PRICE",StaticData.Today,StaticData.Today)))</f>
        <v/>
      </c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 t="str">
        <f>IF(AT36="","",IF(StaticData.Today=TODAY(),_xll.BDP(AT36,"LAST_PRICE"),_xll.BDH(AT36,"LAST_PRICE",StaticData.Today,StaticData.Today)))</f>
        <v/>
      </c>
      <c r="AZ36" s="27"/>
    </row>
    <row r="37" spans="7:52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 t="str">
        <f>IF(O37="","",IF(StaticData.Today=TODAY(),_xll.BDP(O37,"LAST_PRICE"),_xll.BDH(O37,"LAST_PRICE",StaticData.Today,StaticData.Today)))</f>
        <v/>
      </c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7:52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 t="str">
        <f>IF(O38="","",IF(StaticData.Today=TODAY(),_xll.BDP(O38,"LAST_PRICE"),_xll.BDH(O38,"LAST_PRICE",StaticData.Today,StaticData.Today)))</f>
        <v/>
      </c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7:52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/>
      <c r="AZ39" s="27"/>
    </row>
    <row r="40" spans="7:52" x14ac:dyDescent="0.25">
      <c r="G40" s="24"/>
      <c r="H40" s="25"/>
      <c r="I40" s="25"/>
      <c r="J40" s="25"/>
      <c r="K40" s="25"/>
      <c r="L40" s="26"/>
      <c r="M40" s="27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</row>
    <row r="41" spans="7:52" x14ac:dyDescent="0.25">
      <c r="G41" s="38"/>
      <c r="H41" s="39"/>
      <c r="I41" s="39"/>
      <c r="J41" s="39"/>
      <c r="K41" s="39"/>
      <c r="L41" s="40"/>
      <c r="M41" s="41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</row>
    <row r="42" spans="7:52" x14ac:dyDescent="0.25"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</row>
    <row r="43" spans="7:52" x14ac:dyDescent="0.25">
      <c r="O43" s="38"/>
      <c r="P43" s="39"/>
      <c r="Q43" s="42"/>
      <c r="R43" s="43"/>
      <c r="S43" s="43"/>
      <c r="T43" s="44" t="str">
        <f>IF(O43="","",IF(StaticData.Today=TODAY(),_xll.BDP(O43,"LAST_PRICE"),_xll.BDH(O43,"LAST_PRICE",StaticData.Today,StaticData.Today)))</f>
        <v/>
      </c>
      <c r="U43" s="41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/>
      <c r="AZ43" s="27"/>
    </row>
    <row r="44" spans="7:52" x14ac:dyDescent="0.25"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7:52" x14ac:dyDescent="0.25"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7:52" x14ac:dyDescent="0.25"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7:52" x14ac:dyDescent="0.25"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7:52" x14ac:dyDescent="0.25">
      <c r="W48" s="38"/>
      <c r="X48" s="39"/>
      <c r="Y48" s="192"/>
      <c r="Z48" s="41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28:52" x14ac:dyDescent="0.25"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28:52" x14ac:dyDescent="0.25"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41"/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28:52" x14ac:dyDescent="0.25"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28:52" x14ac:dyDescent="0.25"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28:52" x14ac:dyDescent="0.25">
      <c r="AT53" s="24"/>
      <c r="AU53" s="25"/>
      <c r="AV53" s="28"/>
      <c r="AW53" s="29"/>
      <c r="AX53" s="29"/>
      <c r="AY53" s="30" t="str">
        <f>IF(AT53="","",IF(StaticData.Today=TODAY(),_xll.BDP(AT53,"LAST_PRICE"),_xll.BDH(AT53,"LAST_PRICE",StaticData.Today,StaticData.Today)))</f>
        <v/>
      </c>
      <c r="AZ53" s="27"/>
    </row>
    <row r="54" spans="28:52" x14ac:dyDescent="0.25">
      <c r="AT54" s="38"/>
      <c r="AU54" s="39"/>
      <c r="AV54" s="42"/>
      <c r="AW54" s="43"/>
      <c r="AX54" s="43"/>
      <c r="AY54" s="44" t="str">
        <f>IF(AT54="","",IF(StaticData.Today=TODAY(),_xll.BDP(AT54,"LAST_PRICE"),_xll.BDH(AT54,"LAST_PRICE",StaticData.Today,StaticData.Today)))</f>
        <v/>
      </c>
      <c r="AZ54" s="41"/>
    </row>
  </sheetData>
  <dataValidations count="3">
    <dataValidation type="list" allowBlank="1" showInputMessage="1" showErrorMessage="1" sqref="AL2 W2">
      <formula1>$Q$91:$Q$94</formula1>
    </dataValidation>
    <dataValidation type="list" allowBlank="1" showInputMessage="1" showErrorMessage="1" sqref="AB2">
      <formula1>$Q$89:$Q$92</formula1>
    </dataValidation>
    <dataValidation type="list" allowBlank="1" showInputMessage="1" showErrorMessage="1" sqref="O1">
      <formula1>$Q$85:$Q$88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'STATIC DATA'!$AE$97:$AE$100</xm:f>
          </x14:formula1>
          <xm:sqref>AT2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  <x14:dataValidation type="list" allowBlank="1" showInputMessage="1" showErrorMessage="1">
          <x14:formula1>
            <xm:f>'STATIC DATA'!$AE$92:$AE$95</xm:f>
          </x14:formula1>
          <xm:sqref>AT1</xm:sqref>
        </x14:dataValidation>
        <x14:dataValidation type="list" allowBlank="1" showInputMessage="1" showErrorMessage="1">
          <x14:formula1>
            <xm:f>'STATIC DATA'!$AE$97:$AE$100</xm:f>
          </x14:formula1>
          <xm:sqref>O2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BM56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8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6" max="56" width="12.28515625" bestFit="1" customWidth="1"/>
    <col min="59" max="59" width="10" bestFit="1" customWidth="1"/>
    <col min="60" max="60" width="10.5703125" bestFit="1" customWidth="1"/>
  </cols>
  <sheetData>
    <row r="1" spans="1:65" x14ac:dyDescent="0.25">
      <c r="A1" t="s">
        <v>155</v>
      </c>
      <c r="G1" s="6" t="s">
        <v>546</v>
      </c>
      <c r="O1" s="6" t="s">
        <v>849</v>
      </c>
      <c r="AL1" s="6" t="s">
        <v>528</v>
      </c>
      <c r="AT1" s="6" t="s">
        <v>849</v>
      </c>
      <c r="BC1" s="510"/>
      <c r="BD1" s="536">
        <f>WORKDAY(TODAY(),2)</f>
        <v>44085</v>
      </c>
      <c r="BE1" s="323"/>
      <c r="BF1" s="299"/>
      <c r="BG1" s="299"/>
      <c r="BH1" s="299"/>
      <c r="BI1" s="299"/>
      <c r="BJ1" s="299"/>
      <c r="BK1" s="524"/>
      <c r="BL1" s="525"/>
      <c r="BM1" s="419"/>
    </row>
    <row r="2" spans="1:65" x14ac:dyDescent="0.25">
      <c r="G2" s="7"/>
      <c r="O2" s="6" t="s">
        <v>508</v>
      </c>
      <c r="W2" s="6" t="s">
        <v>528</v>
      </c>
      <c r="AB2" s="6" t="s">
        <v>528</v>
      </c>
      <c r="AL2" s="6" t="s">
        <v>546</v>
      </c>
      <c r="AT2" s="6" t="s">
        <v>510</v>
      </c>
      <c r="BC2" s="416"/>
      <c r="BD2" s="416"/>
      <c r="BE2" s="511"/>
      <c r="BF2" s="332"/>
      <c r="BG2" s="332" t="s">
        <v>993</v>
      </c>
      <c r="BH2" s="332" t="s">
        <v>929</v>
      </c>
      <c r="BI2" s="416"/>
      <c r="BJ2" s="332"/>
      <c r="BK2" s="526"/>
      <c r="BL2" s="526"/>
      <c r="BM2" s="522"/>
    </row>
    <row r="3" spans="1:65" x14ac:dyDescent="0.25">
      <c r="B3" s="7" t="s">
        <v>278</v>
      </c>
      <c r="C3" s="7"/>
      <c r="D3" s="7"/>
      <c r="E3" s="8" t="s">
        <v>279</v>
      </c>
      <c r="G3" s="2" t="s">
        <v>553</v>
      </c>
      <c r="L3" s="8"/>
      <c r="O3" s="2" t="str">
        <f>$A$1&amp;"_6M"</f>
        <v>CZK_6M</v>
      </c>
      <c r="T3" s="8" t="s">
        <v>282</v>
      </c>
      <c r="W3" s="2" t="str">
        <f>$A$1&amp;"_BASIS_6M"</f>
        <v>CZK_BASIS_6M</v>
      </c>
      <c r="AB3" s="2" t="str">
        <f>$A$1&amp;"_BASIS_1M"</f>
        <v>CZK_BASIS_1M</v>
      </c>
      <c r="AG3" s="2" t="str">
        <f>$A$1&amp;"_BASIS_12M"</f>
        <v>CZK_BASIS_12M</v>
      </c>
      <c r="AL3" s="2" t="str">
        <f>'STATIC DATA'!$C$4&amp;'STATIC DATA'!$Q$4&amp;"_BASIS"</f>
        <v>USDCZK_BASIS</v>
      </c>
      <c r="AQ3" s="8" t="s">
        <v>282</v>
      </c>
      <c r="AT3" s="2" t="str">
        <f>$A$1&amp;"_"&amp;'STATIC DATA'!Q67</f>
        <v>CZK_USD_1D</v>
      </c>
      <c r="AY3" s="8" t="s">
        <v>282</v>
      </c>
      <c r="BC3" s="416"/>
      <c r="BD3" s="416"/>
      <c r="BE3" s="313"/>
      <c r="BF3" s="512"/>
      <c r="BG3" s="316" t="s">
        <v>1386</v>
      </c>
      <c r="BH3" s="316" t="s">
        <v>437</v>
      </c>
      <c r="BI3" s="416"/>
      <c r="BJ3" s="316"/>
      <c r="BK3" s="527"/>
      <c r="BL3" s="527"/>
      <c r="BM3" s="438"/>
    </row>
    <row r="4" spans="1:65" x14ac:dyDescent="0.25">
      <c r="B4" s="9" t="b">
        <f>SUM(C7:C17)=SUM(D7:D17)</f>
        <v>0</v>
      </c>
      <c r="E4" s="10">
        <f>SUM(E7:E17)</f>
        <v>17</v>
      </c>
      <c r="BC4" s="416"/>
      <c r="BD4" s="416"/>
      <c r="BE4" s="313"/>
      <c r="BF4" s="512"/>
      <c r="BG4" s="316" t="s">
        <v>994</v>
      </c>
      <c r="BH4" s="316">
        <f>FX!B3</f>
        <v>1.1763999999999999</v>
      </c>
      <c r="BI4" s="416"/>
      <c r="BJ4" s="316"/>
      <c r="BK4" s="527"/>
      <c r="BL4" s="527"/>
      <c r="BM4" s="438"/>
    </row>
    <row r="5" spans="1:65" x14ac:dyDescent="0.25">
      <c r="BC5" s="416"/>
      <c r="BD5" s="416"/>
      <c r="BE5" s="514"/>
      <c r="BF5" s="515"/>
      <c r="BG5" s="529">
        <v>360</v>
      </c>
      <c r="BH5" s="321"/>
      <c r="BI5" s="321"/>
      <c r="BJ5" s="529">
        <v>360</v>
      </c>
      <c r="BK5" s="524"/>
      <c r="BL5" s="528"/>
      <c r="BM5" s="438" t="s">
        <v>1399</v>
      </c>
    </row>
    <row r="6" spans="1:65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  <c r="BC6" s="416"/>
      <c r="BD6" s="440" t="s">
        <v>1443</v>
      </c>
      <c r="BE6" s="313"/>
      <c r="BF6" s="512" t="s">
        <v>1388</v>
      </c>
      <c r="BG6" s="316" t="s">
        <v>1387</v>
      </c>
      <c r="BH6" s="527" t="s">
        <v>1393</v>
      </c>
      <c r="BI6" s="316" t="s">
        <v>1389</v>
      </c>
      <c r="BJ6" s="316" t="s">
        <v>1390</v>
      </c>
      <c r="BK6" s="527" t="s">
        <v>1394</v>
      </c>
      <c r="BL6" s="528" t="s">
        <v>1392</v>
      </c>
      <c r="BM6" s="438" t="s">
        <v>1391</v>
      </c>
    </row>
    <row r="7" spans="1:65" x14ac:dyDescent="0.25">
      <c r="B7" s="11" t="str">
        <f>G3</f>
        <v>CZEONIA</v>
      </c>
      <c r="C7" s="12">
        <f>COUNTA(G7:G47)</f>
        <v>26</v>
      </c>
      <c r="D7" s="12">
        <f>COUNT(L7:L47)</f>
        <v>9</v>
      </c>
      <c r="E7" s="13">
        <f t="shared" ref="E7:E12" si="0">C7-D7</f>
        <v>17</v>
      </c>
      <c r="G7" s="14" t="s">
        <v>554</v>
      </c>
      <c r="H7" s="15" t="s">
        <v>298</v>
      </c>
      <c r="I7" s="15"/>
      <c r="J7" s="186"/>
      <c r="K7" s="186"/>
      <c r="L7" s="26">
        <f>IF(G7="","",IF(StaticData.Today=TODAY(),_xll.BDP(G7,"LAST_PRICE"),_xll.BDH(G7,"LAST_PRICE",StaticData.Today,StaticData.Today)))</f>
        <v>0.11</v>
      </c>
      <c r="M7" s="17">
        <f>L7/100</f>
        <v>1.1000000000000001E-3</v>
      </c>
      <c r="O7" s="14" t="s">
        <v>558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0.25</v>
      </c>
      <c r="U7" s="184">
        <f>T7/100</f>
        <v>2.5000000000000001E-3</v>
      </c>
      <c r="W7" s="8" t="str">
        <f>O7</f>
        <v>PRIBOVN Index</v>
      </c>
      <c r="X7" s="8" t="s">
        <v>298</v>
      </c>
      <c r="Y7" s="189"/>
      <c r="Z7" s="449">
        <f>U7</f>
        <v>2.5000000000000001E-3</v>
      </c>
      <c r="AB7" s="14" t="str">
        <f>O7</f>
        <v>PRIBOVN Index</v>
      </c>
      <c r="AC7" s="15" t="s">
        <v>298</v>
      </c>
      <c r="AD7" s="16">
        <f>T7</f>
        <v>0.25</v>
      </c>
      <c r="AE7" s="17">
        <f>AD7/100</f>
        <v>2.5000000000000001E-3</v>
      </c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/>
      <c r="AM7" s="15"/>
      <c r="AN7" s="18"/>
      <c r="AO7" s="19"/>
      <c r="AP7" s="19"/>
      <c r="AQ7" s="177"/>
      <c r="AR7" s="180"/>
      <c r="AT7" s="24" t="s">
        <v>1333</v>
      </c>
      <c r="AU7" s="15"/>
      <c r="AV7" s="18"/>
      <c r="AW7" s="19">
        <f>IF(AT7="","",IF(StaticData.Today=TODAY(),_xll.BDP(AT7,"BID"),_xll.BDH(AT7,"BID",StaticData.Today,StaticData.Today)))</f>
        <v>22.541899999999998</v>
      </c>
      <c r="AX7" s="19">
        <f>IF(AT7="","",IF(StaticData.Today=TODAY(),_xll.BDP(AT7,"ASK"),_xll.BDH(AT7,"ASK",StaticData.Today,StaticData.Today)))</f>
        <v>22.555499999999999</v>
      </c>
      <c r="AY7" s="179"/>
      <c r="AZ7" s="180"/>
      <c r="BC7" s="519" t="s">
        <v>1348</v>
      </c>
      <c r="BD7" s="516">
        <f>BD1</f>
        <v>44085</v>
      </c>
      <c r="BE7" s="313">
        <v>0</v>
      </c>
      <c r="BF7" s="518">
        <f>_xll.meCurveDiscountFactorsForwardStarting($BD$7,BD7,"EURYC","EUR6ML")</f>
        <v>1</v>
      </c>
      <c r="BG7" s="316">
        <f>BF7*BE7</f>
        <v>0</v>
      </c>
      <c r="BH7" s="527">
        <f>BH8</f>
        <v>-6.9999999999879927</v>
      </c>
      <c r="BI7" s="316">
        <f>_xll.meCurveDiscountFactorsForwardStarting($BD$7,BD7,"CZKYC","PRB6M")</f>
        <v>1</v>
      </c>
      <c r="BJ7" s="316">
        <f>BI7*BE7</f>
        <v>0</v>
      </c>
      <c r="BK7" s="531">
        <f>BK8</f>
        <v>-7.0155450490925801</v>
      </c>
      <c r="BL7" s="532">
        <f>BL9</f>
        <v>-36</v>
      </c>
      <c r="BM7" s="438">
        <f>BL7+BK7</f>
        <v>-43.01554504909258</v>
      </c>
    </row>
    <row r="8" spans="1:65" x14ac:dyDescent="0.25">
      <c r="B8" s="21" t="str">
        <f>O3</f>
        <v>CZK_6M</v>
      </c>
      <c r="C8" s="22">
        <f>COUNTA(O7:O49)</f>
        <v>23</v>
      </c>
      <c r="D8" s="22">
        <f>COUNT(T7:T49)</f>
        <v>23</v>
      </c>
      <c r="E8" s="23">
        <f t="shared" si="0"/>
        <v>0</v>
      </c>
      <c r="G8" s="24" t="str">
        <f>"CKSO1Z"&amp;G$1&amp;" Curncy"</f>
        <v>CKSO1Z FMDR Curncy</v>
      </c>
      <c r="H8" s="25" t="s">
        <v>305</v>
      </c>
      <c r="I8" s="25"/>
      <c r="J8" s="187">
        <f>IF(G8="","",IF(StaticData.Today=TODAY(),_xll.BDP(G8,"BID"),_xll.BDH(G8,"BID",StaticData.Today,StaticData.Today)))</f>
        <v>0.1</v>
      </c>
      <c r="K8" s="187">
        <f>IF(G8="","",IF(StaticData.Today=TODAY(),_xll.BDP(G8,"ASK"),_xll.BDH(G8,"ASK",StaticData.Today,StaticData.Today)))</f>
        <v>0.13</v>
      </c>
      <c r="L8" s="26">
        <f>IF(G8="","",IF(StaticData.Today=TODAY(),_xll.BDP(G8,"LAST_PRICE"),_xll.BDH(G8,"LAST_PRICE",StaticData.Today,StaticData.Today)))</f>
        <v>0.12</v>
      </c>
      <c r="M8" s="27">
        <f t="shared" ref="M8:M14" si="1">L8/100</f>
        <v>1.1999999999999999E-3</v>
      </c>
      <c r="O8" s="24" t="s">
        <v>555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0.3</v>
      </c>
      <c r="U8" s="183">
        <f>T8/100</f>
        <v>3.0000000000000001E-3</v>
      </c>
      <c r="W8" s="8" t="str">
        <f t="shared" ref="W8:W9" si="2">O8</f>
        <v>PRIB01M Index</v>
      </c>
      <c r="X8" s="8" t="s">
        <v>300</v>
      </c>
      <c r="Y8" s="189"/>
      <c r="Z8" s="449">
        <f t="shared" ref="Z8:Z9" si="3">U8</f>
        <v>3.0000000000000001E-3</v>
      </c>
      <c r="AB8" s="24" t="str">
        <f>O8</f>
        <v>PRIB01M Index</v>
      </c>
      <c r="AC8" s="25" t="s">
        <v>300</v>
      </c>
      <c r="AD8" s="26">
        <f>T8</f>
        <v>0.3</v>
      </c>
      <c r="AE8" s="27">
        <f>AD8/100</f>
        <v>3.0000000000000001E-3</v>
      </c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14" t="str">
        <f>"CKEUBS1"&amp;$AL$1&amp;" Curncy"</f>
        <v>CKEUBS1 ICPL Curncy</v>
      </c>
      <c r="AM8" s="15" t="s">
        <v>47</v>
      </c>
      <c r="AN8" s="18"/>
      <c r="AO8" s="19">
        <f>IF(AL8="","",IF(StaticData.Today=TODAY(),_xll.BDP(AL8,"BID"),_xll.BDH(AL8,"BID",StaticData.Today,StaticData.Today)))</f>
        <v>-41</v>
      </c>
      <c r="AP8" s="19">
        <f>IF(AL8="","",IF(StaticData.Today=TODAY(),_xll.BDP(AL8,"ASK"),_xll.BDH(AL8,"ASK",StaticData.Today,StaticData.Today)))</f>
        <v>-31</v>
      </c>
      <c r="AQ8" s="194">
        <f>IF(AL8="","",IF(StaticData.Today=TODAY(),_xll.BDP(AL8,"LAST_PRICE"),_xll.BDH(AL8,"LAST_PRICE",StaticData.Today,StaticData.Today)))</f>
        <v>-36</v>
      </c>
      <c r="AR8" s="483">
        <f t="shared" ref="AR8:AR12" si="4">AQ8</f>
        <v>-36</v>
      </c>
      <c r="AT8" s="24" t="str">
        <f t="shared" ref="AT8:AT29" si="5">"CZK"&amp;AU8&amp;$AT$1&amp;" Curncy"</f>
        <v>CZKON CMPN Curncy</v>
      </c>
      <c r="AU8" s="25" t="s">
        <v>298</v>
      </c>
      <c r="AV8" s="28"/>
      <c r="AW8" s="29">
        <f>IF(AT8="","",IF(StaticData.Today=TODAY(),_xll.BDP(AT8,"BID"),_xll.BDH(AT8,"BID",StaticData.Today,StaticData.Today)))</f>
        <v>-0.16</v>
      </c>
      <c r="AX8" s="29">
        <f>IF(AT8="","",IF(StaticData.Today=TODAY(),_xll.BDP(AT8,"ASK"),_xll.BDH(AT8,"ASK",StaticData.Today,StaticData.Today)))</f>
        <v>-0.02</v>
      </c>
      <c r="AY8" s="177">
        <f>IF(AT8="","",IF(StaticData.Today=TODAY(),_xll.BDP(AT8,"PX_LAST"),_xll.BDH(AT8,"PX_LAST",StaticData.Today,StaticData.Today)))</f>
        <v>-0.08</v>
      </c>
      <c r="AZ8" s="181">
        <f t="shared" ref="AZ8:AZ13" si="6">AY8</f>
        <v>-0.08</v>
      </c>
      <c r="BC8" s="519" t="s">
        <v>49</v>
      </c>
      <c r="BD8" s="516">
        <f>_xll.meDateFromTenor($BD$7,BC8,"MF",$BD$6)</f>
        <v>44176</v>
      </c>
      <c r="BE8" s="517">
        <f t="shared" ref="BE8:BE47" si="7">BD8-BD7</f>
        <v>91</v>
      </c>
      <c r="BF8" s="518">
        <f>_xll.meCurveDiscountFactorsForwardStarting($BD$7,BD8,"EURYC","EUR6ML")</f>
        <v>1.00136010791902</v>
      </c>
      <c r="BG8" s="316">
        <f t="shared" ref="BG8:BG47" si="8">BG7+(BE8*BF8)/$BJ$5</f>
        <v>0.25312158283508557</v>
      </c>
      <c r="BH8" s="527">
        <f>_xll.meLWOSwapParSpread(_xll.meLWOXccySwapCreateFromGenerator("TEST","EUR_XCCY","PAy",$BD$7,BD8,1,1,"Float","Float",,,,,"USD",TRUE,"LEG2:FLOAT"),$BG$2:$BH$4)</f>
        <v>-6.9999999999879927</v>
      </c>
      <c r="BI8" s="316">
        <f>_xll.meCurveDiscountFactorsForwardStarting($BD$7,BD8,"CZKYC","PRB6M")</f>
        <v>0.99914129356602954</v>
      </c>
      <c r="BJ8" s="316">
        <f t="shared" ref="BJ8:BJ47" si="9">BJ7+(BE8*BI8)/$BJ$5</f>
        <v>0.25256071587363527</v>
      </c>
      <c r="BK8" s="531">
        <f>BH8*BG8/BJ8</f>
        <v>-7.0155450490925801</v>
      </c>
      <c r="BL8" s="533"/>
      <c r="BM8" s="438"/>
    </row>
    <row r="9" spans="1:65" x14ac:dyDescent="0.25">
      <c r="B9" s="21" t="s">
        <v>511</v>
      </c>
      <c r="C9" s="22">
        <f>COUNTA(O11:O19)*2</f>
        <v>18</v>
      </c>
      <c r="D9" s="22">
        <f>COUNT(R11:S19)</f>
        <v>18</v>
      </c>
      <c r="E9" s="23">
        <f t="shared" si="0"/>
        <v>0</v>
      </c>
      <c r="G9" s="24" t="str">
        <f>"CKSO1"&amp;G1&amp;" Curncy"</f>
        <v>CKSO1 FMDR Curncy</v>
      </c>
      <c r="H9" s="25" t="s">
        <v>313</v>
      </c>
      <c r="I9" s="25"/>
      <c r="J9" s="187">
        <f>IF(G9="","",IF(StaticData.Today=TODAY(),_xll.BDP(G9,"BID"),_xll.BDH(G9,"BID",StaticData.Today,StaticData.Today)))</f>
        <v>0.13</v>
      </c>
      <c r="K9" s="187">
        <f>IF(G9="","",IF(StaticData.Today=TODAY(),_xll.BDP(G9,"ASK"),_xll.BDH(G9,"ASK",StaticData.Today,StaticData.Today)))</f>
        <v>0.16</v>
      </c>
      <c r="L9" s="26">
        <f>IF(G9="","",IF(StaticData.Today=TODAY(),_xll.BDP(G9,"LAST_PRICE"),_xll.BDH(G9,"LAST_PRICE",StaticData.Today,StaticData.Today)))</f>
        <v>0.15</v>
      </c>
      <c r="M9" s="27">
        <f t="shared" si="1"/>
        <v>1.5E-3</v>
      </c>
      <c r="O9" s="24" t="s">
        <v>556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0.34</v>
      </c>
      <c r="U9" s="183">
        <f>T9/100</f>
        <v>3.4000000000000002E-3</v>
      </c>
      <c r="W9" s="8" t="str">
        <f t="shared" si="2"/>
        <v>PRIB03M Index</v>
      </c>
      <c r="X9" s="8" t="s">
        <v>49</v>
      </c>
      <c r="Y9" s="189"/>
      <c r="Z9" s="449">
        <f t="shared" si="3"/>
        <v>3.4000000000000002E-3</v>
      </c>
      <c r="AB9" s="24" t="str">
        <f>"CKBSAV1"&amp;$AB$2&amp;" Curncy"</f>
        <v>CKBSAV1 ICPL Curncy</v>
      </c>
      <c r="AC9" s="25" t="s">
        <v>47</v>
      </c>
      <c r="AD9" s="26">
        <f>IF(AB9="","",IF(StaticData.Today=TODAY(),_xll.BDP(AB9,"LAST_PRICE"),_xll.BDH(AB9,"LAST_PRICE",StaticData.Today,StaticData.Today)))</f>
        <v>9.8000000000000007</v>
      </c>
      <c r="AE9" s="27">
        <f>AD9/10000</f>
        <v>9.7999999999999997E-4</v>
      </c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14" t="str">
        <f>"CKEUBS2"&amp;$AL$1&amp;" Curncy"</f>
        <v>CKEUBS2 ICPL Curncy</v>
      </c>
      <c r="AM9" s="25" t="s">
        <v>308</v>
      </c>
      <c r="AN9" s="28"/>
      <c r="AO9" s="29">
        <f>IF(AL9="","",IF(StaticData.Today=TODAY(),_xll.BDP(AL9,"BID"),_xll.BDH(AL9,"BID",StaticData.Today,StaticData.Today)))</f>
        <v>-41</v>
      </c>
      <c r="AP9" s="29">
        <f>IF(AL9="","",IF(StaticData.Today=TODAY(),_xll.BDP(AL9,"ASK"),_xll.BDH(AL9,"ASK",StaticData.Today,StaticData.Today)))</f>
        <v>-31</v>
      </c>
      <c r="AQ9" s="194">
        <f>IF(AL9="","",IF(StaticData.Today=TODAY(),_xll.BDP(AL9,"LAST_PRICE"),_xll.BDH(AL9,"LAST_PRICE",StaticData.Today,StaticData.Today)))</f>
        <v>-36</v>
      </c>
      <c r="AR9" s="195">
        <f t="shared" si="4"/>
        <v>-36</v>
      </c>
      <c r="AT9" s="24" t="str">
        <f t="shared" si="5"/>
        <v>CZKTN CMPN Curncy</v>
      </c>
      <c r="AU9" s="25" t="s">
        <v>506</v>
      </c>
      <c r="AV9" s="28"/>
      <c r="AW9" s="29">
        <f>IF(AT9="","",IF(StaticData.Today=TODAY(),_xll.BDP(AT9,"BID"),_xll.BDH(AT9,"BID",StaticData.Today,StaticData.Today)))</f>
        <v>-0.17</v>
      </c>
      <c r="AX9" s="29">
        <f>IF(AT9="","",IF(StaticData.Today=TODAY(),_xll.BDP(AT9,"ASK"),_xll.BDH(AT9,"ASK",StaticData.Today,StaticData.Today)))</f>
        <v>-0.03</v>
      </c>
      <c r="AY9" s="177">
        <f>IF(AT9="","",IF(StaticData.Today=TODAY(),_xll.BDP(AT9,"PX_LAST"),_xll.BDH(AT9,"PX_LAST",StaticData.Today,StaticData.Today)))</f>
        <v>-0.1</v>
      </c>
      <c r="AZ9" s="181">
        <f t="shared" si="6"/>
        <v>-0.1</v>
      </c>
      <c r="BC9" s="519" t="s">
        <v>322</v>
      </c>
      <c r="BD9" s="516">
        <f>_xll.meDateFromTenor($BD$7,BC9,"MF",$BD$6)</f>
        <v>44452</v>
      </c>
      <c r="BE9" s="517">
        <f t="shared" si="7"/>
        <v>276</v>
      </c>
      <c r="BF9" s="518">
        <f>_xll.meCurveDiscountFactorsForwardStarting($BD$7,BD9,"EURYC","EUR6ML")</f>
        <v>1.0049021623356866</v>
      </c>
      <c r="BG9" s="316">
        <f t="shared" si="8"/>
        <v>1.0235465739591121</v>
      </c>
      <c r="BH9" s="527">
        <f>_xll.meLWOSwapParSpread(_xll.meLWOXccySwapCreateFromGenerator("TEST","EUR_XCCY","PAy",$BD$7,BD9,1,1,"Float","Float",,,,,"USD",TRUE,"LEG2:FLOAT"),$BG$2:$BH$4)</f>
        <v>-11.535505471114858</v>
      </c>
      <c r="BI9" s="316">
        <f>_xll.meCurveDiscountFactorsForwardStarting($BD$7,BD9,"CZKYC","PRB6M")</f>
        <v>0.9965698960292545</v>
      </c>
      <c r="BJ9" s="316">
        <f t="shared" si="9"/>
        <v>1.0165976361627305</v>
      </c>
      <c r="BK9" s="531">
        <f t="shared" ref="BK9:BK47" si="10">BH9*BG9/BJ9</f>
        <v>-11.614356244633443</v>
      </c>
      <c r="BL9" s="532">
        <f>CZK_DATA!AR8</f>
        <v>-36</v>
      </c>
      <c r="BM9" s="437">
        <f>BL9+BK9</f>
        <v>-47.614356244633441</v>
      </c>
    </row>
    <row r="10" spans="1:65" x14ac:dyDescent="0.25">
      <c r="B10" s="21" t="s">
        <v>283</v>
      </c>
      <c r="C10" s="22">
        <f>COUNTA(W15:W56)</f>
        <v>13</v>
      </c>
      <c r="D10" s="22">
        <f>COUNT(Y15:Y56)</f>
        <v>13</v>
      </c>
      <c r="E10" s="23">
        <f t="shared" si="0"/>
        <v>0</v>
      </c>
      <c r="G10" s="24" t="str">
        <f>"CKSOA"&amp;$G$1&amp;" Curncy"</f>
        <v>CKSOA FMDR Curncy</v>
      </c>
      <c r="H10" s="25" t="s">
        <v>300</v>
      </c>
      <c r="I10" s="25"/>
      <c r="J10" s="187">
        <f>IF(G10="","",IF(StaticData.Today=TODAY(),_xll.BDP(G10,"BID"),_xll.BDH(G10,"BID",StaticData.Today,StaticData.Today)))</f>
        <v>0.11</v>
      </c>
      <c r="K10" s="187">
        <f>IF(G10="","",IF(StaticData.Today=TODAY(),_xll.BDP(G10,"ASK"),_xll.BDH(G10,"ASK",StaticData.Today,StaticData.Today)))</f>
        <v>0.13</v>
      </c>
      <c r="L10" s="26">
        <f>IF(G10="","",IF(StaticData.Today=TODAY(),_xll.BDP(G10,"LAST_PRICE"),_xll.BDH(G10,"LAST_PRICE",StaticData.Today,StaticData.Today)))</f>
        <v>0.12</v>
      </c>
      <c r="M10" s="27">
        <f t="shared" si="1"/>
        <v>1.1999999999999999E-3</v>
      </c>
      <c r="O10" s="24" t="s">
        <v>557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0.36</v>
      </c>
      <c r="U10" s="183">
        <f>T10/100</f>
        <v>3.5999999999999999E-3</v>
      </c>
      <c r="W10" s="8" t="str">
        <f>"CKFR0AD"&amp;$O$1&amp;" Curncy"</f>
        <v>CKFR0AD CMPN Curncy</v>
      </c>
      <c r="X10" s="8" t="s">
        <v>494</v>
      </c>
      <c r="Y10" s="30">
        <f>IF(T10="","",IF(StaticData.Today=TODAY(),_xll.BDP(W10,"LAST_PRICE"),_xll.BDH(W10,"LAST_PRICE",StaticData.Today,StaticData.Today)))</f>
        <v>0.34300000000000003</v>
      </c>
      <c r="Z10" s="337">
        <f>Y10/100</f>
        <v>3.4300000000000003E-3</v>
      </c>
      <c r="AB10" s="24" t="str">
        <f>"CKBSAV2"&amp;$AB$2&amp;" Curncy"</f>
        <v>CKBSAV2 ICPL Curncy</v>
      </c>
      <c r="AC10" s="25" t="s">
        <v>308</v>
      </c>
      <c r="AD10" s="26">
        <f>IF(AB10="","",IF(StaticData.Today=TODAY(),_xll.BDP(AB10,"LAST_PRICE"),_xll.BDH(AB10,"LAST_PRICE",StaticData.Today,StaticData.Today)))</f>
        <v>8.25</v>
      </c>
      <c r="AE10" s="27">
        <f>AD10/10000</f>
        <v>8.25E-4</v>
      </c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14" t="str">
        <f>"CKEUBS3"&amp;$AL$1&amp;" Curncy"</f>
        <v>CKEUBS3 ICPL Curncy</v>
      </c>
      <c r="AM10" s="25" t="s">
        <v>316</v>
      </c>
      <c r="AN10" s="28"/>
      <c r="AO10" s="29">
        <f>IF(AL10="","",IF(StaticData.Today=TODAY(),_xll.BDP(AL10,"BID"),_xll.BDH(AL10,"BID",StaticData.Today,StaticData.Today)))</f>
        <v>-41</v>
      </c>
      <c r="AP10" s="29">
        <f>IF(AL10="","",IF(StaticData.Today=TODAY(),_xll.BDP(AL10,"ASK"),_xll.BDH(AL10,"ASK",StaticData.Today,StaticData.Today)))</f>
        <v>-31</v>
      </c>
      <c r="AQ10" s="194">
        <f>IF(AL10="","",IF(StaticData.Today=TODAY(),_xll.BDP(AL10,"LAST_PRICE"),_xll.BDH(AL10,"LAST_PRICE",StaticData.Today,StaticData.Today)))</f>
        <v>-36</v>
      </c>
      <c r="AR10" s="195">
        <f t="shared" si="4"/>
        <v>-36</v>
      </c>
      <c r="AT10" s="24" t="str">
        <f t="shared" si="5"/>
        <v>CZKSN CMPN Curncy</v>
      </c>
      <c r="AU10" s="25" t="s">
        <v>1483</v>
      </c>
      <c r="AV10" s="28"/>
      <c r="AW10" s="29">
        <f>IF(AT10="","",IF(StaticData.Today=TODAY(),_xll.BDP(AT10,"BID"),_xll.BDH(AT10,"BID",StaticData.Today,StaticData.Today)))</f>
        <v>-0.47</v>
      </c>
      <c r="AX10" s="29">
        <f>IF(AT10="","",IF(StaticData.Today=TODAY(),_xll.BDP(AT10,"ASK"),_xll.BDH(AT10,"ASK",StaticData.Today,StaticData.Today)))</f>
        <v>0.05</v>
      </c>
      <c r="AY10" s="177">
        <f>IF(AT10="","",IF(StaticData.Today=TODAY(),_xll.BDP(AT10,"PX_LAST"),_xll.BDH(AT10,"PX_LAST",StaticData.Today,StaticData.Today)))</f>
        <v>-0.23</v>
      </c>
      <c r="AZ10" s="181">
        <f t="shared" si="6"/>
        <v>-0.23</v>
      </c>
      <c r="BC10" s="519" t="s">
        <v>501</v>
      </c>
      <c r="BD10" s="516">
        <f>_xll.meDateFromTenor($BD$7,BC10,"MF",$BD$6)</f>
        <v>44631</v>
      </c>
      <c r="BE10" s="517">
        <f t="shared" si="7"/>
        <v>179</v>
      </c>
      <c r="BF10" s="518">
        <f>_xll.meCurveDiscountFactorsForwardStarting($BD$7,BD10,"EURYC","EUR6ML")</f>
        <v>1.0072467912107272</v>
      </c>
      <c r="BG10" s="316">
        <f t="shared" si="8"/>
        <v>1.5243720618111127</v>
      </c>
      <c r="BH10" s="527">
        <f>_xll.meLWOSwapParSpread(_xll.meLWOXccySwapCreateFromGenerator("TEST","EUR_XCCY","PAy",$BD$7,BD10,1,1,"Float","Float",,,,,"USD",TRUE,"LEG2:FLOAT"),$BG$2:$BH$4)</f>
        <v>-12.000000000024459</v>
      </c>
      <c r="BI10" s="316">
        <f>_xll.meCurveDiscountFactorsForwardStarting($BD$7,BD10,"CZKYC","PRB6M")</f>
        <v>0.99384793297004193</v>
      </c>
      <c r="BJ10" s="316">
        <f t="shared" si="9"/>
        <v>1.5107609139450568</v>
      </c>
      <c r="BK10" s="531">
        <f t="shared" si="10"/>
        <v>-12.108113582316239</v>
      </c>
      <c r="BL10" s="532"/>
      <c r="BM10" s="437"/>
    </row>
    <row r="11" spans="1:65" x14ac:dyDescent="0.25">
      <c r="B11" s="21" t="s">
        <v>284</v>
      </c>
      <c r="C11" s="22">
        <f>COUNTA(AB7:AB50)</f>
        <v>12</v>
      </c>
      <c r="D11" s="22">
        <f>COUNT(AD7:AD50)</f>
        <v>12</v>
      </c>
      <c r="E11" s="23">
        <f t="shared" si="0"/>
        <v>0</v>
      </c>
      <c r="G11" s="24" t="str">
        <f>"CKSOB"&amp;$G$1&amp;" Curncy"</f>
        <v>CKSOB FMDR Curncy</v>
      </c>
      <c r="H11" s="25" t="s">
        <v>335</v>
      </c>
      <c r="I11" s="25"/>
      <c r="J11" s="187">
        <f>IF(G11="","",IF(StaticData.Today=TODAY(),_xll.BDP(G11,"BID"),_xll.BDH(G11,"BID",StaticData.Today,StaticData.Today)))</f>
        <v>0.11</v>
      </c>
      <c r="K11" s="187">
        <f>IF(G11="","",IF(StaticData.Today=TODAY(),_xll.BDP(G11,"ASK"),_xll.BDH(G11,"ASK",StaticData.Today,StaticData.Today)))</f>
        <v>0.13</v>
      </c>
      <c r="L11" s="26">
        <f>IF(G11="","",IF(StaticData.Today=TODAY(),_xll.BDP(G11,"LAST_PRICE"),_xll.BDH(G11,"LAST_PRICE",StaticData.Today,StaticData.Today)))</f>
        <v>0.12</v>
      </c>
      <c r="M11" s="27">
        <f t="shared" si="1"/>
        <v>1.1999999999999999E-3</v>
      </c>
      <c r="O11" s="24" t="str">
        <f>"CKFR0AG"&amp;$O$1&amp;" Curncy"</f>
        <v>CKFR0AG CMPN Curncy</v>
      </c>
      <c r="P11" s="25" t="s">
        <v>1070</v>
      </c>
      <c r="Q11" s="31" t="s">
        <v>1070</v>
      </c>
      <c r="R11" s="182">
        <f>IF(O11="","",IF(StaticData.Today=TODAY(),_xll.BDP(O11,"BID"),_xll.BDH(O11,"BID",StaticData.Today,StaticData.Today)))</f>
        <v>0.33</v>
      </c>
      <c r="S11" s="182">
        <f>IF(O11="","",IF(StaticData.Today=TODAY(),_xll.BDP(O11,"ASK"),_xll.BDH(O11,"ASK",StaticData.Today,StaticData.Today)))</f>
        <v>0.39</v>
      </c>
      <c r="T11" s="30">
        <f>IF(O11="","",IF(StaticData.Today=TODAY(),_xll.BDP(O11,"LAST_PRICE"),_xll.BDH(O11,"LAST_PRICE",StaticData.Today,StaticData.Today)))</f>
        <v>0.36</v>
      </c>
      <c r="U11" s="183">
        <f>T11/100</f>
        <v>3.5999999999999999E-3</v>
      </c>
      <c r="W11" s="8" t="str">
        <f>"CKFR0BE"&amp;$O$1&amp;" Curncy"</f>
        <v>CKFR0BE CMPN Curncy</v>
      </c>
      <c r="X11" s="8" t="s">
        <v>495</v>
      </c>
      <c r="Y11" s="30">
        <f>IF(T11="","",IF(StaticData.Today=TODAY(),_xll.BDP(W11,"LAST_PRICE"),_xll.BDH(W11,"LAST_PRICE",StaticData.Today,StaticData.Today)))</f>
        <v>0.34300000000000003</v>
      </c>
      <c r="Z11" s="337">
        <f t="shared" ref="Z11:Z14" si="11">Y11/100</f>
        <v>3.4300000000000003E-3</v>
      </c>
      <c r="AB11" s="24" t="str">
        <f>"CKBSAV3"&amp;$AB$2&amp;" Curncy"</f>
        <v>CKBSAV3 ICPL Curncy</v>
      </c>
      <c r="AC11" s="25" t="s">
        <v>316</v>
      </c>
      <c r="AD11" s="26">
        <f>IF(AB11="","",IF(StaticData.Today=TODAY(),_xll.BDP(AB11,"LAST_PRICE"),_xll.BDH(AB11,"LAST_PRICE",StaticData.Today,StaticData.Today)))</f>
        <v>6.95</v>
      </c>
      <c r="AE11" s="27">
        <f t="shared" ref="AE11:AE18" si="12">AD11/10000</f>
        <v>6.9499999999999998E-4</v>
      </c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14" t="str">
        <f>"CKEUBS4"&amp;$AL$1&amp;" Curncy"</f>
        <v>CKEUBS4 ICPL Curncy</v>
      </c>
      <c r="AM11" s="25" t="s">
        <v>324</v>
      </c>
      <c r="AN11" s="28"/>
      <c r="AO11" s="29">
        <f>IF(AL11="","",IF(StaticData.Today=TODAY(),_xll.BDP(AL11,"BID"),_xll.BDH(AL11,"BID",StaticData.Today,StaticData.Today)))</f>
        <v>-40</v>
      </c>
      <c r="AP11" s="29">
        <f>IF(AL11="","",IF(StaticData.Today=TODAY(),_xll.BDP(AL11,"ASK"),_xll.BDH(AL11,"ASK",StaticData.Today,StaticData.Today)))</f>
        <v>-30</v>
      </c>
      <c r="AQ11" s="194">
        <f>IF(AL11="","",IF(StaticData.Today=TODAY(),_xll.BDP(AL11,"LAST_PRICE"),_xll.BDH(AL11,"LAST_PRICE",StaticData.Today,StaticData.Today)))</f>
        <v>-35</v>
      </c>
      <c r="AR11" s="195">
        <f t="shared" si="4"/>
        <v>-35</v>
      </c>
      <c r="AT11" s="24" t="str">
        <f t="shared" si="5"/>
        <v>CZK1W CMPN Curncy</v>
      </c>
      <c r="AU11" s="25" t="s">
        <v>305</v>
      </c>
      <c r="AV11" s="28"/>
      <c r="AW11" s="177">
        <f>IF(AT11="","",IF(StaticData.Today=TODAY(),_xll.BDP(AT11,"BID"),_xll.BDH(AT11,"BID",StaticData.Today,StaticData.Today)))</f>
        <v>-1.17</v>
      </c>
      <c r="AX11" s="177">
        <f>IF(AT11="","",IF(StaticData.Today=TODAY(),_xll.BDP(AT11,"ASK"),_xll.BDH(AT11,"ASK",StaticData.Today,StaticData.Today)))</f>
        <v>-0.27</v>
      </c>
      <c r="AY11" s="177">
        <f>IF(AT11="","",IF(StaticData.Today=TODAY(),_xll.BDP(AT11,"PX_LAST"),_xll.BDH(AT11,"PX_LAST",StaticData.Today,StaticData.Today)))</f>
        <v>-0.55000000000000004</v>
      </c>
      <c r="AZ11" s="181">
        <f t="shared" si="6"/>
        <v>-0.55000000000000004</v>
      </c>
      <c r="BC11" s="552" t="s">
        <v>1349</v>
      </c>
      <c r="BD11" s="553">
        <f>_xll.meDateFromTenor($BD$7,BC11,"MF",$BD$6)</f>
        <v>44816</v>
      </c>
      <c r="BE11" s="554">
        <f t="shared" si="7"/>
        <v>185</v>
      </c>
      <c r="BF11" s="555">
        <f>_xll.meCurveDiscountFactorsForwardStarting($BD$7,BD11,"EURYC","EUR6ML")</f>
        <v>1.0095463412067018</v>
      </c>
      <c r="BG11" s="556">
        <f t="shared" si="8"/>
        <v>2.0431667093756678</v>
      </c>
      <c r="BH11" s="527">
        <f>_xll.meLWOSwapParSpread(_xll.meLWOXccySwapCreateFromGenerator("TEST","EUR_XCCY","PAy",$BD$7,BD11,1,1,"Float","Float",,,,,"USD",TRUE,"LEG2:FLOAT"),$BG$2:$BH$4)</f>
        <v>-11.899269076252644</v>
      </c>
      <c r="BI11" s="316">
        <f>_xll.meCurveDiscountFactorsForwardStarting($BD$7,BD11,"CZKYC","PRB6M")</f>
        <v>0.98987676285792581</v>
      </c>
      <c r="BJ11" s="556">
        <f t="shared" si="9"/>
        <v>2.0194475837470467</v>
      </c>
      <c r="BK11" s="557">
        <f t="shared" si="10"/>
        <v>-12.039030197254215</v>
      </c>
      <c r="BL11" s="558">
        <f>CZK_DATA!AR9</f>
        <v>-36</v>
      </c>
      <c r="BM11" s="559">
        <f>BL11+BK11</f>
        <v>-48.039030197254213</v>
      </c>
    </row>
    <row r="12" spans="1:65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"CKSOC"&amp;$G$1&amp;" Curncy"</f>
        <v>CKSOC FMDR Curncy</v>
      </c>
      <c r="H12" s="25" t="s">
        <v>49</v>
      </c>
      <c r="I12" s="25"/>
      <c r="J12" s="187">
        <f>IF(G12="","",IF(StaticData.Today=TODAY(),_xll.BDP(G12,"BID"),_xll.BDH(G12,"BID",StaticData.Today,StaticData.Today)))</f>
        <v>0.11</v>
      </c>
      <c r="K12" s="187">
        <f>IF(G12="","",IF(StaticData.Today=TODAY(),_xll.BDP(G12,"ASK"),_xll.BDH(G12,"ASK",StaticData.Today,StaticData.Today)))</f>
        <v>0.14000000000000001</v>
      </c>
      <c r="L12" s="26">
        <f>IF(G12="","",IF(StaticData.Today=TODAY(),_xll.BDP(G12,"LAST_PRICE"),_xll.BDH(G12,"LAST_PRICE",StaticData.Today,StaticData.Today)))</f>
        <v>0.12</v>
      </c>
      <c r="M12" s="27">
        <f t="shared" si="1"/>
        <v>1.1999999999999999E-3</v>
      </c>
      <c r="O12" s="24" t="str">
        <f>"CKFR0BH"&amp;$O$1&amp;" Curncy"</f>
        <v>CKFR0BH CMPN Curncy</v>
      </c>
      <c r="P12" s="25" t="s">
        <v>1071</v>
      </c>
      <c r="Q12" s="31" t="s">
        <v>1071</v>
      </c>
      <c r="R12" s="182">
        <f>IF(O12="","",IF(StaticData.Today=TODAY(),_xll.BDP(O12,"BID"),_xll.BDH(O12,"BID",StaticData.Today,StaticData.Today)))</f>
        <v>0.34</v>
      </c>
      <c r="S12" s="182">
        <f>IF(O12="","",IF(StaticData.Today=TODAY(),_xll.BDP(O12,"ASK"),_xll.BDH(O12,"ASK",StaticData.Today,StaticData.Today)))</f>
        <v>0.4</v>
      </c>
      <c r="T12" s="30">
        <f>IF(O12="","",IF(StaticData.Today=TODAY(),_xll.BDP(O12,"LAST_PRICE"),_xll.BDH(O12,"LAST_PRICE",StaticData.Today,StaticData.Today)))</f>
        <v>0.37</v>
      </c>
      <c r="U12" s="183">
        <f t="shared" ref="U12:U29" si="13">T12/100</f>
        <v>3.7000000000000002E-3</v>
      </c>
      <c r="W12" s="8" t="str">
        <f>"CKFR0CF"&amp;$O$1&amp;" Curncy"</f>
        <v>CKFR0CF CMPN Curncy</v>
      </c>
      <c r="X12" s="8" t="s">
        <v>496</v>
      </c>
      <c r="Y12" s="30">
        <f>IF(T12="","",IF(StaticData.Today=TODAY(),_xll.BDP(W12,"LAST_PRICE"),_xll.BDH(W12,"LAST_PRICE",StaticData.Today,StaticData.Today)))</f>
        <v>0.34499999999999997</v>
      </c>
      <c r="Z12" s="337">
        <f t="shared" si="11"/>
        <v>3.4499999999999999E-3</v>
      </c>
      <c r="AB12" s="24" t="str">
        <f>"CKBSAV4"&amp;$AB$2&amp;" Curncy"</f>
        <v>CKBSAV4 ICPL Curncy</v>
      </c>
      <c r="AC12" s="25" t="s">
        <v>324</v>
      </c>
      <c r="AD12" s="26">
        <f>IF(AB12="","",IF(StaticData.Today=TODAY(),_xll.BDP(AB12,"LAST_PRICE"),_xll.BDH(AB12,"LAST_PRICE",StaticData.Today,StaticData.Today)))</f>
        <v>6</v>
      </c>
      <c r="AE12" s="27">
        <f t="shared" si="12"/>
        <v>5.9999999999999995E-4</v>
      </c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14" t="str">
        <f>"CKEUBS5"&amp;$AL$1&amp;" Curncy"</f>
        <v>CKEUBS5 ICPL Curncy</v>
      </c>
      <c r="AM12" s="25" t="s">
        <v>331</v>
      </c>
      <c r="AN12" s="31"/>
      <c r="AO12" s="29">
        <f>IF(AL12="","",IF(StaticData.Today=TODAY(),_xll.BDP(AL12,"BID"),_xll.BDH(AL12,"BID",StaticData.Today,StaticData.Today)))</f>
        <v>-38</v>
      </c>
      <c r="AP12" s="29">
        <f>IF(AL12="","",IF(StaticData.Today=TODAY(),_xll.BDP(AL12,"ASK"),_xll.BDH(AL12,"ASK",StaticData.Today,StaticData.Today)))</f>
        <v>-28</v>
      </c>
      <c r="AQ12" s="194">
        <f>IF(AL12="","",IF(StaticData.Today=TODAY(),_xll.BDP(AL12,"LAST_PRICE"),_xll.BDH(AL12,"LAST_PRICE",StaticData.Today,StaticData.Today)))</f>
        <v>-33</v>
      </c>
      <c r="AR12" s="195">
        <f t="shared" si="4"/>
        <v>-33</v>
      </c>
      <c r="AT12" s="24" t="str">
        <f t="shared" si="5"/>
        <v>CZK2W CMPN Curncy</v>
      </c>
      <c r="AU12" s="25" t="s">
        <v>313</v>
      </c>
      <c r="AV12" s="28"/>
      <c r="AW12" s="177">
        <f>IF(AT12="","",IF(StaticData.Today=TODAY(),_xll.BDP(AT12,"BID"),_xll.BDH(AT12,"BID",StaticData.Today,StaticData.Today)))</f>
        <v>-2.38</v>
      </c>
      <c r="AX12" s="177">
        <f>IF(AT12="","",IF(StaticData.Today=TODAY(),_xll.BDP(AT12,"ASK"),_xll.BDH(AT12,"ASK",StaticData.Today,StaticData.Today)))</f>
        <v>-0.57999999999999996</v>
      </c>
      <c r="AY12" s="177">
        <f>IF(AT12="","",IF(StaticData.Today=TODAY(),_xll.BDP(AT12,"PX_LAST"),_xll.BDH(AT12,"PX_LAST",StaticData.Today,StaticData.Today)))</f>
        <v>-1.2</v>
      </c>
      <c r="AZ12" s="181">
        <f t="shared" si="6"/>
        <v>-1.2</v>
      </c>
      <c r="BC12" s="390" t="s">
        <v>1350</v>
      </c>
      <c r="BD12" s="516">
        <f>_xll.meDateFromTenor($BD$7,BC12,"MF",$BD$6)</f>
        <v>44998</v>
      </c>
      <c r="BE12" s="517">
        <f t="shared" si="7"/>
        <v>182</v>
      </c>
      <c r="BF12" s="518">
        <f>_xll.meCurveDiscountFactorsForwardStarting($BD$7,BD12,"EURYC","EUR6ML")</f>
        <v>1.0118916715674875</v>
      </c>
      <c r="BG12" s="316">
        <f t="shared" si="8"/>
        <v>2.5547341655570088</v>
      </c>
      <c r="BH12" s="527">
        <f>_xll.meLWOSwapParSpread(_xll.meLWOXccySwapCreateFromGenerator("TEST","EUR_XCCY","PAy",$BD$7,BD12,1,1,"Float","Float",,,,,"USD",TRUE,"LEG2:FLOAT"),$BG$2:$BH$4)</f>
        <v>-12.66495057442733</v>
      </c>
      <c r="BI12" s="316">
        <f>_xll.meCurveDiscountFactorsForwardStarting($BD$7,BD12,"CZKYC","PRB6M")</f>
        <v>0.98587348524230045</v>
      </c>
      <c r="BJ12" s="316">
        <f t="shared" si="9"/>
        <v>2.5178614012862095</v>
      </c>
      <c r="BK12" s="531">
        <f t="shared" si="10"/>
        <v>-12.850422156299796</v>
      </c>
      <c r="BL12" s="532"/>
      <c r="BM12" s="437"/>
    </row>
    <row r="13" spans="1:65" x14ac:dyDescent="0.25">
      <c r="B13" s="21"/>
      <c r="C13" s="22"/>
      <c r="D13" s="22"/>
      <c r="E13" s="22"/>
      <c r="G13" s="24" t="str">
        <f>"CKSOF"&amp;$G$1&amp;" Curncy"</f>
        <v>CKSOF FMDR Curncy</v>
      </c>
      <c r="H13" s="25" t="s">
        <v>46</v>
      </c>
      <c r="I13" s="25"/>
      <c r="J13" s="187">
        <f>IF(G13="","",IF(StaticData.Today=TODAY(),_xll.BDP(G13,"BID"),_xll.BDH(G13,"BID",StaticData.Today,StaticData.Today)))</f>
        <v>0.11</v>
      </c>
      <c r="K13" s="187">
        <f>IF(G13="","",IF(StaticData.Today=TODAY(),_xll.BDP(G13,"ASK"),_xll.BDH(G13,"ASK",StaticData.Today,StaticData.Today)))</f>
        <v>0.14000000000000001</v>
      </c>
      <c r="L13" s="26">
        <f>IF(G13="","",IF(StaticData.Today=TODAY(),_xll.BDP(G13,"LAST_PRICE"),_xll.BDH(G13,"LAST_PRICE",StaticData.Today,StaticData.Today)))</f>
        <v>0.13</v>
      </c>
      <c r="M13" s="27">
        <f t="shared" si="1"/>
        <v>1.2999999999999999E-3</v>
      </c>
      <c r="O13" s="24" t="str">
        <f>"CKFR0CI"&amp;$O$1&amp;" Curncy"</f>
        <v>CKFR0CI CMPN Curncy</v>
      </c>
      <c r="P13" s="25" t="s">
        <v>1072</v>
      </c>
      <c r="Q13" s="31" t="s">
        <v>1072</v>
      </c>
      <c r="R13" s="182">
        <f>IF(O13="","",IF(StaticData.Today=TODAY(),_xll.BDP(O13,"BID"),_xll.BDH(O13,"BID",StaticData.Today,StaticData.Today)))</f>
        <v>0.38</v>
      </c>
      <c r="S13" s="182">
        <f>IF(O13="","",IF(StaticData.Today=TODAY(),_xll.BDP(O13,"ASK"),_xll.BDH(O13,"ASK",StaticData.Today,StaticData.Today)))</f>
        <v>0.42</v>
      </c>
      <c r="T13" s="30">
        <f>IF(O13="","",IF(StaticData.Today=TODAY(),_xll.BDP(O13,"LAST_PRICE"),_xll.BDH(O13,"LAST_PRICE",StaticData.Today,StaticData.Today)))</f>
        <v>0.4</v>
      </c>
      <c r="U13" s="183">
        <f t="shared" si="13"/>
        <v>4.0000000000000001E-3</v>
      </c>
      <c r="W13" s="8" t="str">
        <f>"CKFR0FI"&amp;$O$1&amp;" Curncy"</f>
        <v>CKFR0FI CMPN Curncy</v>
      </c>
      <c r="X13" s="8" t="s">
        <v>497</v>
      </c>
      <c r="Y13" s="30">
        <f>IF(T13="","",IF(StaticData.Today=TODAY(),_xll.BDP(W13,"LAST_PRICE"),_xll.BDH(W13,"LAST_PRICE",StaticData.Today,StaticData.Today)))</f>
        <v>0.35499999999999998</v>
      </c>
      <c r="Z13" s="337">
        <f t="shared" si="11"/>
        <v>3.5499999999999998E-3</v>
      </c>
      <c r="AB13" s="24" t="str">
        <f>"CKBSAV5"&amp;$AB$2&amp;" Curncy"</f>
        <v>CKBSAV5 ICPL Curncy</v>
      </c>
      <c r="AC13" s="25" t="s">
        <v>331</v>
      </c>
      <c r="AD13" s="26">
        <f>IF(AB13="","",IF(StaticData.Today=TODAY(),_xll.BDP(AB13,"LAST_PRICE"),_xll.BDH(AB13,"LAST_PRICE",StaticData.Today,StaticData.Today)))</f>
        <v>5.4</v>
      </c>
      <c r="AE13" s="27">
        <f t="shared" si="12"/>
        <v>5.4000000000000001E-4</v>
      </c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14" t="str">
        <f>"CKEUBS6"&amp;$AL$1&amp;" Curncy"</f>
        <v>CKEUBS6 ICPL Curncy</v>
      </c>
      <c r="AM13" s="25" t="s">
        <v>339</v>
      </c>
      <c r="AN13" s="31"/>
      <c r="AO13" s="29">
        <f>IF(AL13="","",IF(StaticData.Today=TODAY(),_xll.BDP(AL13,"BID"),_xll.BDH(AL13,"BID",StaticData.Today,StaticData.Today)))</f>
        <v>-36.5</v>
      </c>
      <c r="AP13" s="29">
        <f>IF(AL13="","",IF(StaticData.Today=TODAY(),_xll.BDP(AL13,"ASK"),_xll.BDH(AL13,"ASK",StaticData.Today,StaticData.Today)))</f>
        <v>-26.5</v>
      </c>
      <c r="AQ13" s="194">
        <f>IF(AL13="","",IF(StaticData.Today=TODAY(),_xll.BDP(AL13,"LAST_PRICE"),_xll.BDH(AL13,"LAST_PRICE",StaticData.Today,StaticData.Today)))</f>
        <v>-31.5</v>
      </c>
      <c r="AR13" s="195">
        <f t="shared" ref="AR13:AR20" si="14">AQ13</f>
        <v>-31.5</v>
      </c>
      <c r="AT13" s="24" t="str">
        <f t="shared" si="5"/>
        <v>CZK1M CMPN Curncy</v>
      </c>
      <c r="AU13" s="25" t="s">
        <v>300</v>
      </c>
      <c r="AV13" s="31"/>
      <c r="AW13" s="177">
        <f>IF(AT13="","",IF(StaticData.Today=TODAY(),_xll.BDP(AT13,"BID"),_xll.BDH(AT13,"BID",StaticData.Today,StaticData.Today)))</f>
        <v>-7.15</v>
      </c>
      <c r="AX13" s="177">
        <f>IF(AT13="","",IF(StaticData.Today=TODAY(),_xll.BDP(AT13,"ASK"),_xll.BDH(AT13,"ASK",StaticData.Today,StaticData.Today)))</f>
        <v>-3.25</v>
      </c>
      <c r="AY13" s="177">
        <f>IF(AT13="","",IF(StaticData.Today=TODAY(),_xll.BDP(AT13,"LAST_PRICE"),_xll.BDH(AT13,"LAST_PRICE",StaticData.Today,StaticData.Today)))</f>
        <v>-5.2</v>
      </c>
      <c r="AZ13" s="181">
        <f t="shared" si="6"/>
        <v>-5.2</v>
      </c>
      <c r="BC13" s="390" t="s">
        <v>1351</v>
      </c>
      <c r="BD13" s="516">
        <f>_xll.meDateFromTenor($BD$7,BC13,"MF",$BD$6)</f>
        <v>45180</v>
      </c>
      <c r="BE13" s="517">
        <f t="shared" si="7"/>
        <v>182</v>
      </c>
      <c r="BF13" s="518">
        <f>_xll.meCurveDiscountFactorsForwardStarting($BD$7,BD13,"EURYC","EUR6ML")</f>
        <v>1.0141812205868401</v>
      </c>
      <c r="BG13" s="316">
        <f t="shared" si="8"/>
        <v>3.0674591159648004</v>
      </c>
      <c r="BH13" s="527">
        <f>_xll.meLWOSwapParSpread(_xll.meLWOXccySwapCreateFromGenerator("TEST","EUR_XCCY","PAy",$BD$7,BD13,1,1,"Float","Float",,,,,"USD",TRUE,"LEG2:FLOAT"),$BG$2:$BH$4)</f>
        <v>-12.750000000101478</v>
      </c>
      <c r="BI13" s="316">
        <f>_xll.meCurveDiscountFactorsForwardStarting($BD$7,BD13,"CZKYC","PRB6M")</f>
        <v>0.98166401185831875</v>
      </c>
      <c r="BJ13" s="316">
        <f t="shared" si="9"/>
        <v>3.0141470961701371</v>
      </c>
      <c r="BK13" s="531">
        <f t="shared" si="10"/>
        <v>-12.975512634588046</v>
      </c>
      <c r="BL13" s="532">
        <f>CZK_DATA!AR10</f>
        <v>-36</v>
      </c>
      <c r="BM13" s="437">
        <f>BL13+BK13</f>
        <v>-48.975512634588043</v>
      </c>
    </row>
    <row r="14" spans="1:65" x14ac:dyDescent="0.25">
      <c r="B14" s="21"/>
      <c r="C14" s="22"/>
      <c r="D14" s="22"/>
      <c r="E14" s="22"/>
      <c r="G14" s="24" t="str">
        <f>"CKSOI"&amp;$G$1&amp;" Curncy"</f>
        <v>CKSOI FMDR Curncy</v>
      </c>
      <c r="H14" s="25" t="s">
        <v>376</v>
      </c>
      <c r="I14" s="25"/>
      <c r="J14" s="187">
        <f>IF(G14="","",IF(StaticData.Today=TODAY(),_xll.BDP(G14,"BID"),_xll.BDH(G14,"BID",StaticData.Today,StaticData.Today)))</f>
        <v>0.12</v>
      </c>
      <c r="K14" s="187">
        <f>IF(G14="","",IF(StaticData.Today=TODAY(),_xll.BDP(G14,"ASK"),_xll.BDH(G14,"ASK",StaticData.Today,StaticData.Today)))</f>
        <v>0.15</v>
      </c>
      <c r="L14" s="26">
        <f>IF(G14="","",IF(StaticData.Today=TODAY(),_xll.BDP(G14,"LAST_PRICE"),_xll.BDH(G14,"LAST_PRICE",StaticData.Today,StaticData.Today)))</f>
        <v>0.14000000000000001</v>
      </c>
      <c r="M14" s="27">
        <f t="shared" si="1"/>
        <v>1.4000000000000002E-3</v>
      </c>
      <c r="O14" s="24" t="str">
        <f>"CKFR0DJ"&amp;$O$1&amp;" Curncy"</f>
        <v>CKFR0DJ CMPN Curncy</v>
      </c>
      <c r="P14" s="25" t="s">
        <v>1073</v>
      </c>
      <c r="Q14" s="31" t="s">
        <v>1073</v>
      </c>
      <c r="R14" s="182">
        <f>IF(O14="","",IF(StaticData.Today=TODAY(),_xll.BDP(O14,"BID"),_xll.BDH(O14,"BID",StaticData.Today,StaticData.Today)))</f>
        <v>0.36</v>
      </c>
      <c r="S14" s="182">
        <f>IF(O14="","",IF(StaticData.Today=TODAY(),_xll.BDP(O14,"ASK"),_xll.BDH(O14,"ASK",StaticData.Today,StaticData.Today)))</f>
        <v>0.42</v>
      </c>
      <c r="T14" s="30">
        <f>IF(O14="","",IF(StaticData.Today=TODAY(),_xll.BDP(O14,"LAST_PRICE"),_xll.BDH(O14,"LAST_PRICE",StaticData.Today,StaticData.Today)))</f>
        <v>0.39</v>
      </c>
      <c r="U14" s="183">
        <f t="shared" si="13"/>
        <v>3.9000000000000003E-3</v>
      </c>
      <c r="W14" s="8" t="str">
        <f>"CKFR0I1"&amp;$O$1&amp;" Curncy"</f>
        <v>CKFR0I1 CMPN Curncy</v>
      </c>
      <c r="X14" s="8" t="s">
        <v>498</v>
      </c>
      <c r="Y14" s="30">
        <f>IF(T14="","",IF(StaticData.Today=TODAY(),_xll.BDP(W14,"LAST_PRICE"),_xll.BDH(W14,"LAST_PRICE",StaticData.Today,StaticData.Today)))</f>
        <v>0.40500000000000003</v>
      </c>
      <c r="Z14" s="337">
        <f t="shared" si="11"/>
        <v>4.0500000000000006E-3</v>
      </c>
      <c r="AB14" s="24" t="str">
        <f>"CKBSAV6"&amp;$AB$2&amp;" Curncy"</f>
        <v>CKBSAV6 ICPL Curncy</v>
      </c>
      <c r="AC14" s="25" t="s">
        <v>339</v>
      </c>
      <c r="AD14" s="26">
        <f>IF(AB14="","",IF(StaticData.Today=TODAY(),_xll.BDP(AB14,"LAST_PRICE"),_xll.BDH(AB14,"LAST_PRICE",StaticData.Today,StaticData.Today)))</f>
        <v>5</v>
      </c>
      <c r="AE14" s="27">
        <f t="shared" si="12"/>
        <v>5.0000000000000001E-4</v>
      </c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14" t="str">
        <f>"CKEUBS7"&amp;$AL$1&amp;" Curncy"</f>
        <v>CKEUBS7 ICPL Curncy</v>
      </c>
      <c r="AM14" s="25" t="s">
        <v>342</v>
      </c>
      <c r="AN14" s="31"/>
      <c r="AO14" s="29">
        <f>IF(AL14="","",IF(StaticData.Today=TODAY(),_xll.BDP(AL14,"BID"),_xll.BDH(AL14,"BID",StaticData.Today,StaticData.Today)))</f>
        <v>-35.5</v>
      </c>
      <c r="AP14" s="29">
        <f>IF(AL14="","",IF(StaticData.Today=TODAY(),_xll.BDP(AL14,"ASK"),_xll.BDH(AL14,"ASK",StaticData.Today,StaticData.Today)))</f>
        <v>-25.5</v>
      </c>
      <c r="AQ14" s="194">
        <f>IF(AL14="","",IF(StaticData.Today=TODAY(),_xll.BDP(AL14,"LAST_PRICE"),_xll.BDH(AL14,"LAST_PRICE",StaticData.Today,StaticData.Today)))</f>
        <v>-30.5</v>
      </c>
      <c r="AR14" s="195">
        <f t="shared" si="14"/>
        <v>-30.5</v>
      </c>
      <c r="AT14" s="24" t="str">
        <f t="shared" si="5"/>
        <v>CZK2M CMPN Curncy</v>
      </c>
      <c r="AU14" s="25" t="s">
        <v>335</v>
      </c>
      <c r="AV14" s="31"/>
      <c r="AW14" s="177">
        <f>IF(AT14="","",IF(StaticData.Today=TODAY(),_xll.BDP(AT14,"BID"),_xll.BDH(AT14,"BID",StaticData.Today,StaticData.Today)))</f>
        <v>-10.5</v>
      </c>
      <c r="AX14" s="177">
        <f>IF(AT14="","",IF(StaticData.Today=TODAY(),_xll.BDP(AT14,"ASK"),_xll.BDH(AT14,"ASK",StaticData.Today,StaticData.Today)))</f>
        <v>-6</v>
      </c>
      <c r="AY14" s="177">
        <f>IF(AT14="","",IF(StaticData.Today=TODAY(),_xll.BDP(AT14,"LAST_PRICE"),_xll.BDH(AT14,"LAST_PRICE",StaticData.Today,StaticData.Today)))</f>
        <v>-8.25</v>
      </c>
      <c r="AZ14" s="181">
        <f t="shared" ref="AZ14:AZ26" si="15">AY14</f>
        <v>-8.25</v>
      </c>
      <c r="BC14" s="390" t="s">
        <v>1352</v>
      </c>
      <c r="BD14" s="516">
        <f>_xll.meDateFromTenor($BD$7,BC14,"MF",$BD$6)</f>
        <v>45362</v>
      </c>
      <c r="BE14" s="517">
        <f t="shared" si="7"/>
        <v>182</v>
      </c>
      <c r="BF14" s="518">
        <f>_xll.meCurveDiscountFactorsForwardStarting($BD$7,BD14,"EURYC","EUR6ML")</f>
        <v>1.0162663913577592</v>
      </c>
      <c r="BG14" s="316">
        <f t="shared" si="8"/>
        <v>3.5812382360401118</v>
      </c>
      <c r="BH14" s="527">
        <f>_xll.meLWOSwapParSpread(_xll.meLWOXccySwapCreateFromGenerator("TEST","EUR_XCCY","PAy",$BD$7,BD14,1,1,"Float","Float",,,,,"USD",TRUE,"LEG2:FLOAT"),$BG$2:$BH$4)</f>
        <v>-13.245152633141624</v>
      </c>
      <c r="BI14" s="316">
        <f>_xll.meCurveDiscountFactorsForwardStarting($BD$7,BD14,"CZKYC","PRB6M")</f>
        <v>0.97693656669534523</v>
      </c>
      <c r="BJ14" s="316">
        <f t="shared" si="9"/>
        <v>3.5080428048883396</v>
      </c>
      <c r="BK14" s="531">
        <f t="shared" si="10"/>
        <v>-13.521513188464063</v>
      </c>
      <c r="BL14" s="532"/>
      <c r="BM14" s="437"/>
    </row>
    <row r="15" spans="1:65" x14ac:dyDescent="0.25">
      <c r="B15" s="21"/>
      <c r="C15" s="22"/>
      <c r="D15" s="22"/>
      <c r="E15" s="22"/>
      <c r="G15" s="24" t="str">
        <f>"CKSO1"&amp;$G$1&amp;" Curncy"</f>
        <v>CKSO1 FMDR Curncy</v>
      </c>
      <c r="H15" s="25" t="s">
        <v>47</v>
      </c>
      <c r="I15" s="25"/>
      <c r="J15" s="187">
        <f>IF(G15="","",IF(StaticData.Today=TODAY(),_xll.BDP(G15,"BID"),_xll.BDH(G15,"BID",StaticData.Today,StaticData.Today)))</f>
        <v>0.13</v>
      </c>
      <c r="K15" s="187">
        <f>IF(G15="","",IF(StaticData.Today=TODAY(),_xll.BDP(G15,"ASK"),_xll.BDH(G15,"ASK",StaticData.Today,StaticData.Today)))</f>
        <v>0.16</v>
      </c>
      <c r="L15" s="26">
        <f>IF(G15="","",IF(StaticData.Today=TODAY(),_xll.BDP(G15,"LAST_PRICE"),_xll.BDH(G15,"LAST_PRICE",StaticData.Today,StaticData.Today)))</f>
        <v>0.15</v>
      </c>
      <c r="M15" s="27">
        <f>L15/100</f>
        <v>1.5E-3</v>
      </c>
      <c r="O15" s="24" t="str">
        <f>"CKFR0EK"&amp;$O$1&amp;" Curncy"</f>
        <v>CKFR0EK CMPN Curncy</v>
      </c>
      <c r="P15" s="25" t="s">
        <v>1074</v>
      </c>
      <c r="Q15" s="31" t="s">
        <v>1074</v>
      </c>
      <c r="R15" s="182">
        <f>IF(O15="","",IF(StaticData.Today=TODAY(),_xll.BDP(O15,"BID"),_xll.BDH(O15,"BID",StaticData.Today,StaticData.Today)))</f>
        <v>0.373</v>
      </c>
      <c r="S15" s="182">
        <f>IF(O15="","",IF(StaticData.Today=TODAY(),_xll.BDP(O15,"ASK"),_xll.BDH(O15,"ASK",StaticData.Today,StaticData.Today)))</f>
        <v>0.433</v>
      </c>
      <c r="T15" s="30">
        <f>IF(O15="","",IF(StaticData.Today=TODAY(),_xll.BDP(O15,"LAST_PRICE"),_xll.BDH(O15,"LAST_PRICE",StaticData.Today,StaticData.Today)))</f>
        <v>0.40300000000000002</v>
      </c>
      <c r="U15" s="183">
        <f t="shared" si="13"/>
        <v>4.0300000000000006E-3</v>
      </c>
      <c r="W15" s="14" t="str">
        <f>"CKBSV1"&amp;$W$2&amp;" Curncy"</f>
        <v>CKBSV1 ICPL Curncy</v>
      </c>
      <c r="X15" s="15" t="s">
        <v>47</v>
      </c>
      <c r="Y15" s="190">
        <f>IF(W15="","",IF(StaticData.Today=TODAY(),_xll.BDP(W15,"LAST_PRICE"),_xll.BDH(W15,"LAST_PRICE",StaticData.Today,StaticData.Today)))</f>
        <v>2.5</v>
      </c>
      <c r="Z15" s="337">
        <f>Y15/10000</f>
        <v>2.5000000000000001E-4</v>
      </c>
      <c r="AB15" s="24" t="str">
        <f>"CKBSAV7"&amp;$AB$2&amp;" Curncy"</f>
        <v>CKBSAV7 ICPL Curncy</v>
      </c>
      <c r="AC15" s="25" t="s">
        <v>342</v>
      </c>
      <c r="AD15" s="26">
        <f>IF(AB15="","",IF(StaticData.Today=TODAY(),_xll.BDP(AB15,"LAST_PRICE"),_xll.BDH(AB15,"LAST_PRICE",StaticData.Today,StaticData.Today)))</f>
        <v>4.75</v>
      </c>
      <c r="AE15" s="27">
        <f t="shared" si="12"/>
        <v>4.75E-4</v>
      </c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14" t="str">
        <f>"CKEUBS8"&amp;$AL$1&amp;" Curncy"</f>
        <v>CKEUBS8 ICPL Curncy</v>
      </c>
      <c r="AM15" s="25" t="s">
        <v>355</v>
      </c>
      <c r="AN15" s="31"/>
      <c r="AO15" s="29">
        <f>IF(AL15="","",IF(StaticData.Today=TODAY(),_xll.BDP(AL15,"BID"),_xll.BDH(AL15,"BID",StaticData.Today,StaticData.Today)))</f>
        <v>-34.5</v>
      </c>
      <c r="AP15" s="29">
        <f>IF(AL15="","",IF(StaticData.Today=TODAY(),_xll.BDP(AL15,"ASK"),_xll.BDH(AL15,"ASK",StaticData.Today,StaticData.Today)))</f>
        <v>-24.5</v>
      </c>
      <c r="AQ15" s="194">
        <f>IF(AL15="","",IF(StaticData.Today=TODAY(),_xll.BDP(AL15,"LAST_PRICE"),_xll.BDH(AL15,"LAST_PRICE",StaticData.Today,StaticData.Today)))</f>
        <v>-29.5</v>
      </c>
      <c r="AR15" s="195">
        <f t="shared" si="14"/>
        <v>-29.5</v>
      </c>
      <c r="AT15" s="24" t="str">
        <f t="shared" si="5"/>
        <v>CZK3M CMPN Curncy</v>
      </c>
      <c r="AU15" s="25" t="s">
        <v>49</v>
      </c>
      <c r="AV15" s="31"/>
      <c r="AW15" s="177">
        <f>IF(AT15="","",IF(StaticData.Today=TODAY(),_xll.BDP(AT15,"BID"),_xll.BDH(AT15,"BID",StaticData.Today,StaticData.Today)))</f>
        <v>-15.5</v>
      </c>
      <c r="AX15" s="177">
        <f>IF(AT15="","",IF(StaticData.Today=TODAY(),_xll.BDP(AT15,"ASK"),_xll.BDH(AT15,"ASK",StaticData.Today,StaticData.Today)))</f>
        <v>-7.24</v>
      </c>
      <c r="AY15" s="177">
        <f>IF(AT15="","",IF(StaticData.Today=TODAY(),_xll.BDP(AT15,"LAST_PRICE"),_xll.BDH(AT15,"LAST_PRICE",StaticData.Today,StaticData.Today)))</f>
        <v>-13.24</v>
      </c>
      <c r="AZ15" s="181">
        <f t="shared" si="15"/>
        <v>-13.24</v>
      </c>
      <c r="BC15" s="390" t="s">
        <v>1353</v>
      </c>
      <c r="BD15" s="516">
        <f>_xll.meDateFromTenor($BD$7,BC15,"MF",$BD$6)</f>
        <v>45546</v>
      </c>
      <c r="BE15" s="517">
        <f t="shared" si="7"/>
        <v>184</v>
      </c>
      <c r="BF15" s="518">
        <f>_xll.meCurveDiscountFactorsForwardStarting($BD$7,BD15,"EURYC","EUR6ML")</f>
        <v>1.0181802256229373</v>
      </c>
      <c r="BG15" s="316">
        <f t="shared" si="8"/>
        <v>4.1016414624696136</v>
      </c>
      <c r="BH15" s="527">
        <f>_xll.meLWOSwapParSpread(_xll.meLWOXccySwapCreateFromGenerator("TEST","EUR_XCCY","PAy",$BD$7,BD15,1,1,"Float","Float",,,,,"USD",TRUE,"LEG2:FLOAT"),$BG$2:$BH$4)</f>
        <v>-13.874999998609798</v>
      </c>
      <c r="BI15" s="316">
        <f>_xll.meCurveDiscountFactorsForwardStarting($BD$7,BD15,"CZKYC","PRB6M")</f>
        <v>0.97166579262293973</v>
      </c>
      <c r="BJ15" s="316">
        <f t="shared" si="9"/>
        <v>4.0046719877845085</v>
      </c>
      <c r="BK15" s="531">
        <f t="shared" si="10"/>
        <v>-14.210970451427174</v>
      </c>
      <c r="BL15" s="532">
        <f>CZK_DATA!AR11</f>
        <v>-35</v>
      </c>
      <c r="BM15" s="437">
        <f>BL15+BK15</f>
        <v>-49.210970451427173</v>
      </c>
    </row>
    <row r="16" spans="1:65" x14ac:dyDescent="0.25">
      <c r="B16" s="21"/>
      <c r="C16" s="22"/>
      <c r="D16" s="22"/>
      <c r="E16" s="22"/>
      <c r="G16" s="344" t="s">
        <v>927</v>
      </c>
      <c r="H16" s="345" t="s">
        <v>47</v>
      </c>
      <c r="I16" s="345"/>
      <c r="J16" s="346"/>
      <c r="K16" s="346"/>
      <c r="L16" s="347"/>
      <c r="M16" s="348">
        <f>M15-EUR_DATA!M15</f>
        <v>6.6E-3</v>
      </c>
      <c r="N16" t="s">
        <v>567</v>
      </c>
      <c r="O16" s="24" t="str">
        <f>"CKFR0F1"&amp;$O$1&amp;" Curncy"</f>
        <v>CKFR0F1 CMPN Curncy</v>
      </c>
      <c r="P16" s="25" t="s">
        <v>1075</v>
      </c>
      <c r="Q16" s="31" t="s">
        <v>1075</v>
      </c>
      <c r="R16" s="182">
        <f>IF(O16="","",IF(StaticData.Today=TODAY(),_xll.BDP(O16,"BID"),_xll.BDH(O16,"BID",StaticData.Today,StaticData.Today)))</f>
        <v>0.375</v>
      </c>
      <c r="S16" s="182">
        <f>IF(O16="","",IF(StaticData.Today=TODAY(),_xll.BDP(O16,"ASK"),_xll.BDH(O16,"ASK",StaticData.Today,StaticData.Today)))</f>
        <v>0.435</v>
      </c>
      <c r="T16" s="30">
        <f>IF(O16="","",IF(StaticData.Today=TODAY(),_xll.BDP(O16,"LAST_PRICE"),_xll.BDH(O16,"LAST_PRICE",StaticData.Today,StaticData.Today)))</f>
        <v>0.40500000000000003</v>
      </c>
      <c r="U16" s="183">
        <f t="shared" ref="U16" si="16">T16/100</f>
        <v>4.0500000000000006E-3</v>
      </c>
      <c r="W16" s="24" t="str">
        <f>"CKBSV2"&amp;$W$2&amp;" Curncy"</f>
        <v>CKBSV2 ICPL Curncy</v>
      </c>
      <c r="X16" s="25" t="s">
        <v>308</v>
      </c>
      <c r="Y16" s="191">
        <f>IF(W16="","",IF(StaticData.Today=TODAY(),_xll.BDP(W16,"LAST_PRICE"),_xll.BDH(W16,"LAST_PRICE",StaticData.Today,StaticData.Today)))</f>
        <v>4</v>
      </c>
      <c r="Z16" s="338">
        <f>Y16/10000</f>
        <v>4.0000000000000002E-4</v>
      </c>
      <c r="AB16" s="24" t="str">
        <f>"CKBSAV8"&amp;$AB$2&amp;" Curncy"</f>
        <v>CKBSAV8 ICPL Curncy</v>
      </c>
      <c r="AC16" s="25" t="s">
        <v>355</v>
      </c>
      <c r="AD16" s="26">
        <f>IF(AB16="","",IF(StaticData.Today=TODAY(),_xll.BDP(AB16,"LAST_PRICE"),_xll.BDH(AB16,"LAST_PRICE",StaticData.Today,StaticData.Today)))</f>
        <v>4.55</v>
      </c>
      <c r="AE16" s="27">
        <f t="shared" si="12"/>
        <v>4.55E-4</v>
      </c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14" t="str">
        <f>"CKEUBS9"&amp;$AL$1&amp;" Curncy"</f>
        <v>CKEUBS9 ICPL Curncy</v>
      </c>
      <c r="AM16" s="25" t="s">
        <v>364</v>
      </c>
      <c r="AN16" s="31"/>
      <c r="AO16" s="29">
        <f>IF(AL16="","",IF(StaticData.Today=TODAY(),_xll.BDP(AL16,"BID"),_xll.BDH(AL16,"BID",StaticData.Today,StaticData.Today)))</f>
        <v>-34</v>
      </c>
      <c r="AP16" s="29">
        <f>IF(AL16="","",IF(StaticData.Today=TODAY(),_xll.BDP(AL16,"ASK"),_xll.BDH(AL16,"ASK",StaticData.Today,StaticData.Today)))</f>
        <v>-24</v>
      </c>
      <c r="AQ16" s="194">
        <f>IF(AL16="","",IF(StaticData.Today=TODAY(),_xll.BDP(AL16,"LAST_PRICE"),_xll.BDH(AL16,"LAST_PRICE",StaticData.Today,StaticData.Today)))</f>
        <v>-29</v>
      </c>
      <c r="AR16" s="195">
        <f t="shared" si="14"/>
        <v>-29</v>
      </c>
      <c r="AT16" s="24" t="str">
        <f t="shared" si="5"/>
        <v>CZK4M CMPN Curncy</v>
      </c>
      <c r="AU16" s="25" t="s">
        <v>351</v>
      </c>
      <c r="AV16" s="31"/>
      <c r="AW16" s="177">
        <f>IF(AT16="","",IF(StaticData.Today=TODAY(),_xll.BDP(AT16,"BID"),_xll.BDH(AT16,"BID",StaticData.Today,StaticData.Today)))</f>
        <v>-45</v>
      </c>
      <c r="AX16" s="177">
        <f>IF(AT16="","",IF(StaticData.Today=TODAY(),_xll.BDP(AT16,"ASK"),_xll.BDH(AT16,"ASK",StaticData.Today,StaticData.Today)))</f>
        <v>-30</v>
      </c>
      <c r="AY16" s="177">
        <f>IF(AT16="","",IF(StaticData.Today=TODAY(),_xll.BDP(AT16,"LAST_PRICE"),_xll.BDH(AT16,"LAST_PRICE",StaticData.Today,StaticData.Today)))</f>
        <v>-37.5</v>
      </c>
      <c r="AZ16" s="181">
        <f t="shared" ref="AZ16:AZ17" si="17">AY16</f>
        <v>-37.5</v>
      </c>
      <c r="BC16" s="390" t="s">
        <v>1354</v>
      </c>
      <c r="BD16" s="516">
        <f>_xll.meDateFromTenor($BD$7,BC16,"MF",$BD$6)</f>
        <v>45727</v>
      </c>
      <c r="BE16" s="517">
        <f t="shared" si="7"/>
        <v>181</v>
      </c>
      <c r="BF16" s="518">
        <f>_xll.meCurveDiscountFactorsForwardStarting($BD$7,BD16,"EURYC","EUR6ML")</f>
        <v>1.0199062528845004</v>
      </c>
      <c r="BG16" s="316">
        <f t="shared" si="8"/>
        <v>4.614427661836543</v>
      </c>
      <c r="BH16" s="527">
        <f>_xll.meLWOSwapParSpread(_xll.meLWOXccySwapCreateFromGenerator("TEST","EUR_XCCY","PAy",$BD$7,BD16,1,1,"Float","Float",,,,,"USD",TRUE,"LEG2:FLOAT"),$BG$2:$BH$4)</f>
        <v>-14.476443722283964</v>
      </c>
      <c r="BI16" s="316">
        <f>_xll.meCurveDiscountFactorsForwardStarting($BD$7,BD16,"CZKYC","PRB6M")</f>
        <v>0.9661299505005887</v>
      </c>
      <c r="BJ16" s="316">
        <f t="shared" si="9"/>
        <v>4.4904206573417493</v>
      </c>
      <c r="BK16" s="531">
        <f t="shared" si="10"/>
        <v>-14.876223733718485</v>
      </c>
      <c r="BL16" s="532"/>
      <c r="BM16" s="437"/>
    </row>
    <row r="17" spans="2:65" x14ac:dyDescent="0.25">
      <c r="B17" s="34"/>
      <c r="C17" s="35"/>
      <c r="D17" s="35"/>
      <c r="E17" s="35"/>
      <c r="G17" s="349" t="s">
        <v>928</v>
      </c>
      <c r="H17" s="25" t="s">
        <v>308</v>
      </c>
      <c r="I17" s="25"/>
      <c r="J17" s="187"/>
      <c r="K17" s="187"/>
      <c r="L17" s="26"/>
      <c r="M17" s="27">
        <f>EUR_DATA!M17+CZK_DATA!$M$16</f>
        <v>1.2299999999999993E-3</v>
      </c>
      <c r="O17" s="24" t="str">
        <f>"CKSW1"&amp;$O$2&amp;" Curncy"</f>
        <v>CKSW1 BGN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0.34240999999999999</v>
      </c>
      <c r="S17" s="182">
        <f>IF(O17="","",IF(StaticData.Today=TODAY(),_xll.BDP(O17,"ASK"),_xll.BDH(O17,"ASK",StaticData.Today,StaticData.Today)))</f>
        <v>0.38258999999999999</v>
      </c>
      <c r="T17" s="30">
        <f>IF(O17="","",IF(StaticData.Today=TODAY(),_xll.BDP(O17,"LAST_PRICE"),_xll.BDH(O17,"LAST_PRICE",StaticData.Today,StaticData.Today)))</f>
        <v>0.36249999999999999</v>
      </c>
      <c r="U17" s="183">
        <f t="shared" si="13"/>
        <v>3.6249999999999998E-3</v>
      </c>
      <c r="W17" s="24" t="str">
        <f>"CKBSV3"&amp;$W$2&amp;" Curncy"</f>
        <v>CKBSV3 ICPL Curncy</v>
      </c>
      <c r="X17" s="25" t="s">
        <v>316</v>
      </c>
      <c r="Y17" s="191">
        <f>IF(W17="","",IF(StaticData.Today=TODAY(),_xll.BDP(W17,"LAST_PRICE"),_xll.BDH(W17,"LAST_PRICE",StaticData.Today,StaticData.Today)))</f>
        <v>4.75</v>
      </c>
      <c r="Z17" s="338">
        <f t="shared" ref="Z17:Z27" si="18">Y17/10000</f>
        <v>4.75E-4</v>
      </c>
      <c r="AB17" s="24" t="str">
        <f>"CKBSAV9"&amp;$AB$2&amp;" Curncy"</f>
        <v>CKBSAV9 ICPL Curncy</v>
      </c>
      <c r="AC17" s="25" t="s">
        <v>364</v>
      </c>
      <c r="AD17" s="26">
        <f>IF(AB17="","",IF(StaticData.Today=TODAY(),_xll.BDP(AB17,"LAST_PRICE"),_xll.BDH(AB17,"LAST_PRICE",StaticData.Today,StaticData.Today)))</f>
        <v>4.3499999999999996</v>
      </c>
      <c r="AE17" s="27">
        <f t="shared" si="12"/>
        <v>4.3499999999999995E-4</v>
      </c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14" t="str">
        <f>"CKEUBS10"&amp;$AL$1&amp;" Curncy"</f>
        <v>CKEUBS10 ICPL Curncy</v>
      </c>
      <c r="AM17" s="25" t="s">
        <v>349</v>
      </c>
      <c r="AN17" s="31"/>
      <c r="AO17" s="29">
        <f>IF(AL17="","",IF(StaticData.Today=TODAY(),_xll.BDP(AL17,"BID"),_xll.BDH(AL17,"BID",StaticData.Today,StaticData.Today)))</f>
        <v>-33.5</v>
      </c>
      <c r="AP17" s="29">
        <f>IF(AL17="","",IF(StaticData.Today=TODAY(),_xll.BDP(AL17,"ASK"),_xll.BDH(AL17,"ASK",StaticData.Today,StaticData.Today)))</f>
        <v>-23.5</v>
      </c>
      <c r="AQ17" s="194">
        <f>IF(AL17="","",IF(StaticData.Today=TODAY(),_xll.BDP(AL17,"LAST_PRICE"),_xll.BDH(AL17,"LAST_PRICE",StaticData.Today,StaticData.Today)))</f>
        <v>-28.5</v>
      </c>
      <c r="AR17" s="195">
        <f t="shared" si="14"/>
        <v>-28.5</v>
      </c>
      <c r="AT17" s="24" t="str">
        <f t="shared" si="5"/>
        <v>CZK5M CMPN Curncy</v>
      </c>
      <c r="AU17" s="25" t="s">
        <v>360</v>
      </c>
      <c r="AV17" s="31"/>
      <c r="AW17" s="177">
        <f>IF(AT17="","",IF(StaticData.Today=TODAY(),_xll.BDP(AT17,"BID"),_xll.BDH(AT17,"BID",StaticData.Today,StaticData.Today)))</f>
        <v>-47.5</v>
      </c>
      <c r="AX17" s="177">
        <f>IF(AT17="","",IF(StaticData.Today=TODAY(),_xll.BDP(AT17,"ASK"),_xll.BDH(AT17,"ASK",StaticData.Today,StaticData.Today)))</f>
        <v>-32.5</v>
      </c>
      <c r="AY17" s="177">
        <f>IF(AT17="","",IF(StaticData.Today=TODAY(),_xll.BDP(AT17,"LAST_PRICE"),_xll.BDH(AT17,"LAST_PRICE",StaticData.Today,StaticData.Today)))</f>
        <v>-40</v>
      </c>
      <c r="AZ17" s="181">
        <f t="shared" si="17"/>
        <v>-40</v>
      </c>
      <c r="BC17" s="563" t="s">
        <v>1355</v>
      </c>
      <c r="BD17" s="553">
        <f>_xll.meDateFromTenor($BD$7,BC17,"MF",$BD$6)</f>
        <v>45911</v>
      </c>
      <c r="BE17" s="564">
        <f t="shared" si="7"/>
        <v>184</v>
      </c>
      <c r="BF17" s="555">
        <f>_xll.meCurveDiscountFactorsForwardStarting($BD$7,BD17,"EURYC","EUR6ML")</f>
        <v>1.0214532542279098</v>
      </c>
      <c r="BG17" s="556">
        <f t="shared" si="8"/>
        <v>5.1365037695530305</v>
      </c>
      <c r="BH17" s="527">
        <f>_xll.meLWOSwapParSpread(_xll.meLWOXccySwapCreateFromGenerator("TEST","EUR_XCCY","PAy",$BD$7,BD17,1,1,"Float","Float",,,,,"USD",TRUE,"LEG2:FLOAT"),$BG$2:$BH$4)</f>
        <v>-15.124999999334676</v>
      </c>
      <c r="BI17" s="316">
        <f>_xll.meCurveDiscountFactorsForwardStarting($BD$7,BD17,"CZKYC","PRB6M")</f>
        <v>0.96032831877684721</v>
      </c>
      <c r="BJ17" s="556">
        <f t="shared" si="9"/>
        <v>4.9812551313832492</v>
      </c>
      <c r="BK17" s="565">
        <f t="shared" si="10"/>
        <v>-15.596394374904955</v>
      </c>
      <c r="BL17" s="566">
        <f>CZK_DATA!AR12</f>
        <v>-33</v>
      </c>
      <c r="BM17" s="567">
        <f>BL17+BK17</f>
        <v>-48.596394374904953</v>
      </c>
    </row>
    <row r="18" spans="2:65" x14ac:dyDescent="0.25">
      <c r="B18" s="36"/>
      <c r="C18" s="36"/>
      <c r="D18" s="36"/>
      <c r="E18" s="36"/>
      <c r="G18" s="349" t="s">
        <v>928</v>
      </c>
      <c r="H18" s="25" t="s">
        <v>316</v>
      </c>
      <c r="I18" s="25"/>
      <c r="J18" s="187"/>
      <c r="K18" s="187"/>
      <c r="L18" s="26"/>
      <c r="M18" s="27">
        <f>EUR_DATA!M18+CZK_DATA!$M$16</f>
        <v>1.1399999999999995E-3</v>
      </c>
      <c r="O18" s="24" t="str">
        <f>"CKSW2"&amp;$O$2&amp;" Curncy"</f>
        <v>CKSW2 BGN Curncy</v>
      </c>
      <c r="P18" s="25" t="s">
        <v>308</v>
      </c>
      <c r="Q18" s="31"/>
      <c r="R18" s="182">
        <f>IF(O18="","",IF(StaticData.Today=TODAY(),_xll.BDP(O18,"BID"),_xll.BDH(O18,"BID",StaticData.Today,StaticData.Today)))</f>
        <v>0.48354999999999998</v>
      </c>
      <c r="S18" s="182">
        <f>IF(O18="","",IF(StaticData.Today=TODAY(),_xll.BDP(O18,"ASK"),_xll.BDH(O18,"ASK",StaticData.Today,StaticData.Today)))</f>
        <v>0.52144999999999997</v>
      </c>
      <c r="T18" s="30">
        <f>IF(O18="","",IF(StaticData.Today=TODAY(),_xll.BDP(O18,"LAST_PRICE"),_xll.BDH(O18,"LAST_PRICE",StaticData.Today,StaticData.Today)))</f>
        <v>0.50249999999999995</v>
      </c>
      <c r="U18" s="183">
        <f t="shared" si="13"/>
        <v>5.0249999999999991E-3</v>
      </c>
      <c r="W18" s="24" t="str">
        <f>"CKBSV4"&amp;$W$2&amp;" Curncy"</f>
        <v>CKBSV4 ICPL Curncy</v>
      </c>
      <c r="X18" s="25" t="s">
        <v>324</v>
      </c>
      <c r="Y18" s="191">
        <f>IF(W18="","",IF(StaticData.Today=TODAY(),_xll.BDP(W18,"LAST_PRICE"),_xll.BDH(W18,"LAST_PRICE",StaticData.Today,StaticData.Today)))</f>
        <v>5.75</v>
      </c>
      <c r="Z18" s="338">
        <f t="shared" si="18"/>
        <v>5.7499999999999999E-4</v>
      </c>
      <c r="AB18" s="24" t="str">
        <f>"CKBSAV10"&amp;$AB$2&amp;" Curncy"</f>
        <v>CKBSAV10 ICPL Curncy</v>
      </c>
      <c r="AC18" s="25" t="s">
        <v>349</v>
      </c>
      <c r="AD18" s="26">
        <f>IF(AB18="","",IF(StaticData.Today=TODAY(),_xll.BDP(AB18,"LAST_PRICE"),_xll.BDH(AB18,"LAST_PRICE",StaticData.Today,StaticData.Today)))</f>
        <v>4.25</v>
      </c>
      <c r="AE18" s="27">
        <f t="shared" si="12"/>
        <v>4.2499999999999998E-4</v>
      </c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14" t="str">
        <f>"CKEUBS12"&amp;$AL$1&amp;" Curncy"</f>
        <v>CKEUBS12 ICPL Curncy</v>
      </c>
      <c r="AM18" s="25" t="s">
        <v>358</v>
      </c>
      <c r="AN18" s="31"/>
      <c r="AO18" s="29">
        <f>IF(AL18="","",IF(StaticData.Today=TODAY(),_xll.BDP(AL18,"BID"),_xll.BDH(AL18,"BID",StaticData.Today,StaticData.Today)))</f>
        <v>-31</v>
      </c>
      <c r="AP18" s="29">
        <f>IF(AL18="","",IF(StaticData.Today=TODAY(),_xll.BDP(AL18,"ASK"),_xll.BDH(AL18,"ASK",StaticData.Today,StaticData.Today)))</f>
        <v>-21</v>
      </c>
      <c r="AQ18" s="194">
        <f>IF(AL18="","",IF(StaticData.Today=TODAY(),_xll.BDP(AL18,"LAST_PRICE"),_xll.BDH(AL18,"LAST_PRICE",StaticData.Today,StaticData.Today)))</f>
        <v>-26</v>
      </c>
      <c r="AR18" s="195">
        <f t="shared" si="14"/>
        <v>-26</v>
      </c>
      <c r="AT18" s="24" t="str">
        <f t="shared" si="5"/>
        <v>CZK6M CMPN Curncy</v>
      </c>
      <c r="AU18" s="25" t="s">
        <v>46</v>
      </c>
      <c r="AV18" s="31"/>
      <c r="AW18" s="177">
        <f>IF(AT18="","",IF(StaticData.Today=TODAY(),_xll.BDP(AT18,"BID"),_xll.BDH(AT18,"BID",StaticData.Today,StaticData.Today)))</f>
        <v>-63.75</v>
      </c>
      <c r="AX18" s="177">
        <f>IF(AT18="","",IF(StaticData.Today=TODAY(),_xll.BDP(AT18,"ASK"),_xll.BDH(AT18,"ASK",StaticData.Today,StaticData.Today)))</f>
        <v>-39.75</v>
      </c>
      <c r="AY18" s="177">
        <f>IF(AT18="","",IF(StaticData.Today=TODAY(),_xll.BDP(AT18,"LAST_PRICE"),_xll.BDH(AT18,"LAST_PRICE",StaticData.Today,StaticData.Today)))</f>
        <v>-51.75</v>
      </c>
      <c r="AZ18" s="181">
        <f t="shared" si="15"/>
        <v>-51.75</v>
      </c>
      <c r="BC18" s="390" t="s">
        <v>1356</v>
      </c>
      <c r="BD18" s="516">
        <f>_xll.meDateFromTenor($BD$7,BC18,"MF",$BD$6)</f>
        <v>46092</v>
      </c>
      <c r="BE18" s="517">
        <f t="shared" si="7"/>
        <v>181</v>
      </c>
      <c r="BF18" s="518">
        <f>_xll.meCurveDiscountFactorsForwardStarting($BD$7,BD18,"EURYC","EUR6ML")</f>
        <v>1.0227139802243397</v>
      </c>
      <c r="BG18" s="316">
        <f t="shared" si="8"/>
        <v>5.6507016318324901</v>
      </c>
      <c r="BH18" s="527">
        <f>_xll.meLWOSwapParSpread(_xll.meLWOXccySwapCreateFromGenerator("TEST","EUR_XCCY","PAy",$BD$7,BD18,1,1,"Float","Float",,,,,"USD",TRUE,"LEG2:FLOAT"),$BG$2:$BH$4)</f>
        <v>-15.823109129663292</v>
      </c>
      <c r="BI18" s="316">
        <f>_xll.meCurveDiscountFactorsForwardStarting($BD$7,BD18,"CZKYC","PRB6M")</f>
        <v>0.95461035325357524</v>
      </c>
      <c r="BJ18" s="316">
        <f t="shared" si="9"/>
        <v>5.4612120034357412</v>
      </c>
      <c r="BK18" s="531">
        <f t="shared" si="10"/>
        <v>-16.372129212966193</v>
      </c>
      <c r="BL18" s="532"/>
      <c r="BM18" s="437"/>
    </row>
    <row r="19" spans="2:65" x14ac:dyDescent="0.25">
      <c r="B19" s="36"/>
      <c r="C19" s="36"/>
      <c r="D19" s="36"/>
      <c r="E19" s="36"/>
      <c r="G19" s="349" t="s">
        <v>928</v>
      </c>
      <c r="H19" s="25" t="s">
        <v>324</v>
      </c>
      <c r="I19" s="25"/>
      <c r="J19" s="187"/>
      <c r="K19" s="187"/>
      <c r="L19" s="26"/>
      <c r="M19" s="27">
        <f>EUR_DATA!M19+CZK_DATA!$M$16</f>
        <v>1.2099999999999993E-3</v>
      </c>
      <c r="O19" s="24" t="str">
        <f>"CKSW3"&amp;$O$2&amp;" Curncy"</f>
        <v>CKSW3 BGN Curncy</v>
      </c>
      <c r="P19" s="25" t="s">
        <v>316</v>
      </c>
      <c r="Q19" s="31"/>
      <c r="R19" s="182">
        <f>IF(O19="","",IF(StaticData.Today=TODAY(),_xll.BDP(O19,"BID"),_xll.BDH(O19,"BID",StaticData.Today,StaticData.Today)))</f>
        <v>0.59021999999999997</v>
      </c>
      <c r="S19" s="182">
        <f>IF(O19="","",IF(StaticData.Today=TODAY(),_xll.BDP(O19,"ASK"),_xll.BDH(O19,"ASK",StaticData.Today,StaticData.Today)))</f>
        <v>0.62978000000000001</v>
      </c>
      <c r="T19" s="30">
        <f>IF(O19="","",IF(StaticData.Today=TODAY(),_xll.BDP(O19,"LAST_PRICE"),_xll.BDH(O19,"LAST_PRICE",StaticData.Today,StaticData.Today)))</f>
        <v>0.61</v>
      </c>
      <c r="U19" s="183">
        <f t="shared" si="13"/>
        <v>6.0999999999999995E-3</v>
      </c>
      <c r="W19" s="24" t="str">
        <f>"CKBSV5"&amp;$W$2&amp;" Curncy"</f>
        <v>CKBSV5 ICPL Curncy</v>
      </c>
      <c r="X19" s="25" t="s">
        <v>331</v>
      </c>
      <c r="Y19" s="191">
        <f>IF(W19="","",IF(StaticData.Today=TODAY(),_xll.BDP(W19,"LAST_PRICE"),_xll.BDH(W19,"LAST_PRICE",StaticData.Today,StaticData.Today)))</f>
        <v>6.5</v>
      </c>
      <c r="Z19" s="338">
        <f t="shared" si="18"/>
        <v>6.4999999999999997E-4</v>
      </c>
      <c r="AB19" s="24"/>
      <c r="AC19" s="25"/>
      <c r="AD19" s="26"/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14" t="str">
        <f>"CKEUBS15"&amp;$AL$1&amp;" Curncy"</f>
        <v>CKEUBS15 ICPL Curncy</v>
      </c>
      <c r="AM19" s="25" t="s">
        <v>367</v>
      </c>
      <c r="AN19" s="31"/>
      <c r="AO19" s="29">
        <f>IF(AL19="","",IF(StaticData.Today=TODAY(),_xll.BDP(AL19,"BID"),_xll.BDH(AL19,"BID",StaticData.Today,StaticData.Today)))</f>
        <v>-26</v>
      </c>
      <c r="AP19" s="29">
        <f>IF(AL19="","",IF(StaticData.Today=TODAY(),_xll.BDP(AL19,"ASK"),_xll.BDH(AL19,"ASK",StaticData.Today,StaticData.Today)))</f>
        <v>-16</v>
      </c>
      <c r="AQ19" s="194">
        <f>IF(AL19="","",IF(StaticData.Today=TODAY(),_xll.BDP(AL19,"LAST_PRICE"),_xll.BDH(AL19,"LAST_PRICE",StaticData.Today,StaticData.Today)))</f>
        <v>-21</v>
      </c>
      <c r="AR19" s="195">
        <f t="shared" si="14"/>
        <v>-21</v>
      </c>
      <c r="AT19" s="24" t="str">
        <f t="shared" si="5"/>
        <v>CZK7M CMPN Curncy</v>
      </c>
      <c r="AU19" s="25" t="s">
        <v>1570</v>
      </c>
      <c r="AV19" s="31"/>
      <c r="AW19" s="177">
        <f>IF(AT19="","",IF(StaticData.Today=TODAY(),_xll.BDP(AT19,"BID"),_xll.BDH(AT19,"BID",StaticData.Today,StaticData.Today)))</f>
        <v>-56.96</v>
      </c>
      <c r="AX19" s="177">
        <f>IF(AT19="","",IF(StaticData.Today=TODAY(),_xll.BDP(AT19,"ASK"),_xll.BDH(AT19,"ASK",StaticData.Today,StaticData.Today)))</f>
        <v>-36.74</v>
      </c>
      <c r="AY19" s="177">
        <f>IF(AT19="","",IF(StaticData.Today=TODAY(),_xll.BDP(AT19,"LAST_PRICE"),_xll.BDH(AT19,"LAST_PRICE",StaticData.Today,StaticData.Today)))</f>
        <v>-46.85</v>
      </c>
      <c r="AZ19" s="181">
        <f t="shared" ref="AZ19:AZ20" si="19">AY19</f>
        <v>-46.85</v>
      </c>
      <c r="BC19" s="390" t="s">
        <v>1357</v>
      </c>
      <c r="BD19" s="516">
        <f>_xll.meDateFromTenor($BD$7,BC19,"MF",$BD$6)</f>
        <v>46276</v>
      </c>
      <c r="BE19" s="517">
        <f t="shared" si="7"/>
        <v>184</v>
      </c>
      <c r="BF19" s="518">
        <f>_xll.meCurveDiscountFactorsForwardStarting($BD$7,BD19,"EURYC","EUR6ML")</f>
        <v>1.0237195718047027</v>
      </c>
      <c r="BG19" s="316">
        <f t="shared" si="8"/>
        <v>6.1739360796437825</v>
      </c>
      <c r="BH19" s="527">
        <f>_xll.meLWOSwapParSpread(_xll.meLWOXccySwapCreateFromGenerator("TEST","EUR_XCCY","PAy",$BD$7,BD19,1,1,"Float","Float",,,,,"USD",TRUE,"LEG2:FLOAT"),$BG$2:$BH$4)</f>
        <v>-16.499999999675289</v>
      </c>
      <c r="BI19" s="316">
        <f>_xll.meCurveDiscountFactorsForwardStarting($BD$7,BD19,"CZKYC","PRB6M")</f>
        <v>0.94883404932609117</v>
      </c>
      <c r="BJ19" s="316">
        <f t="shared" si="9"/>
        <v>5.9461716286468542</v>
      </c>
      <c r="BK19" s="531">
        <f t="shared" si="10"/>
        <v>-17.132022362311091</v>
      </c>
      <c r="BL19" s="532">
        <f>CZK_DATA!AR13</f>
        <v>-31.5</v>
      </c>
      <c r="BM19" s="437">
        <f>BL19+BK19</f>
        <v>-48.632022362311091</v>
      </c>
    </row>
    <row r="20" spans="2:65" x14ac:dyDescent="0.25">
      <c r="B20" s="36"/>
      <c r="C20" s="36"/>
      <c r="D20" s="36"/>
      <c r="E20" s="36"/>
      <c r="G20" s="349" t="s">
        <v>928</v>
      </c>
      <c r="H20" s="25" t="s">
        <v>331</v>
      </c>
      <c r="I20" s="25"/>
      <c r="J20" s="187"/>
      <c r="K20" s="187"/>
      <c r="L20" s="26"/>
      <c r="M20" s="27">
        <f>EUR_DATA!M20+CZK_DATA!$M$16</f>
        <v>1.4000000000000002E-3</v>
      </c>
      <c r="O20" s="24" t="str">
        <f>"CKSW4"&amp;$O$2&amp;" Curncy"</f>
        <v>CKSW4 BGN Curncy</v>
      </c>
      <c r="P20" s="25" t="s">
        <v>324</v>
      </c>
      <c r="Q20" s="28"/>
      <c r="R20" s="29">
        <f>IF(O20="","",IF(StaticData.Today=TODAY(),_xll.BDP(O20,"BID"),_xll.BDH(O20,"BID",StaticData.Today,StaticData.Today)))</f>
        <v>0.69033</v>
      </c>
      <c r="S20" s="29">
        <f>IF(O20="","",IF(StaticData.Today=TODAY(),_xll.BDP(O20,"ASK"),_xll.BDH(O20,"ASK",StaticData.Today,StaticData.Today)))</f>
        <v>0.72967000000000004</v>
      </c>
      <c r="T20" s="30">
        <f>IF(O20="","",IF(StaticData.Today=TODAY(),_xll.BDP(O20,"LAST_PRICE"),_xll.BDH(O20,"LAST_PRICE",StaticData.Today,StaticData.Today)))</f>
        <v>0.71</v>
      </c>
      <c r="U20" s="183">
        <f t="shared" si="13"/>
        <v>7.0999999999999995E-3</v>
      </c>
      <c r="W20" s="24" t="str">
        <f>"CKBSV6"&amp;$W$2&amp;" Curncy"</f>
        <v>CKBSV6 ICPL Curncy</v>
      </c>
      <c r="X20" s="25" t="s">
        <v>339</v>
      </c>
      <c r="Y20" s="191">
        <f>IF(W20="","",IF(StaticData.Today=TODAY(),_xll.BDP(W20,"LAST_PRICE"),_xll.BDH(W20,"LAST_PRICE",StaticData.Today,StaticData.Today)))</f>
        <v>7.75</v>
      </c>
      <c r="Z20" s="338">
        <f t="shared" si="18"/>
        <v>7.7499999999999997E-4</v>
      </c>
      <c r="AB20" s="24"/>
      <c r="AC20" s="25"/>
      <c r="AD20" s="26"/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 t="str">
        <f>"CKEUBS20"&amp;$AL$1&amp;" Curncy"</f>
        <v>CKEUBS20 ICPL Curncy</v>
      </c>
      <c r="AM20" s="25" t="s">
        <v>374</v>
      </c>
      <c r="AN20" s="28"/>
      <c r="AO20" s="29">
        <f>IF(AL20="","",IF(StaticData.Today=TODAY(),_xll.BDP(AL20,"BID"),_xll.BDH(AL20,"BID",StaticData.Today,StaticData.Today)))</f>
        <v>-20.5</v>
      </c>
      <c r="AP20" s="29">
        <f>IF(AL20="","",IF(StaticData.Today=TODAY(),_xll.BDP(AL20,"ASK"),_xll.BDH(AL20,"ASK",StaticData.Today,StaticData.Today)))</f>
        <v>-10.5</v>
      </c>
      <c r="AQ20" s="194">
        <f>IF(AL20="","",IF(StaticData.Today=TODAY(),_xll.BDP(AL20,"LAST_PRICE"),_xll.BDH(AL20,"LAST_PRICE",StaticData.Today,StaticData.Today)))</f>
        <v>-15.5</v>
      </c>
      <c r="AR20" s="195">
        <f t="shared" si="14"/>
        <v>-15.5</v>
      </c>
      <c r="AT20" s="24" t="str">
        <f t="shared" si="5"/>
        <v>CZK8M CMPN Curncy</v>
      </c>
      <c r="AU20" s="25" t="s">
        <v>1571</v>
      </c>
      <c r="AV20" s="31"/>
      <c r="AW20" s="177">
        <f>IF(AT20="","",IF(StaticData.Today=TODAY(),_xll.BDP(AT20,"BID"),_xll.BDH(AT20,"BID",StaticData.Today,StaticData.Today)))</f>
        <v>-63.26</v>
      </c>
      <c r="AX20" s="177">
        <f>IF(AT20="","",IF(StaticData.Today=TODAY(),_xll.BDP(AT20,"ASK"),_xll.BDH(AT20,"ASK",StaticData.Today,StaticData.Today)))</f>
        <v>-38.32</v>
      </c>
      <c r="AY20" s="177">
        <f>IF(AT20="","",IF(StaticData.Today=TODAY(),_xll.BDP(AT20,"LAST_PRICE"),_xll.BDH(AT20,"LAST_PRICE",StaticData.Today,StaticData.Today)))</f>
        <v>-50.79</v>
      </c>
      <c r="AZ20" s="181">
        <f t="shared" si="19"/>
        <v>-50.79</v>
      </c>
      <c r="BC20" s="390" t="s">
        <v>1358</v>
      </c>
      <c r="BD20" s="516">
        <f>_xll.meDateFromTenor($BD$7,BC20,"MF",$BD$6)</f>
        <v>46457</v>
      </c>
      <c r="BE20" s="517">
        <f t="shared" si="7"/>
        <v>181</v>
      </c>
      <c r="BF20" s="518">
        <f>_xll.meCurveDiscountFactorsForwardStarting($BD$7,BD20,"EURYC","EUR6ML")</f>
        <v>1.0244375660916498</v>
      </c>
      <c r="BG20" s="316">
        <f t="shared" si="8"/>
        <v>6.6890005225954177</v>
      </c>
      <c r="BH20" s="527">
        <f>_xll.meLWOSwapParSpread(_xll.meLWOXccySwapCreateFromGenerator("TEST","EUR_XCCY","PAy",$BD$7,BD20,1,1,"Float","Float",,,,,"USD",TRUE,"LEG2:FLOAT"),$BG$2:$BH$4)</f>
        <v>-17.046157079825292</v>
      </c>
      <c r="BI20" s="316">
        <f>_xll.meCurveDiscountFactorsForwardStarting($BD$7,BD20,"CZKYC","PRB6M")</f>
        <v>0.9431686369061556</v>
      </c>
      <c r="BJ20" s="316">
        <f t="shared" si="9"/>
        <v>6.4203758599802265</v>
      </c>
      <c r="BK20" s="531">
        <f t="shared" si="10"/>
        <v>-17.759358034771832</v>
      </c>
      <c r="BL20" s="532"/>
      <c r="BM20" s="437"/>
    </row>
    <row r="21" spans="2:65" x14ac:dyDescent="0.25">
      <c r="B21" s="36"/>
      <c r="C21" s="36"/>
      <c r="D21" s="36"/>
      <c r="E21" s="36"/>
      <c r="G21" s="349" t="s">
        <v>928</v>
      </c>
      <c r="H21" s="25" t="s">
        <v>339</v>
      </c>
      <c r="I21" s="25"/>
      <c r="J21" s="187"/>
      <c r="K21" s="187"/>
      <c r="L21" s="26"/>
      <c r="M21" s="27">
        <f>EUR_DATA!M21+CZK_DATA!$M$16</f>
        <v>1.7000000000000001E-3</v>
      </c>
      <c r="O21" s="24" t="str">
        <f>"CKSW5"&amp;$O$2&amp;" Curncy"</f>
        <v>CKSW5 BGN Curncy</v>
      </c>
      <c r="P21" s="25" t="s">
        <v>331</v>
      </c>
      <c r="Q21" s="28"/>
      <c r="R21" s="29">
        <f>IF(O21="","",IF(StaticData.Today=TODAY(),_xll.BDP(O21,"BID"),_xll.BDH(O21,"BID",StaticData.Today,StaticData.Today)))</f>
        <v>0.78483999999999998</v>
      </c>
      <c r="S21" s="29">
        <f>IF(O21="","",IF(StaticData.Today=TODAY(),_xll.BDP(O21,"ASK"),_xll.BDH(O21,"ASK",StaticData.Today,StaticData.Today)))</f>
        <v>0.81516</v>
      </c>
      <c r="T21" s="30">
        <f>IF(O21="","",IF(StaticData.Today=TODAY(),_xll.BDP(O21,"LAST_PRICE"),_xll.BDH(O21,"LAST_PRICE",StaticData.Today,StaticData.Today)))</f>
        <v>0.8</v>
      </c>
      <c r="U21" s="183">
        <f t="shared" si="13"/>
        <v>8.0000000000000002E-3</v>
      </c>
      <c r="W21" s="24" t="str">
        <f>"CKBSV7"&amp;$W$2&amp;" Curncy"</f>
        <v>CKBSV7 ICPL Curncy</v>
      </c>
      <c r="X21" s="25" t="s">
        <v>342</v>
      </c>
      <c r="Y21" s="191">
        <f>IF(W21="","",IF(StaticData.Today=TODAY(),_xll.BDP(W21,"LAST_PRICE"),_xll.BDH(W21,"LAST_PRICE",StaticData.Today,StaticData.Today)))</f>
        <v>9.5</v>
      </c>
      <c r="Z21" s="338">
        <f t="shared" si="18"/>
        <v>9.5E-4</v>
      </c>
      <c r="AB21" s="24"/>
      <c r="AC21" s="25"/>
      <c r="AD21" s="26"/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14"/>
      <c r="AM21" s="25"/>
      <c r="AN21" s="28"/>
      <c r="AO21" s="29"/>
      <c r="AP21" s="29"/>
      <c r="AQ21" s="177"/>
      <c r="AR21" s="181"/>
      <c r="AT21" s="24" t="str">
        <f t="shared" si="5"/>
        <v>CZK9M CMPN Curncy</v>
      </c>
      <c r="AU21" s="25" t="s">
        <v>376</v>
      </c>
      <c r="AV21" s="31"/>
      <c r="AW21" s="177">
        <f>IF(AT21="","",IF(StaticData.Today=TODAY(),_xll.BDP(AT21,"BID"),_xll.BDH(AT21,"BID",StaticData.Today,StaticData.Today)))</f>
        <v>-83</v>
      </c>
      <c r="AX21" s="177">
        <f>IF(AT21="","",IF(StaticData.Today=TODAY(),_xll.BDP(AT21,"ASK"),_xll.BDH(AT21,"ASK",StaticData.Today,StaticData.Today)))</f>
        <v>-47.5</v>
      </c>
      <c r="AY21" s="177">
        <f>IF(AT21="","",IF(StaticData.Today=TODAY(),_xll.BDP(AT21,"LAST_PRICE"),_xll.BDH(AT21,"LAST_PRICE",StaticData.Today,StaticData.Today)))</f>
        <v>-65.25</v>
      </c>
      <c r="AZ21" s="181">
        <f t="shared" si="15"/>
        <v>-65.25</v>
      </c>
      <c r="BC21" s="390" t="s">
        <v>1359</v>
      </c>
      <c r="BD21" s="516">
        <f>_xll.meDateFromTenor($BD$7,BC21,"MF",$BD$6)</f>
        <v>46643</v>
      </c>
      <c r="BE21" s="517">
        <f t="shared" si="7"/>
        <v>186</v>
      </c>
      <c r="BF21" s="518">
        <f>_xll.meCurveDiscountFactorsForwardStarting($BD$7,BD21,"EURYC","EUR6ML")</f>
        <v>1.0248905937907344</v>
      </c>
      <c r="BG21" s="316">
        <f t="shared" si="8"/>
        <v>7.2185273293872969</v>
      </c>
      <c r="BH21" s="527">
        <f>_xll.meLWOSwapParSpread(_xll.meLWOXccySwapCreateFromGenerator("TEST","EUR_XCCY","PAy",$BD$7,BD21,1,1,"Float","Float",,,,,"USD",TRUE,"LEG2:FLOAT"),$BG$2:$BH$4)</f>
        <v>-17.575982462909494</v>
      </c>
      <c r="BI21" s="316">
        <f>_xll.meCurveDiscountFactorsForwardStarting($BD$7,BD21,"CZKYC","PRB6M")</f>
        <v>0.93718966718990437</v>
      </c>
      <c r="BJ21" s="316">
        <f t="shared" si="9"/>
        <v>6.9045905213616772</v>
      </c>
      <c r="BK21" s="531">
        <f t="shared" si="10"/>
        <v>-18.375124398300024</v>
      </c>
      <c r="BL21" s="532">
        <f>CZK_DATA!AR14</f>
        <v>-30.5</v>
      </c>
      <c r="BM21" s="437">
        <f>BL21+BK21</f>
        <v>-48.875124398300024</v>
      </c>
    </row>
    <row r="22" spans="2:65" x14ac:dyDescent="0.25">
      <c r="B22" s="36"/>
      <c r="C22" s="36"/>
      <c r="D22" s="36"/>
      <c r="E22" s="36"/>
      <c r="G22" s="349" t="s">
        <v>928</v>
      </c>
      <c r="H22" s="25" t="s">
        <v>342</v>
      </c>
      <c r="I22" s="25"/>
      <c r="J22" s="187"/>
      <c r="K22" s="187"/>
      <c r="L22" s="26"/>
      <c r="M22" s="27">
        <f>EUR_DATA!M22+CZK_DATA!$M$16</f>
        <v>2.0600000000000002E-3</v>
      </c>
      <c r="O22" s="24" t="str">
        <f>"CKSW6"&amp;$O$2&amp;" Curncy"</f>
        <v>CKSW6 BGN Curncy</v>
      </c>
      <c r="P22" s="25" t="s">
        <v>339</v>
      </c>
      <c r="Q22" s="28"/>
      <c r="R22" s="29">
        <f>IF(O22="","",IF(StaticData.Today=TODAY(),_xll.BDP(O22,"BID"),_xll.BDH(O22,"BID",StaticData.Today,StaticData.Today)))</f>
        <v>0.84514</v>
      </c>
      <c r="S22" s="29">
        <f>IF(O22="","",IF(StaticData.Today=TODAY(),_xll.BDP(O22,"ASK"),_xll.BDH(O22,"ASK",StaticData.Today,StaticData.Today)))</f>
        <v>0.88485999999999998</v>
      </c>
      <c r="T22" s="30">
        <f>IF(O22="","",IF(StaticData.Today=TODAY(),_xll.BDP(O22,"LAST_PRICE"),_xll.BDH(O22,"LAST_PRICE",StaticData.Today,StaticData.Today)))</f>
        <v>0.86499999999999999</v>
      </c>
      <c r="U22" s="183">
        <f t="shared" si="13"/>
        <v>8.6499999999999997E-3</v>
      </c>
      <c r="W22" s="24" t="str">
        <f>"CKBSV8"&amp;$W$2&amp;" Curncy"</f>
        <v>CKBSV8 ICPL Curncy</v>
      </c>
      <c r="X22" s="25" t="s">
        <v>355</v>
      </c>
      <c r="Y22" s="191">
        <f>IF(W22="","",IF(StaticData.Today=TODAY(),_xll.BDP(W22,"LAST_PRICE"),_xll.BDH(W22,"LAST_PRICE",StaticData.Today,StaticData.Today)))</f>
        <v>11</v>
      </c>
      <c r="Z22" s="338">
        <f t="shared" si="18"/>
        <v>1.1000000000000001E-3</v>
      </c>
      <c r="AB22" s="24"/>
      <c r="AC22" s="25"/>
      <c r="AD22" s="26"/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14" t="s">
        <v>1430</v>
      </c>
      <c r="AM22" s="482" t="s">
        <v>47</v>
      </c>
      <c r="AN22" s="18"/>
      <c r="AO22" s="19"/>
      <c r="AP22" s="19"/>
      <c r="AQ22" s="336">
        <f>CZK_DATA!BM9</f>
        <v>-47.614356244633441</v>
      </c>
      <c r="AR22" s="180">
        <f>AQ22</f>
        <v>-47.614356244633441</v>
      </c>
      <c r="AT22" s="24" t="str">
        <f t="shared" si="5"/>
        <v>CZK10M CMPN Curncy</v>
      </c>
      <c r="AU22" s="25" t="s">
        <v>1576</v>
      </c>
      <c r="AV22" s="31"/>
      <c r="AW22" s="177">
        <f>IF(AT22="","",IF(StaticData.Today=TODAY(),_xll.BDP(AT22,"BID"),_xll.BDH(AT22,"BID",StaticData.Today,StaticData.Today)))</f>
        <v>-79.760000000000005</v>
      </c>
      <c r="AX22" s="177">
        <f>IF(AT22="","",IF(StaticData.Today=TODAY(),_xll.BDP(AT22,"ASK"),_xll.BDH(AT22,"ASK",StaticData.Today,StaticData.Today)))</f>
        <v>-46.22</v>
      </c>
      <c r="AY22" s="177">
        <f>IF(AT22="","",IF(StaticData.Today=TODAY(),_xll.BDP(AT22,"LAST_PRICE"),_xll.BDH(AT22,"LAST_PRICE",StaticData.Today,StaticData.Today)))</f>
        <v>-62.99</v>
      </c>
      <c r="AZ22" s="181">
        <f t="shared" ref="AZ22:AZ23" si="20">AY22</f>
        <v>-62.99</v>
      </c>
      <c r="BC22" s="390" t="s">
        <v>1360</v>
      </c>
      <c r="BD22" s="516">
        <f>_xll.meDateFromTenor($BD$7,BC22,"MF",$BD$6)</f>
        <v>46825</v>
      </c>
      <c r="BE22" s="517">
        <f t="shared" si="7"/>
        <v>182</v>
      </c>
      <c r="BF22" s="518">
        <f>_xll.meCurveDiscountFactorsForwardStarting($BD$7,BD22,"EURYC","EUR6ML")</f>
        <v>1.0250543085572017</v>
      </c>
      <c r="BG22" s="316">
        <f t="shared" si="8"/>
        <v>7.7367492298245493</v>
      </c>
      <c r="BH22" s="527">
        <f>_xll.meLWOSwapParSpread(_xll.meLWOXccySwapCreateFromGenerator("TEST","EUR_XCCY","PAy",$BD$7,BD22,1,1,"Float","Float",,,,,"USD",TRUE,"LEG2:FLOAT"),$BG$2:$BH$4)</f>
        <v>-17.922220193991411</v>
      </c>
      <c r="BI22" s="316">
        <f>_xll.meCurveDiscountFactorsForwardStarting($BD$7,BD22,"CZKYC","PRB6M")</f>
        <v>0.93110248683416696</v>
      </c>
      <c r="BJ22" s="316">
        <f t="shared" si="9"/>
        <v>7.3753145563722837</v>
      </c>
      <c r="BK22" s="531">
        <f t="shared" si="10"/>
        <v>-18.800516536993911</v>
      </c>
      <c r="BL22" s="532"/>
      <c r="BM22" s="437"/>
    </row>
    <row r="23" spans="2:65" x14ac:dyDescent="0.25">
      <c r="B23" s="36"/>
      <c r="C23" s="36"/>
      <c r="D23" s="36"/>
      <c r="E23" s="36"/>
      <c r="G23" s="349" t="s">
        <v>928</v>
      </c>
      <c r="H23" s="25" t="s">
        <v>355</v>
      </c>
      <c r="I23" s="25"/>
      <c r="J23" s="187"/>
      <c r="K23" s="187"/>
      <c r="L23" s="26"/>
      <c r="M23" s="27">
        <f>EUR_DATA!M23+CZK_DATA!$M$16</f>
        <v>2.4800000000000004E-3</v>
      </c>
      <c r="O23" s="24" t="str">
        <f>"CKSW7"&amp;$O$2&amp;" Curncy"</f>
        <v>CKSW7 BGN Curncy</v>
      </c>
      <c r="P23" s="25" t="s">
        <v>342</v>
      </c>
      <c r="Q23" s="28"/>
      <c r="R23" s="29">
        <f>IF(O23="","",IF(StaticData.Today=TODAY(),_xll.BDP(O23,"BID"),_xll.BDH(O23,"BID",StaticData.Today,StaticData.Today)))</f>
        <v>0.89507999999999999</v>
      </c>
      <c r="S23" s="29">
        <f>IF(O23="","",IF(StaticData.Today=TODAY(),_xll.BDP(O23,"ASK"),_xll.BDH(O23,"ASK",StaticData.Today,StaticData.Today)))</f>
        <v>0.93491999999999997</v>
      </c>
      <c r="T23" s="30">
        <f>IF(O23="","",IF(StaticData.Today=TODAY(),_xll.BDP(O23,"LAST_PRICE"),_xll.BDH(O23,"LAST_PRICE",StaticData.Today,StaticData.Today)))</f>
        <v>0.91500000000000004</v>
      </c>
      <c r="U23" s="183">
        <f t="shared" si="13"/>
        <v>9.1500000000000001E-3</v>
      </c>
      <c r="W23" s="24" t="str">
        <f>"CKBSV9"&amp;$W$2&amp;" Curncy"</f>
        <v>CKBSV9 ICPL Curncy</v>
      </c>
      <c r="X23" s="25" t="s">
        <v>364</v>
      </c>
      <c r="Y23" s="191">
        <f>IF(W23="","",IF(StaticData.Today=TODAY(),_xll.BDP(W23,"LAST_PRICE"),_xll.BDH(W23,"LAST_PRICE",StaticData.Today,StaticData.Today)))</f>
        <v>12.75</v>
      </c>
      <c r="Z23" s="338">
        <f t="shared" si="18"/>
        <v>1.2750000000000001E-3</v>
      </c>
      <c r="AB23" s="24"/>
      <c r="AC23" s="25"/>
      <c r="AD23" s="26"/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 t="s">
        <v>1431</v>
      </c>
      <c r="AM23" s="355" t="s">
        <v>308</v>
      </c>
      <c r="AN23" s="28"/>
      <c r="AO23" s="29"/>
      <c r="AP23" s="29"/>
      <c r="AQ23" s="178">
        <f>CZK_DATA!BM11</f>
        <v>-48.039030197254213</v>
      </c>
      <c r="AR23" s="181">
        <f>AQ23</f>
        <v>-48.039030197254213</v>
      </c>
      <c r="AT23" s="24" t="str">
        <f t="shared" si="5"/>
        <v>CZK11M CMPN Curncy</v>
      </c>
      <c r="AU23" s="25" t="s">
        <v>1577</v>
      </c>
      <c r="AV23" s="31"/>
      <c r="AW23" s="177">
        <f>IF(AT23="","",IF(StaticData.Today=TODAY(),_xll.BDP(AT23,"BID"),_xll.BDH(AT23,"BID",StaticData.Today,StaticData.Today)))</f>
        <v>-106.01</v>
      </c>
      <c r="AX23" s="177">
        <f>IF(AT23="","",IF(StaticData.Today=TODAY(),_xll.BDP(AT23,"ASK"),_xll.BDH(AT23,"ASK",StaticData.Today,StaticData.Today)))</f>
        <v>-86.01</v>
      </c>
      <c r="AY23" s="177">
        <f>IF(AT23="","",IF(StaticData.Today=TODAY(),_xll.BDP(AT23,"LAST_PRICE"),_xll.BDH(AT23,"LAST_PRICE",StaticData.Today,StaticData.Today)))</f>
        <v>-96.01</v>
      </c>
      <c r="AZ23" s="181">
        <f t="shared" si="20"/>
        <v>-96.01</v>
      </c>
      <c r="BC23" s="390" t="s">
        <v>1361</v>
      </c>
      <c r="BD23" s="516">
        <f>_xll.meDateFromTenor($BD$7,BC23,"MF",$BD$6)</f>
        <v>47007</v>
      </c>
      <c r="BE23" s="517">
        <f t="shared" si="7"/>
        <v>182</v>
      </c>
      <c r="BF23" s="518">
        <f>_xll.meCurveDiscountFactorsForwardStarting($BD$7,BD23,"EURYC","EUR6ML")</f>
        <v>1.0249632630682564</v>
      </c>
      <c r="BG23" s="316">
        <f t="shared" si="8"/>
        <v>8.2549251017090572</v>
      </c>
      <c r="BH23" s="527">
        <f>_xll.meLWOSwapParSpread(_xll.meLWOXccySwapCreateFromGenerator("TEST","EUR_XCCY","PAy",$BD$7,BD23,1,1,"Float","Float",,,,,"USD",TRUE,"LEG2:FLOAT"),$BG$2:$BH$4)</f>
        <v>-18.124999999749448</v>
      </c>
      <c r="BI23" s="316">
        <f>_xll.meCurveDiscountFactorsForwardStarting($BD$7,BD23,"CZKYC","PRB6M")</f>
        <v>0.92518604755410705</v>
      </c>
      <c r="BJ23" s="316">
        <f t="shared" si="9"/>
        <v>7.8430475026357493</v>
      </c>
      <c r="BK23" s="531">
        <f t="shared" si="10"/>
        <v>-19.076834281078451</v>
      </c>
      <c r="BL23" s="532">
        <f>CZK_DATA!AR15</f>
        <v>-29.5</v>
      </c>
      <c r="BM23" s="437">
        <f>BL23+BK23</f>
        <v>-48.576834281078447</v>
      </c>
    </row>
    <row r="24" spans="2:65" x14ac:dyDescent="0.25">
      <c r="G24" s="349" t="s">
        <v>928</v>
      </c>
      <c r="H24" s="25" t="s">
        <v>364</v>
      </c>
      <c r="I24" s="25"/>
      <c r="J24" s="187"/>
      <c r="K24" s="187"/>
      <c r="L24" s="26"/>
      <c r="M24" s="27">
        <f>EUR_DATA!M24+CZK_DATA!$M$16</f>
        <v>2.9199999999999999E-3</v>
      </c>
      <c r="O24" s="24" t="str">
        <f>"CKSW8"&amp;$O$2&amp;" Curncy"</f>
        <v>CKSW8 BGN Curncy</v>
      </c>
      <c r="P24" s="25" t="s">
        <v>355</v>
      </c>
      <c r="Q24" s="28"/>
      <c r="R24" s="29">
        <f>IF(O24="","",IF(StaticData.Today=TODAY(),_xll.BDP(O24,"BID"),_xll.BDH(O24,"BID",StaticData.Today,StaticData.Today)))</f>
        <v>0.93542999999999998</v>
      </c>
      <c r="S24" s="29">
        <f>IF(O24="","",IF(StaticData.Today=TODAY(),_xll.BDP(O24,"ASK"),_xll.BDH(O24,"ASK",StaticData.Today,StaticData.Today)))</f>
        <v>0.97457000000000005</v>
      </c>
      <c r="T24" s="30">
        <f>IF(O24="","",IF(StaticData.Today=TODAY(),_xll.BDP(O24,"LAST_PRICE"),_xll.BDH(O24,"LAST_PRICE",StaticData.Today,StaticData.Today)))</f>
        <v>0.95499999999999996</v>
      </c>
      <c r="U24" s="183">
        <f t="shared" si="13"/>
        <v>9.5499999999999995E-3</v>
      </c>
      <c r="W24" s="24" t="str">
        <f>"CKBSV10"&amp;$W$2&amp;" Curncy"</f>
        <v>CKBSV10 ICPL Curncy</v>
      </c>
      <c r="X24" s="25" t="s">
        <v>349</v>
      </c>
      <c r="Y24" s="191">
        <f>IF(W24="","",IF(StaticData.Today=TODAY(),_xll.BDP(W24,"LAST_PRICE"),_xll.BDH(W24,"LAST_PRICE",StaticData.Today,StaticData.Today)))</f>
        <v>14.25</v>
      </c>
      <c r="Z24" s="338">
        <f t="shared" si="18"/>
        <v>1.4250000000000001E-3</v>
      </c>
      <c r="AB24" s="24"/>
      <c r="AC24" s="25"/>
      <c r="AD24" s="26"/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 t="s">
        <v>1432</v>
      </c>
      <c r="AM24" s="355" t="s">
        <v>316</v>
      </c>
      <c r="AN24" s="28"/>
      <c r="AO24" s="29"/>
      <c r="AP24" s="29"/>
      <c r="AQ24" s="178">
        <f>CZK_DATA!BM13</f>
        <v>-48.975512634588043</v>
      </c>
      <c r="AR24" s="181">
        <f>AQ24</f>
        <v>-48.975512634588043</v>
      </c>
      <c r="AT24" s="24" t="str">
        <f t="shared" si="5"/>
        <v>CZK12M CMPN Curncy</v>
      </c>
      <c r="AU24" s="25" t="s">
        <v>322</v>
      </c>
      <c r="AV24" s="31"/>
      <c r="AW24" s="177">
        <f>IF(AT24="","",IF(StaticData.Today=TODAY(),_xll.BDP(AT24,"BID"),_xll.BDH(AT24,"BID",StaticData.Today,StaticData.Today)))</f>
        <v>-93.9</v>
      </c>
      <c r="AX24" s="177">
        <f>IF(AT24="","",IF(StaticData.Today=TODAY(),_xll.BDP(AT24,"ASK"),_xll.BDH(AT24,"ASK",StaticData.Today,StaticData.Today)))</f>
        <v>-62.8</v>
      </c>
      <c r="AY24" s="177">
        <f>IF(AT24="","",IF(StaticData.Today=TODAY(),_xll.BDP(AT24,"LAST_PRICE"),_xll.BDH(AT24,"LAST_PRICE",StaticData.Today,StaticData.Today)))</f>
        <v>-78.349999999999994</v>
      </c>
      <c r="AZ24" s="181">
        <f t="shared" si="15"/>
        <v>-78.349999999999994</v>
      </c>
      <c r="BC24" s="390" t="s">
        <v>1362</v>
      </c>
      <c r="BD24" s="516">
        <f>_xll.meDateFromTenor($BD$7,BC24,"MF",$BD$6)</f>
        <v>47189</v>
      </c>
      <c r="BE24" s="517">
        <f t="shared" si="7"/>
        <v>182</v>
      </c>
      <c r="BF24" s="518">
        <f>_xll.meCurveDiscountFactorsForwardStarting($BD$7,BD24,"EURYC","EUR6ML")</f>
        <v>1.0246286253513848</v>
      </c>
      <c r="BG24" s="316">
        <f t="shared" si="8"/>
        <v>8.7729317956367012</v>
      </c>
      <c r="BH24" s="527">
        <f>_xll.meLWOSwapParSpread(_xll.meLWOXccySwapCreateFromGenerator("TEST","EUR_XCCY","PAy",$BD$7,BD24,1,1,"Float","Float",,,,,"USD",TRUE,"LEG2:FLOAT"),$BG$2:$BH$4)</f>
        <v>-18.398011646811515</v>
      </c>
      <c r="BI24" s="316">
        <f>_xll.meCurveDiscountFactorsForwardStarting($BD$7,BD24,"CZKYC","PRB6M")</f>
        <v>0.9197381141261558</v>
      </c>
      <c r="BJ24" s="316">
        <f t="shared" si="9"/>
        <v>8.3080262158884164</v>
      </c>
      <c r="BK24" s="531">
        <f t="shared" si="10"/>
        <v>-19.427538762953617</v>
      </c>
      <c r="BL24" s="532"/>
      <c r="BM24" s="437"/>
    </row>
    <row r="25" spans="2:65" x14ac:dyDescent="0.25">
      <c r="G25" s="349" t="s">
        <v>928</v>
      </c>
      <c r="H25" s="25" t="s">
        <v>349</v>
      </c>
      <c r="I25" s="25"/>
      <c r="J25" s="187"/>
      <c r="K25" s="187"/>
      <c r="L25" s="26"/>
      <c r="M25" s="27">
        <f>EUR_DATA!M25+CZK_DATA!$M$16</f>
        <v>3.4099999999999998E-3</v>
      </c>
      <c r="O25" s="24" t="str">
        <f>"CKSW9"&amp;$O$2&amp;" Curncy"</f>
        <v>CKSW9 BGN Curncy</v>
      </c>
      <c r="P25" s="25" t="s">
        <v>364</v>
      </c>
      <c r="Q25" s="28"/>
      <c r="R25" s="29">
        <f>IF(O25="","",IF(StaticData.Today=TODAY(),_xll.BDP(O25,"BID"),_xll.BDH(O25,"BID",StaticData.Today,StaticData.Today)))</f>
        <v>0.96762000000000004</v>
      </c>
      <c r="S25" s="29">
        <f>IF(O25="","",IF(StaticData.Today=TODAY(),_xll.BDP(O25,"ASK"),_xll.BDH(O25,"ASK",StaticData.Today,StaticData.Today)))</f>
        <v>1.00739</v>
      </c>
      <c r="T25" s="30">
        <f>IF(O25="","",IF(StaticData.Today=TODAY(),_xll.BDP(O25,"LAST_PRICE"),_xll.BDH(O25,"LAST_PRICE",StaticData.Today,StaticData.Today)))</f>
        <v>0.98750000000000004</v>
      </c>
      <c r="U25" s="183">
        <f t="shared" si="13"/>
        <v>9.8750000000000001E-3</v>
      </c>
      <c r="W25" s="24" t="str">
        <f>"CKBSV12"&amp;$W$2&amp;" Curncy"</f>
        <v>CKBSV12 ICPL Curncy</v>
      </c>
      <c r="X25" s="25" t="s">
        <v>358</v>
      </c>
      <c r="Y25" s="191">
        <f>IF(W25="","",IF(StaticData.Today=TODAY(),_xll.BDP(W25,"LAST_PRICE"),_xll.BDH(W25,"LAST_PRICE",StaticData.Today,StaticData.Today)))</f>
        <v>15.25</v>
      </c>
      <c r="Z25" s="338">
        <f t="shared" si="18"/>
        <v>1.5250000000000001E-3</v>
      </c>
      <c r="AB25" s="24"/>
      <c r="AC25" s="25"/>
      <c r="AD25" s="26"/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 t="s">
        <v>1433</v>
      </c>
      <c r="AM25" s="355" t="s">
        <v>324</v>
      </c>
      <c r="AN25" s="28"/>
      <c r="AO25" s="29"/>
      <c r="AP25" s="29"/>
      <c r="AQ25" s="178">
        <f>CZK_DATA!BM15</f>
        <v>-49.210970451427173</v>
      </c>
      <c r="AR25" s="181">
        <f>AQ25</f>
        <v>-49.210970451427173</v>
      </c>
      <c r="AT25" s="24" t="str">
        <f t="shared" si="5"/>
        <v>CZK18M CMPN Curncy</v>
      </c>
      <c r="AU25" s="25" t="s">
        <v>501</v>
      </c>
      <c r="AV25" s="31"/>
      <c r="AW25" s="177">
        <f>IF(AT25="","",IF(StaticData.Today=TODAY(),_xll.BDP(AT25,"BID"),_xll.BDH(AT25,"BID",StaticData.Today,StaticData.Today)))</f>
        <v>-139.19999999999999</v>
      </c>
      <c r="AX25" s="177">
        <f>IF(AT25="","",IF(StaticData.Today=TODAY(),_xll.BDP(AT25,"ASK"),_xll.BDH(AT25,"ASK",StaticData.Today,StaticData.Today)))</f>
        <v>-59.2</v>
      </c>
      <c r="AY25" s="177">
        <f>IF(AT25="","",IF(StaticData.Today=TODAY(),_xll.BDP(AT25,"LAST_PRICE"),_xll.BDH(AT25,"LAST_PRICE",StaticData.Today,StaticData.Today)))</f>
        <v>-99.2</v>
      </c>
      <c r="AZ25" s="181">
        <f t="shared" si="15"/>
        <v>-99.2</v>
      </c>
      <c r="BC25" s="390" t="s">
        <v>1363</v>
      </c>
      <c r="BD25" s="516">
        <f>_xll.meDateFromTenor($BD$7,BC25,"MF",$BD$6)</f>
        <v>47372</v>
      </c>
      <c r="BE25" s="517">
        <f t="shared" si="7"/>
        <v>183</v>
      </c>
      <c r="BF25" s="518">
        <f>_xll.meCurveDiscountFactorsForwardStarting($BD$7,BD25,"EURYC","EUR6ML")</f>
        <v>1.0239926733800626</v>
      </c>
      <c r="BG25" s="316">
        <f t="shared" si="8"/>
        <v>9.2934614046048996</v>
      </c>
      <c r="BH25" s="527">
        <f>_xll.meLWOSwapParSpread(_xll.meLWOXccySwapCreateFromGenerator("TEST","EUR_XCCY","PAy",$BD$7,BD25,1,1,"Float","Float",,,,,"USD",TRUE,"LEG2:FLOAT"),$BG$2:$BH$4)</f>
        <v>-18.500000001408658</v>
      </c>
      <c r="BI25" s="316">
        <f>_xll.meCurveDiscountFactorsForwardStarting($BD$7,BD25,"CZKYC","PRB6M")</f>
        <v>0.91415418521131231</v>
      </c>
      <c r="BJ25" s="316">
        <f t="shared" si="9"/>
        <v>8.7727212600374997</v>
      </c>
      <c r="BK25" s="531">
        <f t="shared" si="10"/>
        <v>-19.598141888021988</v>
      </c>
      <c r="BL25" s="532">
        <f>CZK_DATA!AR16</f>
        <v>-29</v>
      </c>
      <c r="BM25" s="437">
        <f>BL25+BK25</f>
        <v>-48.598141888021985</v>
      </c>
    </row>
    <row r="26" spans="2:65" x14ac:dyDescent="0.25">
      <c r="G26" s="349" t="s">
        <v>928</v>
      </c>
      <c r="H26" s="25" t="s">
        <v>358</v>
      </c>
      <c r="I26" s="25"/>
      <c r="J26" s="187"/>
      <c r="K26" s="187"/>
      <c r="L26" s="26"/>
      <c r="M26" s="27">
        <f>(EUR_DATA!M53-EUR_DATA!M36)+CZK_DATA!$M$16</f>
        <v>4.3299999999999996E-3</v>
      </c>
      <c r="O26" s="24" t="str">
        <f>"CKSW10"&amp;$O$2&amp;" Curncy"</f>
        <v>CKSW10 BGN Curncy</v>
      </c>
      <c r="P26" s="25" t="s">
        <v>349</v>
      </c>
      <c r="Q26" s="28"/>
      <c r="R26" s="29">
        <f>IF(O26="","",IF(StaticData.Today=TODAY(),_xll.BDP(O26,"BID"),_xll.BDH(O26,"BID",StaticData.Today,StaticData.Today)))</f>
        <v>0.99822</v>
      </c>
      <c r="S26" s="29">
        <f>IF(O26="","",IF(StaticData.Today=TODAY(),_xll.BDP(O26,"ASK"),_xll.BDH(O26,"ASK",StaticData.Today,StaticData.Today)))</f>
        <v>1.0417799999999999</v>
      </c>
      <c r="T26" s="30">
        <f>IF(O26="","",IF(StaticData.Today=TODAY(),_xll.BDP(O26,"LAST_PRICE"),_xll.BDH(O26,"LAST_PRICE",StaticData.Today,StaticData.Today)))</f>
        <v>1.02</v>
      </c>
      <c r="U26" s="183">
        <f t="shared" si="13"/>
        <v>1.0200000000000001E-2</v>
      </c>
      <c r="W26" s="24" t="str">
        <f>"CKBSV15"&amp;$W$2&amp;" Curncy"</f>
        <v>CKBSV15 ICPL Curncy</v>
      </c>
      <c r="X26" s="25" t="s">
        <v>367</v>
      </c>
      <c r="Y26" s="191">
        <f>IF(W26="","",IF(StaticData.Today=TODAY(),_xll.BDP(W26,"LAST_PRICE"),_xll.BDH(W26,"LAST_PRICE",StaticData.Today,StaticData.Today)))</f>
        <v>13.1</v>
      </c>
      <c r="Z26" s="338">
        <f t="shared" si="18"/>
        <v>1.31E-3</v>
      </c>
      <c r="AB26" s="24"/>
      <c r="AC26" s="25"/>
      <c r="AD26" s="26"/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 t="s">
        <v>1434</v>
      </c>
      <c r="AM26" s="355" t="s">
        <v>331</v>
      </c>
      <c r="AN26" s="31"/>
      <c r="AO26" s="29"/>
      <c r="AP26" s="29"/>
      <c r="AQ26" s="178">
        <f>CZK_DATA!BM17</f>
        <v>-48.596394374904953</v>
      </c>
      <c r="AR26" s="181">
        <f>AQ26</f>
        <v>-48.596394374904953</v>
      </c>
      <c r="AT26" s="24" t="str">
        <f t="shared" si="5"/>
        <v>CZK2Y CMPN Curncy</v>
      </c>
      <c r="AU26" s="25" t="s">
        <v>308</v>
      </c>
      <c r="AV26" s="31"/>
      <c r="AW26" s="178">
        <f>IF(AT26="","",IF(StaticData.Today=TODAY(),_xll.BDP(AT26,"BID"),_xll.BDH(AT26,"BID",StaticData.Today,StaticData.Today)))</f>
        <v>-144</v>
      </c>
      <c r="AX26" s="178">
        <f>IF(AT26="","",IF(StaticData.Today=TODAY(),_xll.BDP(AT26,"ASK"),_xll.BDH(AT26,"ASK",StaticData.Today,StaticData.Today)))</f>
        <v>-103</v>
      </c>
      <c r="AY26" s="30">
        <f>IF(AT26="","",IF(StaticData.Today=TODAY(),_xll.BDP(AT26,"LAST_PRICE"),_xll.BDH(AT26,"LAST_PRICE",StaticData.Today,StaticData.Today)))</f>
        <v>-123.5</v>
      </c>
      <c r="AZ26" s="181">
        <f t="shared" si="15"/>
        <v>-123.5</v>
      </c>
      <c r="BC26" s="390" t="s">
        <v>1364</v>
      </c>
      <c r="BD26" s="516">
        <f>_xll.meDateFromTenor($BD$7,BC26,"MF",$BD$6)</f>
        <v>47553</v>
      </c>
      <c r="BE26" s="517">
        <f t="shared" si="7"/>
        <v>181</v>
      </c>
      <c r="BF26" s="518">
        <f>_xll.meCurveDiscountFactorsForwardStarting($BD$7,BD26,"EURYC","EUR6ML")</f>
        <v>1.0230295030235947</v>
      </c>
      <c r="BG26" s="316">
        <f t="shared" si="8"/>
        <v>9.8078179047362077</v>
      </c>
      <c r="BH26" s="527">
        <f>_xll.meLWOSwapParSpread(_xll.meLWOXccySwapCreateFromGenerator("TEST","EUR_XCCY","PAy",$BD$7,BD26,1,1,"Float","Float",,,,,"USD",TRUE,"LEG2:FLOAT"),$BG$2:$BH$4)</f>
        <v>-18.630573991837753</v>
      </c>
      <c r="BI26" s="316">
        <f>_xll.meCurveDiscountFactorsForwardStarting($BD$7,BD26,"CZKYC","PRB6M")</f>
        <v>0.90803522110188706</v>
      </c>
      <c r="BJ26" s="316">
        <f t="shared" si="9"/>
        <v>9.2292611906470601</v>
      </c>
      <c r="BK26" s="531">
        <f t="shared" si="10"/>
        <v>-19.798472856942546</v>
      </c>
      <c r="BL26" s="532"/>
      <c r="BM26" s="437"/>
    </row>
    <row r="27" spans="2:65" x14ac:dyDescent="0.25">
      <c r="G27" s="349" t="s">
        <v>928</v>
      </c>
      <c r="H27" s="25" t="s">
        <v>367</v>
      </c>
      <c r="I27" s="25"/>
      <c r="J27" s="187"/>
      <c r="K27" s="187"/>
      <c r="L27" s="26"/>
      <c r="M27" s="27">
        <f>(EUR_DATA!M54-EUR_DATA!M37)+CZK_DATA!$M$16</f>
        <v>5.45E-3</v>
      </c>
      <c r="O27" s="24" t="str">
        <f>"CKSW12"&amp;$O$2&amp;" Curncy"</f>
        <v>CKSW12 BGN Curncy</v>
      </c>
      <c r="P27" s="25" t="s">
        <v>358</v>
      </c>
      <c r="Q27" s="28"/>
      <c r="R27" s="29">
        <f>IF(O27="","",IF(StaticData.Today=TODAY(),_xll.BDP(O27,"BID"),_xll.BDH(O27,"BID",StaticData.Today,StaticData.Today)))</f>
        <v>1.0212300000000001</v>
      </c>
      <c r="S27" s="29">
        <f>IF(O27="","",IF(StaticData.Today=TODAY(),_xll.BDP(O27,"ASK"),_xll.BDH(O27,"ASK",StaticData.Today,StaticData.Today)))</f>
        <v>1.0637700000000001</v>
      </c>
      <c r="T27" s="30">
        <f>IF(O27="","",IF(StaticData.Today=TODAY(),_xll.BDP(O27,"LAST_PRICE"),_xll.BDH(O27,"LAST_PRICE",StaticData.Today,StaticData.Today)))</f>
        <v>1.0425</v>
      </c>
      <c r="U27" s="183">
        <f t="shared" si="13"/>
        <v>1.0425E-2</v>
      </c>
      <c r="W27" s="24" t="str">
        <f>"CKBSV20"&amp;$W$2&amp;" Curncy"</f>
        <v>CKBSV20 ICPL Curncy</v>
      </c>
      <c r="X27" s="25" t="s">
        <v>374</v>
      </c>
      <c r="Y27" s="191">
        <f>IF(W27="","",IF(StaticData.Today=TODAY(),_xll.BDP(W27,"LAST_PRICE"),_xll.BDH(W27,"LAST_PRICE",StaticData.Today,StaticData.Today)))</f>
        <v>12.1</v>
      </c>
      <c r="Z27" s="338">
        <f t="shared" si="18"/>
        <v>1.2099999999999999E-3</v>
      </c>
      <c r="AB27" s="24"/>
      <c r="AC27" s="25"/>
      <c r="AD27" s="26"/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 t="s">
        <v>1435</v>
      </c>
      <c r="AM27" s="355" t="s">
        <v>339</v>
      </c>
      <c r="AN27" s="31"/>
      <c r="AO27" s="29"/>
      <c r="AP27" s="29"/>
      <c r="AQ27" s="178">
        <f>CZK_DATA!BM19</f>
        <v>-48.632022362311091</v>
      </c>
      <c r="AR27" s="181">
        <f t="shared" ref="AR27:AR34" si="21">AQ27</f>
        <v>-48.632022362311091</v>
      </c>
      <c r="AT27" s="24" t="str">
        <f t="shared" si="5"/>
        <v>CZK3Y CMPN Curncy</v>
      </c>
      <c r="AU27" s="25" t="s">
        <v>316</v>
      </c>
      <c r="AV27" s="31"/>
      <c r="AW27" s="178">
        <f>IF(AT27="","",IF(StaticData.Today=TODAY(),_xll.BDP(AT27,"BID"),_xll.BDH(AT27,"BID",StaticData.Today,StaticData.Today)))</f>
        <v>-150</v>
      </c>
      <c r="AX27" s="178">
        <f>IF(AT27="","",IF(StaticData.Today=TODAY(),_xll.BDP(AT27,"ASK"),_xll.BDH(AT27,"ASK",StaticData.Today,StaticData.Today)))</f>
        <v>-99</v>
      </c>
      <c r="AY27" s="30">
        <f>IF(AT27="","",IF(StaticData.Today=TODAY(),_xll.BDP(AT27,"LAST_PRICE"),_xll.BDH(AT27,"LAST_PRICE",StaticData.Today,StaticData.Today)))</f>
        <v>-124.5</v>
      </c>
      <c r="AZ27" s="181">
        <f t="shared" ref="AZ27:AZ29" si="22">AY27</f>
        <v>-124.5</v>
      </c>
      <c r="BC27" s="563" t="s">
        <v>1365</v>
      </c>
      <c r="BD27" s="553">
        <f>_xll.meDateFromTenor($BD$7,BC27,"MF",$BD$6)</f>
        <v>47737</v>
      </c>
      <c r="BE27" s="564">
        <f t="shared" si="7"/>
        <v>184</v>
      </c>
      <c r="BF27" s="555">
        <f>_xll.meCurveDiscountFactorsForwardStarting($BD$7,BD27,"EURYC","EUR6ML")</f>
        <v>1.0217943091916761</v>
      </c>
      <c r="BG27" s="556">
        <f t="shared" si="8"/>
        <v>10.330068329434175</v>
      </c>
      <c r="BH27" s="527">
        <f>_xll.meLWOSwapParSpread(_xll.meLWOXccySwapCreateFromGenerator("TEST","EUR_XCCY","PAy",$BD$7,BD27,1,1,"Float","Float",,,,,"USD",TRUE,"LEG2:FLOAT"),$BG$2:$BH$4)</f>
        <v>-18.750000001539547</v>
      </c>
      <c r="BI27" s="316">
        <f>_xll.meCurveDiscountFactorsForwardStarting($BD$7,BD27,"CZKYC","PRB6M")</f>
        <v>0.90185721443276279</v>
      </c>
      <c r="BJ27" s="556">
        <f t="shared" si="9"/>
        <v>9.6902104335793613</v>
      </c>
      <c r="BK27" s="565">
        <f t="shared" si="10"/>
        <v>-19.988088238167375</v>
      </c>
      <c r="BL27" s="566">
        <f>CZK_DATA!AR17</f>
        <v>-28.5</v>
      </c>
      <c r="BM27" s="567">
        <f>BL27+BK27</f>
        <v>-48.488088238167379</v>
      </c>
    </row>
    <row r="28" spans="2:65" x14ac:dyDescent="0.25">
      <c r="G28" s="349" t="s">
        <v>928</v>
      </c>
      <c r="H28" s="25" t="s">
        <v>374</v>
      </c>
      <c r="I28" s="25"/>
      <c r="J28" s="187"/>
      <c r="K28" s="187"/>
      <c r="L28" s="26"/>
      <c r="M28" s="27">
        <f>(EUR_DATA!M55-EUR_DATA!M38)+CZK_DATA!$M$16</f>
        <v>6.3400000000000001E-3</v>
      </c>
      <c r="O28" s="24" t="str">
        <f>"CKSW15"&amp;$O$2&amp;" Curncy"</f>
        <v>CKSW15 BGN Curncy</v>
      </c>
      <c r="P28" s="25" t="s">
        <v>367</v>
      </c>
      <c r="Q28" s="28"/>
      <c r="R28" s="29">
        <f>IF(O28="","",IF(StaticData.Today=TODAY(),_xll.BDP(O28,"BID"),_xll.BDH(O28,"BID",StaticData.Today,StaticData.Today)))</f>
        <v>1.13331</v>
      </c>
      <c r="S28" s="29">
        <f>IF(O28="","",IF(StaticData.Today=TODAY(),_xll.BDP(O28,"ASK"),_xll.BDH(O28,"ASK",StaticData.Today,StaticData.Today)))</f>
        <v>1.17669</v>
      </c>
      <c r="T28" s="30">
        <f>IF(O28="","",IF(StaticData.Today=TODAY(),_xll.BDP(O28,"LAST_PRICE"),_xll.BDH(O28,"LAST_PRICE",StaticData.Today,StaticData.Today)))</f>
        <v>1.155</v>
      </c>
      <c r="U28" s="183">
        <f t="shared" si="13"/>
        <v>1.155E-2</v>
      </c>
      <c r="W28" s="24"/>
      <c r="X28" s="25"/>
      <c r="Y28" s="191"/>
      <c r="Z28" s="27"/>
      <c r="AB28" s="24"/>
      <c r="AC28" s="25"/>
      <c r="AD28" s="26"/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 t="s">
        <v>1436</v>
      </c>
      <c r="AM28" s="355" t="s">
        <v>342</v>
      </c>
      <c r="AN28" s="31"/>
      <c r="AO28" s="29"/>
      <c r="AP28" s="29"/>
      <c r="AQ28" s="178">
        <f>CZK_DATA!BM21</f>
        <v>-48.875124398300024</v>
      </c>
      <c r="AR28" s="181">
        <f t="shared" si="21"/>
        <v>-48.875124398300024</v>
      </c>
      <c r="AT28" s="24" t="str">
        <f t="shared" si="5"/>
        <v>CZK4Y CMPN Curncy</v>
      </c>
      <c r="AU28" s="25" t="s">
        <v>324</v>
      </c>
      <c r="AV28" s="31"/>
      <c r="AW28" s="178">
        <f>IF(AT28="","",IF(StaticData.Today=TODAY(),_xll.BDP(AT28,"BID"),_xll.BDH(AT28,"BID",StaticData.Today,StaticData.Today)))</f>
        <v>-241.7</v>
      </c>
      <c r="AX28" s="178">
        <f>IF(AT28="","",IF(StaticData.Today=TODAY(),_xll.BDP(AT28,"ASK"),_xll.BDH(AT28,"ASK",StaticData.Today,StaticData.Today)))</f>
        <v>58.3</v>
      </c>
      <c r="AY28" s="30">
        <f>IF(AT28="","",IF(StaticData.Today=TODAY(),_xll.BDP(AT28,"LAST_PRICE"),_xll.BDH(AT28,"LAST_PRICE",StaticData.Today,StaticData.Today)))</f>
        <v>-91.7</v>
      </c>
      <c r="AZ28" s="181">
        <f t="shared" si="22"/>
        <v>-91.7</v>
      </c>
      <c r="BC28" s="390" t="s">
        <v>1366</v>
      </c>
      <c r="BD28" s="516">
        <f>_xll.meDateFromTenor($BD$7,BC28,"MF",$BD$6)</f>
        <v>47918</v>
      </c>
      <c r="BE28" s="517">
        <f t="shared" si="7"/>
        <v>181</v>
      </c>
      <c r="BF28" s="518">
        <f>_xll.meCurveDiscountFactorsForwardStarting($BD$7,BD28,"EURYC","EUR6ML")</f>
        <v>1.020422717916649</v>
      </c>
      <c r="BG28" s="316">
        <f t="shared" si="8"/>
        <v>10.843114195942269</v>
      </c>
      <c r="BH28" s="527">
        <f>_xll.meLWOSwapParSpread(_xll.meLWOXccySwapCreateFromGenerator("TEST","EUR_XCCY","PAy",$BD$7,BD28,1,1,"Float","Float",,,,,"USD",TRUE,"LEG2:FLOAT"),$BG$2:$BH$4)</f>
        <v>-18.865612678614976</v>
      </c>
      <c r="BI28" s="316">
        <f>_xll.meCurveDiscountFactorsForwardStarting($BD$7,BD28,"CZKYC","PRB6M")</f>
        <v>0.89649843396308726</v>
      </c>
      <c r="BJ28" s="316">
        <f t="shared" si="9"/>
        <v>10.140949923988581</v>
      </c>
      <c r="BK28" s="531">
        <f t="shared" si="10"/>
        <v>-20.171876814690091</v>
      </c>
      <c r="BL28" s="532"/>
      <c r="BM28" s="437"/>
    </row>
    <row r="29" spans="2:65" x14ac:dyDescent="0.25">
      <c r="G29" s="349" t="s">
        <v>928</v>
      </c>
      <c r="H29" s="25" t="s">
        <v>382</v>
      </c>
      <c r="I29" s="25"/>
      <c r="J29" s="187"/>
      <c r="K29" s="187"/>
      <c r="L29" s="26"/>
      <c r="M29" s="27">
        <f>(EUR_DATA!M56-EUR_DATA!M39)+CZK_DATA!$M$16</f>
        <v>6.4200000000000004E-3</v>
      </c>
      <c r="O29" s="24" t="str">
        <f>"CKSW20"&amp;$O$2&amp;" Curncy"</f>
        <v>CKSW20 BGN Curncy</v>
      </c>
      <c r="P29" s="25" t="s">
        <v>374</v>
      </c>
      <c r="Q29" s="28"/>
      <c r="R29" s="29">
        <f>IF(O29="","",IF(StaticData.Today=TODAY(),_xll.BDP(O29,"BID"),_xll.BDH(O29,"BID",StaticData.Today,StaticData.Today)))</f>
        <v>1.2295799999999999</v>
      </c>
      <c r="S29" s="29">
        <f>IF(O29="","",IF(StaticData.Today=TODAY(),_xll.BDP(O29,"ASK"),_xll.BDH(O29,"ASK",StaticData.Today,StaticData.Today)))</f>
        <v>1.2604200000000001</v>
      </c>
      <c r="T29" s="30">
        <f>IF(O29="","",IF(StaticData.Today=TODAY(),_xll.BDP(O29,"LAST_PRICE"),_xll.BDH(O29,"LAST_PRICE",StaticData.Today,StaticData.Today)))</f>
        <v>1.2450000000000001</v>
      </c>
      <c r="U29" s="183">
        <f t="shared" si="13"/>
        <v>1.2450000000000001E-2</v>
      </c>
      <c r="W29" s="24"/>
      <c r="X29" s="25"/>
      <c r="Y29" s="191"/>
      <c r="Z29" s="27"/>
      <c r="AB29" s="24"/>
      <c r="AC29" s="25"/>
      <c r="AD29" s="26"/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 t="s">
        <v>1437</v>
      </c>
      <c r="AM29" s="355" t="s">
        <v>355</v>
      </c>
      <c r="AN29" s="31"/>
      <c r="AO29" s="29"/>
      <c r="AP29" s="29"/>
      <c r="AQ29" s="178">
        <f>CZK_DATA!BM23</f>
        <v>-48.576834281078447</v>
      </c>
      <c r="AR29" s="181">
        <f t="shared" si="21"/>
        <v>-48.576834281078447</v>
      </c>
      <c r="AT29" s="24" t="str">
        <f t="shared" si="5"/>
        <v>CZK5Y CMPN Curncy</v>
      </c>
      <c r="AU29" s="25" t="s">
        <v>331</v>
      </c>
      <c r="AV29" s="31"/>
      <c r="AW29" s="178">
        <f>IF(AT29="","",IF(StaticData.Today=TODAY(),_xll.BDP(AT29,"BID"),_xll.BDH(AT29,"BID",StaticData.Today,StaticData.Today)))</f>
        <v>-152</v>
      </c>
      <c r="AX29" s="178">
        <f>IF(AT29="","",IF(StaticData.Today=TODAY(),_xll.BDP(AT29,"ASK"),_xll.BDH(AT29,"ASK",StaticData.Today,StaticData.Today)))</f>
        <v>-81</v>
      </c>
      <c r="AY29" s="30">
        <f>IF(AT29="","",IF(StaticData.Today=TODAY(),_xll.BDP(AT29,"LAST_PRICE"),_xll.BDH(AT29,"LAST_PRICE",StaticData.Today,StaticData.Today)))</f>
        <v>-116.5</v>
      </c>
      <c r="AZ29" s="181">
        <f t="shared" si="22"/>
        <v>-116.5</v>
      </c>
      <c r="BC29" s="390" t="s">
        <v>1367</v>
      </c>
      <c r="BD29" s="516">
        <f>_xll.meDateFromTenor($BD$7,BC29,"MF",$BD$6)</f>
        <v>48102</v>
      </c>
      <c r="BE29" s="517">
        <f t="shared" si="7"/>
        <v>184</v>
      </c>
      <c r="BF29" s="518">
        <f>_xll.meCurveDiscountFactorsForwardStarting($BD$7,BD29,"EURYC","EUR6ML")</f>
        <v>1.0188923057410473</v>
      </c>
      <c r="BG29" s="316">
        <f t="shared" si="8"/>
        <v>11.363881374432138</v>
      </c>
      <c r="BH29" s="527">
        <f>_xll.meLWOSwapParSpread(_xll.meLWOXccySwapCreateFromGenerator("TEST","EUR_XCCY","PAy",$BD$7,BD29,1,1,"Float","Float",,,,,"USD",TRUE,"LEG2:FLOAT"),$BG$2:$BH$4)</f>
        <v>-18.973506991476171</v>
      </c>
      <c r="BI29" s="316">
        <f>_xll.meCurveDiscountFactorsForwardStarting($BD$7,BD29,"CZKYC","PRB6M")</f>
        <v>0.89153833533900773</v>
      </c>
      <c r="BJ29" s="316">
        <f t="shared" si="9"/>
        <v>10.596625073161851</v>
      </c>
      <c r="BK29" s="531">
        <f t="shared" si="10"/>
        <v>-20.34729748570399</v>
      </c>
      <c r="BL29" s="533"/>
      <c r="BM29" s="437"/>
    </row>
    <row r="30" spans="2:65" x14ac:dyDescent="0.25">
      <c r="G30" s="349" t="s">
        <v>928</v>
      </c>
      <c r="H30" s="25" t="s">
        <v>389</v>
      </c>
      <c r="I30" s="25"/>
      <c r="J30" s="187"/>
      <c r="K30" s="187"/>
      <c r="L30" s="26"/>
      <c r="M30" s="27">
        <f>(EUR_DATA!M57-EUR_DATA!M40)+CZK_DATA!$M$16</f>
        <v>6.2100000000000002E-3</v>
      </c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/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 t="s">
        <v>1438</v>
      </c>
      <c r="AM30" s="355" t="s">
        <v>364</v>
      </c>
      <c r="AN30" s="31"/>
      <c r="AO30" s="29"/>
      <c r="AP30" s="29"/>
      <c r="AQ30" s="178">
        <f>CZK_DATA!BM25</f>
        <v>-48.598141888021985</v>
      </c>
      <c r="AR30" s="181">
        <f t="shared" si="21"/>
        <v>-48.598141888021985</v>
      </c>
      <c r="AT30" s="24"/>
      <c r="AU30" s="25"/>
      <c r="AV30" s="28"/>
      <c r="AW30" s="178"/>
      <c r="AX30" s="178"/>
      <c r="AY30" s="30"/>
      <c r="AZ30" s="27"/>
      <c r="BC30" s="390" t="s">
        <v>1368</v>
      </c>
      <c r="BD30" s="516">
        <f>_xll.meDateFromTenor($BD$7,BC30,"MF",$BD$6)</f>
        <v>48284</v>
      </c>
      <c r="BE30" s="517">
        <f t="shared" si="7"/>
        <v>182</v>
      </c>
      <c r="BF30" s="518">
        <f>_xll.meCurveDiscountFactorsForwardStarting($BD$7,BD30,"EURYC","EUR6ML")</f>
        <v>1.0172477471521673</v>
      </c>
      <c r="BG30" s="316">
        <f t="shared" si="8"/>
        <v>11.878156624381289</v>
      </c>
      <c r="BH30" s="527">
        <f>_xll.meLWOSwapParSpread(_xll.meLWOXccySwapCreateFromGenerator("TEST","EUR_XCCY","PAy",$BD$7,BD30,1,1,"Float","Float",,,,,"USD",TRUE,"LEG2:FLOAT"),$BG$2:$BH$4)</f>
        <v>-19.061381407338466</v>
      </c>
      <c r="BI30" s="316">
        <f>_xll.meCurveDiscountFactorsForwardStarting($BD$7,BD30,"CZKYC","PRB6M")</f>
        <v>0.88665288531868747</v>
      </c>
      <c r="BJ30" s="316">
        <f t="shared" si="9"/>
        <v>11.044877365184076</v>
      </c>
      <c r="BK30" s="531">
        <f t="shared" si="10"/>
        <v>-20.499464715393177</v>
      </c>
      <c r="BL30" s="532"/>
      <c r="BM30" s="437"/>
    </row>
    <row r="31" spans="2:65" x14ac:dyDescent="0.25">
      <c r="G31" s="349" t="s">
        <v>928</v>
      </c>
      <c r="H31" s="25" t="s">
        <v>445</v>
      </c>
      <c r="I31" s="25"/>
      <c r="J31" s="187"/>
      <c r="K31" s="187"/>
      <c r="L31" s="26"/>
      <c r="M31" s="27">
        <f>(EUR_DATA!M58-EUR_DATA!M41)+CZK_DATA!$M$16</f>
        <v>5.8199999999999997E-3</v>
      </c>
      <c r="O31" s="24"/>
      <c r="P31" s="25"/>
      <c r="Q31" s="28"/>
      <c r="R31" s="29"/>
      <c r="S31" s="29"/>
      <c r="T31" s="30"/>
      <c r="U31" s="183"/>
      <c r="W31" s="24"/>
      <c r="X31" s="25"/>
      <c r="Y31" s="191"/>
      <c r="Z31" s="27"/>
      <c r="AB31" s="24"/>
      <c r="AC31" s="25"/>
      <c r="AD31" s="26"/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 t="s">
        <v>1439</v>
      </c>
      <c r="AM31" s="355" t="s">
        <v>349</v>
      </c>
      <c r="AN31" s="31"/>
      <c r="AO31" s="29"/>
      <c r="AP31" s="29"/>
      <c r="AQ31" s="178">
        <f>CZK_DATA!BM27</f>
        <v>-48.488088238167379</v>
      </c>
      <c r="AR31" s="181">
        <f t="shared" si="21"/>
        <v>-48.488088238167379</v>
      </c>
      <c r="AT31" s="24"/>
      <c r="AU31" s="25"/>
      <c r="AV31" s="28"/>
      <c r="AW31" s="178"/>
      <c r="AX31" s="178"/>
      <c r="AY31" s="30"/>
      <c r="AZ31" s="27"/>
      <c r="BC31" s="390" t="s">
        <v>1369</v>
      </c>
      <c r="BD31" s="516">
        <f>_xll.meDateFromTenor($BD$7,BC31,"MF",$BD$6)</f>
        <v>48470</v>
      </c>
      <c r="BE31" s="517">
        <f t="shared" si="7"/>
        <v>186</v>
      </c>
      <c r="BF31" s="518">
        <f>_xll.meCurveDiscountFactorsForwardStarting($BD$7,BD31,"EURYC","EUR6ML")</f>
        <v>1.0154370381672257</v>
      </c>
      <c r="BG31" s="316">
        <f t="shared" si="8"/>
        <v>12.402799094101022</v>
      </c>
      <c r="BH31" s="527">
        <f>_xll.meLWOSwapParSpread(_xll.meLWOXccySwapCreateFromGenerator("TEST","EUR_XCCY","PAy",$BD$7,BD31,1,1,"Float","Float",,,,,"USD",TRUE,"LEG2:FLOAT"),$BG$2:$BH$4)</f>
        <v>-19.16903515190036</v>
      </c>
      <c r="BI31" s="316">
        <f>_xll.meCurveDiscountFactorsForwardStarting($BD$7,BD31,"CZKYC","PRB6M")</f>
        <v>0.8812122172337431</v>
      </c>
      <c r="BJ31" s="316">
        <f t="shared" si="9"/>
        <v>11.500170344088177</v>
      </c>
      <c r="BK31" s="531">
        <f t="shared" si="10"/>
        <v>-20.673580016925484</v>
      </c>
      <c r="BL31" s="532">
        <f>CZK_DATA!AR18</f>
        <v>-26</v>
      </c>
      <c r="BM31" s="437">
        <f>BL31+BK31</f>
        <v>-46.673580016925484</v>
      </c>
    </row>
    <row r="32" spans="2:65" x14ac:dyDescent="0.25">
      <c r="G32" s="349" t="s">
        <v>928</v>
      </c>
      <c r="H32" s="25" t="s">
        <v>448</v>
      </c>
      <c r="I32" s="25"/>
      <c r="J32" s="187"/>
      <c r="K32" s="187"/>
      <c r="L32" s="26"/>
      <c r="M32" s="27">
        <f>(EUR_DATA!M59-EUR_DATA!M42)+CZK_DATA!$M$16</f>
        <v>5.4599999999999996E-3</v>
      </c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/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 t="s">
        <v>1440</v>
      </c>
      <c r="AM32" s="355" t="s">
        <v>358</v>
      </c>
      <c r="AN32" s="31"/>
      <c r="AO32" s="29"/>
      <c r="AP32" s="29"/>
      <c r="AQ32" s="178">
        <f>CZK_DATA!BM31</f>
        <v>-46.673580016925484</v>
      </c>
      <c r="AR32" s="181">
        <f t="shared" si="21"/>
        <v>-46.673580016925484</v>
      </c>
      <c r="AT32" s="24" t="str">
        <f>"EURCZK"&amp;AU32&amp;$AT$1&amp;" Curncy"</f>
        <v>EURCZKON CMPN Curncy</v>
      </c>
      <c r="AU32" s="25" t="s">
        <v>298</v>
      </c>
      <c r="AV32" s="28"/>
      <c r="AW32" s="29">
        <f>IF(AT32="","",IF(StaticData.Today=TODAY(),_xll.BDP(AT32,"BID"),_xll.BDH(AT32,"BID",StaticData.Today,StaticData.Today)))</f>
        <v>0.35</v>
      </c>
      <c r="AX32" s="29">
        <f>IF(AT32="","",IF(StaticData.Today=TODAY(),_xll.BDP(AT32,"ASK"),_xll.BDH(AT32,"ASK",StaticData.Today,StaticData.Today)))</f>
        <v>0.5</v>
      </c>
      <c r="AY32" s="178">
        <f>IF(AT32="","",IF(StaticData.Today=TODAY(),_xll.BDP(AT32,"PX_LAST"),_xll.BDH(AT32,"PX_LAST",StaticData.Today,StaticData.Today)))</f>
        <v>0.43</v>
      </c>
      <c r="AZ32" s="33">
        <f t="shared" ref="AZ32:AZ34" si="23">AY32</f>
        <v>0.43</v>
      </c>
      <c r="BC32" s="390" t="s">
        <v>1370</v>
      </c>
      <c r="BD32" s="516">
        <f>_xll.meDateFromTenor($BD$7,BC32,"MF",$BD$6)</f>
        <v>48649</v>
      </c>
      <c r="BE32" s="517">
        <f t="shared" si="7"/>
        <v>179</v>
      </c>
      <c r="BF32" s="518">
        <f>_xll.meCurveDiscountFactorsForwardStarting($BD$7,BD32,"EURYC","EUR6ML")</f>
        <v>1.0135792681389462</v>
      </c>
      <c r="BG32" s="316">
        <f t="shared" si="8"/>
        <v>12.906773230203443</v>
      </c>
      <c r="BH32" s="527">
        <f>_xll.meLWOSwapParSpread(_xll.meLWOXccySwapCreateFromGenerator("TEST","EUR_XCCY","PAy",$BD$7,BD32,1,1,"Float","Float",,,,,"USD",TRUE,"LEG2:FLOAT"),$BG$2:$BH$4)</f>
        <v>-19.157336590410729</v>
      </c>
      <c r="BI32" s="316">
        <f>_xll.meCurveDiscountFactorsForwardStarting($BD$7,BD32,"CZKYC","PRB6M")</f>
        <v>0.87521771701100304</v>
      </c>
      <c r="BJ32" s="316">
        <f t="shared" si="9"/>
        <v>11.935348042268648</v>
      </c>
      <c r="BK32" s="531">
        <f t="shared" si="10"/>
        <v>-20.71656378946378</v>
      </c>
      <c r="BL32" s="532"/>
      <c r="BM32" s="437"/>
    </row>
    <row r="33" spans="7:65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/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 t="s">
        <v>1441</v>
      </c>
      <c r="AM33" s="355" t="s">
        <v>367</v>
      </c>
      <c r="AN33" s="31"/>
      <c r="AO33" s="29"/>
      <c r="AP33" s="29"/>
      <c r="AQ33" s="178">
        <f>CZK_DATA!BM37</f>
        <v>-41.698209796700709</v>
      </c>
      <c r="AR33" s="181">
        <f t="shared" si="21"/>
        <v>-41.698209796700709</v>
      </c>
      <c r="AT33" s="24" t="str">
        <f>"EURCZK"&amp;AU33&amp;$AT$1&amp;" Curncy"</f>
        <v>EURCZKTN CMPN Curncy</v>
      </c>
      <c r="AU33" s="25" t="s">
        <v>506</v>
      </c>
      <c r="AV33" s="28"/>
      <c r="AW33" s="29">
        <f>IF(AT33="","",IF(StaticData.Today=TODAY(),_xll.BDP(AT33,"BID"),_xll.BDH(AT33,"BID",StaticData.Today,StaticData.Today)))</f>
        <v>0.26</v>
      </c>
      <c r="AX33" s="29">
        <f>IF(AT33="","",IF(StaticData.Today=TODAY(),_xll.BDP(AT33,"ASK"),_xll.BDH(AT33,"ASK",StaticData.Today,StaticData.Today)))</f>
        <v>0.57999999999999996</v>
      </c>
      <c r="AY33" s="178">
        <f>IF(AT33="","",IF(StaticData.Today=TODAY(),_xll.BDP(AT33,"PX_LAST"),_xll.BDH(AT33,"PX_LAST",StaticData.Today,StaticData.Today)))</f>
        <v>0.43</v>
      </c>
      <c r="AZ33" s="33">
        <f t="shared" si="23"/>
        <v>0.43</v>
      </c>
      <c r="BC33" s="390" t="s">
        <v>1371</v>
      </c>
      <c r="BD33" s="516">
        <f>_xll.meDateFromTenor($BD$7,BC33,"MF",$BD$6)</f>
        <v>48834</v>
      </c>
      <c r="BE33" s="517">
        <f t="shared" si="7"/>
        <v>185</v>
      </c>
      <c r="BF33" s="518">
        <f>_xll.meCurveDiscountFactorsForwardStarting($BD$7,BD33,"EURYC","EUR6ML")</f>
        <v>1.0115699805949931</v>
      </c>
      <c r="BG33" s="316">
        <f t="shared" si="8"/>
        <v>13.426607803564758</v>
      </c>
      <c r="BH33" s="527">
        <f>_xll.meLWOSwapParSpread(_xll.meLWOXccySwapCreateFromGenerator("TEST","EUR_XCCY","PAy",$BD$7,BD33,1,1,"Float","Float",,,,,"USD",TRUE,"LEG2:FLOAT"),$BG$2:$BH$4)</f>
        <v>-19.199604037902517</v>
      </c>
      <c r="BI33" s="316">
        <f>_xll.meCurveDiscountFactorsForwardStarting($BD$7,BD33,"CZKYC","PRB6M")</f>
        <v>0.86834241124649858</v>
      </c>
      <c r="BJ33" s="316">
        <f t="shared" si="9"/>
        <v>12.38157955915921</v>
      </c>
      <c r="BK33" s="531">
        <f t="shared" si="10"/>
        <v>-20.820086174704571</v>
      </c>
      <c r="BL33" s="532"/>
      <c r="BM33" s="437"/>
    </row>
    <row r="34" spans="7:65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/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 t="s">
        <v>1442</v>
      </c>
      <c r="AM34" s="355" t="s">
        <v>374</v>
      </c>
      <c r="AN34" s="28"/>
      <c r="AO34" s="29"/>
      <c r="AP34" s="29"/>
      <c r="AQ34" s="178">
        <f>CZK_DATA!BM47</f>
        <v>-33.837132617476286</v>
      </c>
      <c r="AR34" s="181">
        <f t="shared" si="21"/>
        <v>-33.837132617476286</v>
      </c>
      <c r="AT34" s="24" t="str">
        <f>"EURCZK"&amp;AU34&amp;$AT$1&amp;" Curncy"</f>
        <v>EURCZKSN CMPN Curncy</v>
      </c>
      <c r="AU34" s="25" t="s">
        <v>1483</v>
      </c>
      <c r="AV34" s="28"/>
      <c r="AW34" s="29">
        <f>IF(AT34="","",IF(StaticData.Today=TODAY(),_xll.BDP(AT34,"BID"),_xll.BDH(AT34,"BID",StaticData.Today,StaticData.Today)))</f>
        <v>1.07</v>
      </c>
      <c r="AX34" s="29">
        <f>IF(AT34="","",IF(StaticData.Today=TODAY(),_xll.BDP(AT34,"ASK"),_xll.BDH(AT34,"ASK",StaticData.Today,StaticData.Today)))</f>
        <v>1.52</v>
      </c>
      <c r="AY34" s="178">
        <f>IF(AT34="","",IF(StaticData.Today=TODAY(),_xll.BDP(AT34,"PX_LAST"),_xll.BDH(AT34,"PX_LAST",StaticData.Today,StaticData.Today)))</f>
        <v>1.3</v>
      </c>
      <c r="AZ34" s="33">
        <f t="shared" si="23"/>
        <v>1.3</v>
      </c>
      <c r="BC34" s="390" t="s">
        <v>1372</v>
      </c>
      <c r="BD34" s="516">
        <f>_xll.meDateFromTenor($BD$7,BC34,"MF",$BD$6)</f>
        <v>49016</v>
      </c>
      <c r="BE34" s="517">
        <f t="shared" si="7"/>
        <v>182</v>
      </c>
      <c r="BF34" s="518">
        <f>_xll.meCurveDiscountFactorsForwardStarting($BD$7,BD34,"EURYC","EUR6ML")</f>
        <v>1.0095387575282204</v>
      </c>
      <c r="BG34" s="316">
        <f t="shared" si="8"/>
        <v>13.936985730981803</v>
      </c>
      <c r="BH34" s="527">
        <f>_xll.meLWOSwapParSpread(_xll.meLWOXccySwapCreateFromGenerator("TEST","EUR_XCCY","PAy",$BD$7,BD34,1,1,"Float","Float",,,,,"USD",TRUE,"LEG2:FLOAT"),$BG$2:$BH$4)</f>
        <v>-19.169378961952621</v>
      </c>
      <c r="BI34" s="316">
        <f>_xll.meCurveDiscountFactorsForwardStarting($BD$7,BD34,"CZKYC","PRB6M")</f>
        <v>0.86111314905640013</v>
      </c>
      <c r="BJ34" s="316">
        <f t="shared" si="9"/>
        <v>12.816920095626612</v>
      </c>
      <c r="BK34" s="531">
        <f t="shared" si="10"/>
        <v>-20.84458349363338</v>
      </c>
      <c r="BL34" s="532"/>
      <c r="BM34" s="437"/>
    </row>
    <row r="35" spans="7:65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/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355"/>
      <c r="AN35" s="28"/>
      <c r="AO35" s="29"/>
      <c r="AP35" s="29"/>
      <c r="AQ35" s="177"/>
      <c r="AR35" s="181"/>
      <c r="AT35" s="24"/>
      <c r="AU35" s="25"/>
      <c r="AV35" s="28"/>
      <c r="AW35" s="178"/>
      <c r="AX35" s="178"/>
      <c r="AY35" s="30"/>
      <c r="AZ35" s="27"/>
      <c r="BC35" s="390" t="s">
        <v>1373</v>
      </c>
      <c r="BD35" s="516">
        <f>_xll.meDateFromTenor($BD$7,BC35,"MF",$BD$6)</f>
        <v>49198</v>
      </c>
      <c r="BE35" s="517">
        <f t="shared" si="7"/>
        <v>182</v>
      </c>
      <c r="BF35" s="518">
        <f>_xll.meCurveDiscountFactorsForwardStarting($BD$7,BD35,"EURYC","EUR6ML")</f>
        <v>1.0074871173405546</v>
      </c>
      <c r="BG35" s="316">
        <f t="shared" si="8"/>
        <v>14.446326440303972</v>
      </c>
      <c r="BH35" s="527">
        <f>_xll.meLWOSwapParSpread(_xll.meLWOXccySwapCreateFromGenerator("TEST","EUR_XCCY","PAy",$BD$7,BD35,1,1,"Float","Float",,,,,"USD",TRUE,"LEG2:FLOAT"),$BG$2:$BH$4)</f>
        <v>-19.072188687586106</v>
      </c>
      <c r="BI35" s="316">
        <f>_xll.meCurveDiscountFactorsForwardStarting($BD$7,BD35,"CZKYC","PRB6M")</f>
        <v>0.85362512335572316</v>
      </c>
      <c r="BJ35" s="316">
        <f t="shared" si="9"/>
        <v>13.248475019100894</v>
      </c>
      <c r="BK35" s="531">
        <f t="shared" si="10"/>
        <v>-20.796587027164112</v>
      </c>
      <c r="BL35" s="532"/>
      <c r="BM35" s="523"/>
    </row>
    <row r="36" spans="7:65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/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355"/>
      <c r="AN36" s="28"/>
      <c r="AO36" s="29"/>
      <c r="AP36" s="29"/>
      <c r="AQ36" s="30"/>
      <c r="AR36" s="27"/>
      <c r="AT36" s="24"/>
      <c r="AU36" s="25"/>
      <c r="AV36" s="28"/>
      <c r="AW36" s="178"/>
      <c r="AX36" s="178"/>
      <c r="AY36" s="30"/>
      <c r="AZ36" s="27"/>
      <c r="BC36" s="390" t="s">
        <v>1374</v>
      </c>
      <c r="BD36" s="516">
        <f>_xll.meDateFromTenor($BD$7,BC36,"MF",$BD$6)</f>
        <v>49380</v>
      </c>
      <c r="BE36" s="517">
        <f t="shared" si="7"/>
        <v>182</v>
      </c>
      <c r="BF36" s="518">
        <f>_xll.meCurveDiscountFactorsForwardStarting($BD$7,BD36,"EURYC","EUR6ML")</f>
        <v>1.0054482646229919</v>
      </c>
      <c r="BG36" s="316">
        <f t="shared" si="8"/>
        <v>14.954636396307817</v>
      </c>
      <c r="BH36" s="527">
        <f>_xll.meLWOSwapParSpread(_xll.meLWOXccySwapCreateFromGenerator("TEST","EUR_XCCY","PAy",$BD$7,BD36,1,1,"Float","Float",,,,,"USD",TRUE,"LEG2:FLOAT"),$BG$2:$BH$4)</f>
        <v>-19.022591304345458</v>
      </c>
      <c r="BI36" s="316">
        <f>_xll.meCurveDiscountFactorsForwardStarting($BD$7,BD36,"CZKYC","PRB6M")</f>
        <v>0.84607382199361303</v>
      </c>
      <c r="BJ36" s="316">
        <f t="shared" si="9"/>
        <v>13.676212340219887</v>
      </c>
      <c r="BK36" s="531">
        <f t="shared" si="10"/>
        <v>-20.800783813179617</v>
      </c>
      <c r="BL36" s="532"/>
      <c r="BM36" s="523"/>
    </row>
    <row r="37" spans="7:65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/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35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 t="str">
        <f>IF(AT37="","",IF(StaticData.Today=TODAY(),_xll.BDP(AT37,"LAST_PRICE"),_xll.BDH(AT37,"LAST_PRICE",StaticData.Today,StaticData.Today)))</f>
        <v/>
      </c>
      <c r="AZ37" s="27"/>
      <c r="BC37" s="390" t="s">
        <v>1375</v>
      </c>
      <c r="BD37" s="516">
        <f>_xll.meDateFromTenor($BD$7,BC37,"MF",$BD$6)</f>
        <v>49563</v>
      </c>
      <c r="BE37" s="517">
        <f t="shared" si="7"/>
        <v>183</v>
      </c>
      <c r="BF37" s="518">
        <f>_xll.meCurveDiscountFactorsForwardStarting($BD$7,BD37,"EURYC","EUR6ML")</f>
        <v>1.0034443719881088</v>
      </c>
      <c r="BG37" s="316">
        <f t="shared" si="8"/>
        <v>15.464720618735106</v>
      </c>
      <c r="BH37" s="527">
        <f>_xll.meLWOSwapParSpread(_xll.meLWOXccySwapCreateFromGenerator("TEST","EUR_XCCY","PAy",$BD$7,BD37,1,1,"Float","Float",,,,,"USD",TRUE,"LEG2:FLOAT"),$BG$2:$BH$4)</f>
        <v>-18.875000001415664</v>
      </c>
      <c r="BI37" s="316">
        <f>_xll.meCurveDiscountFactorsForwardStarting($BD$7,BD37,"CZKYC","PRB6M")</f>
        <v>0.83860799320259172</v>
      </c>
      <c r="BJ37" s="316">
        <f t="shared" si="9"/>
        <v>14.102504736764539</v>
      </c>
      <c r="BK37" s="531">
        <f t="shared" si="10"/>
        <v>-20.698209796700713</v>
      </c>
      <c r="BL37" s="532">
        <f>CZK_DATA!AR19</f>
        <v>-21</v>
      </c>
      <c r="BM37" s="437">
        <f>BL37+BK37</f>
        <v>-41.698209796700709</v>
      </c>
    </row>
    <row r="38" spans="7:65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/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355"/>
      <c r="AN38" s="28"/>
      <c r="AO38" s="29"/>
      <c r="AP38" s="29"/>
      <c r="AQ38" s="30"/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  <c r="BC38" s="390" t="s">
        <v>1376</v>
      </c>
      <c r="BD38" s="516">
        <f>_xll.meDateFromTenor($BD$7,BC38,"MF",$BD$6)</f>
        <v>49745</v>
      </c>
      <c r="BE38" s="517">
        <f t="shared" si="7"/>
        <v>182</v>
      </c>
      <c r="BF38" s="518">
        <f>_xll.meCurveDiscountFactorsForwardStarting($BD$7,BD38,"EURYC","EUR6ML")</f>
        <v>1.0015256138025066</v>
      </c>
      <c r="BG38" s="316">
        <f t="shared" si="8"/>
        <v>15.971047456824151</v>
      </c>
      <c r="BH38" s="527">
        <f>_xll.meLWOSwapParSpread(_xll.meLWOXccySwapCreateFromGenerator("TEST","EUR_XCCY","PAy",$BD$7,BD38,1,1,"Float","Float",,,,,"USD",TRUE,"LEG2:FLOAT"),$BG$2:$BH$4)</f>
        <v>-18.740932644154856</v>
      </c>
      <c r="BI38" s="316">
        <f>_xll.meCurveDiscountFactorsForwardStarting($BD$7,BD38,"CZKYC","PRB6M")</f>
        <v>0.83145756404410009</v>
      </c>
      <c r="BJ38" s="316">
        <f t="shared" si="9"/>
        <v>14.522852727475723</v>
      </c>
      <c r="BK38" s="531">
        <f t="shared" si="10"/>
        <v>-20.609747290122581</v>
      </c>
      <c r="BL38" s="532"/>
      <c r="BM38" s="523"/>
    </row>
    <row r="39" spans="7:65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/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355"/>
      <c r="AN39" s="28"/>
      <c r="AO39" s="29"/>
      <c r="AP39" s="29"/>
      <c r="AQ39" s="30"/>
      <c r="AR39" s="27"/>
      <c r="AT39" s="24"/>
      <c r="AU39" s="25"/>
      <c r="AV39" s="28"/>
      <c r="AW39" s="29"/>
      <c r="AX39" s="29"/>
      <c r="AY39" s="30"/>
      <c r="AZ39" s="27"/>
      <c r="BC39" s="390" t="s">
        <v>1377</v>
      </c>
      <c r="BD39" s="516">
        <f>_xll.meDateFromTenor($BD$7,BC39,"MF",$BD$6)</f>
        <v>49929</v>
      </c>
      <c r="BE39" s="517">
        <f t="shared" si="7"/>
        <v>184</v>
      </c>
      <c r="BF39" s="518">
        <f>_xll.meCurveDiscountFactorsForwardStarting($BD$7,BD39,"EURYC","EUR6ML")</f>
        <v>0.99967093799355766</v>
      </c>
      <c r="BG39" s="316">
        <f t="shared" si="8"/>
        <v>16.481990380687524</v>
      </c>
      <c r="BH39" s="527">
        <f>_xll.meLWOSwapParSpread(_xll.meLWOXccySwapCreateFromGenerator("TEST","EUR_XCCY","PAy",$BD$7,BD39,1,1,"Float","Float",,,,,"USD",TRUE,"LEG2:FLOAT"),$BG$2:$BH$4)</f>
        <v>-18.579285027553762</v>
      </c>
      <c r="BI39" s="316">
        <f>_xll.meCurveDiscountFactorsForwardStarting($BD$7,BD39,"CZKYC","PRB6M")</f>
        <v>0.82451164560206514</v>
      </c>
      <c r="BJ39" s="316">
        <f t="shared" si="9"/>
        <v>14.944269790783444</v>
      </c>
      <c r="BK39" s="531">
        <f t="shared" si="10"/>
        <v>-20.49103779517214</v>
      </c>
      <c r="BL39" s="532"/>
      <c r="BM39" s="523"/>
    </row>
    <row r="40" spans="7:65" x14ac:dyDescent="0.25">
      <c r="G40" s="24"/>
      <c r="H40" s="25"/>
      <c r="I40" s="25"/>
      <c r="J40" s="187"/>
      <c r="K40" s="187"/>
      <c r="L40" s="26"/>
      <c r="M40" s="27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/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35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  <c r="BC40" s="390" t="s">
        <v>1378</v>
      </c>
      <c r="BD40" s="516">
        <f>_xll.meDateFromTenor($BD$7,BC40,"MF",$BD$6)</f>
        <v>50110</v>
      </c>
      <c r="BE40" s="517">
        <f t="shared" si="7"/>
        <v>181</v>
      </c>
      <c r="BF40" s="518">
        <f>_xll.meCurveDiscountFactorsForwardStarting($BD$7,BD40,"EURYC","EUR6ML")</f>
        <v>0.99793518796183589</v>
      </c>
      <c r="BG40" s="316">
        <f t="shared" si="8"/>
        <v>16.983730016857226</v>
      </c>
      <c r="BH40" s="527">
        <f>_xll.meLWOSwapParSpread(_xll.meLWOXccySwapCreateFromGenerator("TEST","EUR_XCCY","PAy",$BD$7,BD40,1,1,"Float","Float",,,,,"USD",TRUE,"LEG2:FLOAT"),$BG$2:$BH$4)</f>
        <v>-18.392142501615229</v>
      </c>
      <c r="BI40" s="316">
        <f>_xll.meCurveDiscountFactorsForwardStarting($BD$7,BD40,"CZKYC","PRB6M")</f>
        <v>0.81792691543554885</v>
      </c>
      <c r="BJ40" s="316">
        <f t="shared" si="9"/>
        <v>15.355505267710761</v>
      </c>
      <c r="BK40" s="531">
        <f t="shared" si="10"/>
        <v>-20.342357821063523</v>
      </c>
      <c r="BL40" s="532"/>
      <c r="BM40" s="523"/>
    </row>
    <row r="41" spans="7:65" x14ac:dyDescent="0.25">
      <c r="G41" s="24"/>
      <c r="H41" s="25"/>
      <c r="I41" s="25"/>
      <c r="J41" s="187"/>
      <c r="K41" s="187"/>
      <c r="L41" s="26"/>
      <c r="M41" s="27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/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35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  <c r="BC41" s="520" t="s">
        <v>1379</v>
      </c>
      <c r="BD41" s="516">
        <f>_xll.meDateFromTenor($BD$7,BC41,"MF",$BD$6)</f>
        <v>50294</v>
      </c>
      <c r="BE41" s="517">
        <f t="shared" si="7"/>
        <v>184</v>
      </c>
      <c r="BF41" s="518">
        <f>_xll.meCurveDiscountFactorsForwardStarting($BD$7,BD41,"EURYC","EUR6ML")</f>
        <v>0.99626604889422166</v>
      </c>
      <c r="BG41" s="316">
        <f t="shared" si="8"/>
        <v>17.49293266406983</v>
      </c>
      <c r="BH41" s="527">
        <f>_xll.meLWOSwapParSpread(_xll.meLWOXccySwapCreateFromGenerator("TEST","EUR_XCCY","PAy",$BD$7,BD41,1,1,"Float","Float",,,,,"USD",TRUE,"LEG2:FLOAT"),$BG$2:$BH$4)</f>
        <v>-18.171831411935695</v>
      </c>
      <c r="BI41" s="316">
        <f>_xll.meCurveDiscountFactorsForwardStarting($BD$7,BD41,"CZKYC","PRB6M")</f>
        <v>0.81145575042907558</v>
      </c>
      <c r="BJ41" s="316">
        <f t="shared" si="9"/>
        <v>15.770249317930066</v>
      </c>
      <c r="BK41" s="531">
        <f t="shared" si="10"/>
        <v>-20.15685464848082</v>
      </c>
      <c r="BL41" s="532"/>
      <c r="BM41" s="523"/>
    </row>
    <row r="42" spans="7:65" x14ac:dyDescent="0.25">
      <c r="G42" s="24"/>
      <c r="H42" s="25"/>
      <c r="I42" s="25"/>
      <c r="J42" s="187"/>
      <c r="K42" s="187"/>
      <c r="L42" s="26"/>
      <c r="M42" s="27"/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/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35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  <c r="BC42" s="390" t="s">
        <v>1380</v>
      </c>
      <c r="BD42" s="516">
        <f>_xll.meDateFromTenor($BD$7,BC42,"MF",$BD$6)</f>
        <v>50475</v>
      </c>
      <c r="BE42" s="517">
        <f t="shared" si="7"/>
        <v>181</v>
      </c>
      <c r="BF42" s="518">
        <f>_xll.meCurveDiscountFactorsForwardStarting($BD$7,BD42,"EURYC","EUR6ML")</f>
        <v>0.99472304842287962</v>
      </c>
      <c r="BG42" s="316">
        <f t="shared" si="8"/>
        <v>17.993057307860223</v>
      </c>
      <c r="BH42" s="527">
        <f>_xll.meLWOSwapParSpread(_xll.meLWOXccySwapCreateFromGenerator("TEST","EUR_XCCY","PAy",$BD$7,BD42,1,1,"Float","Float",,,,,"USD",TRUE,"LEG2:FLOAT"),$BG$2:$BH$4)</f>
        <v>-17.924985158239924</v>
      </c>
      <c r="BI42" s="316">
        <f>_xll.meCurveDiscountFactorsForwardStarting($BD$7,BD42,"CZKYC","PRB6M")</f>
        <v>0.80528139033207435</v>
      </c>
      <c r="BJ42" s="316">
        <f t="shared" si="9"/>
        <v>16.175126905847026</v>
      </c>
      <c r="BK42" s="531">
        <f t="shared" si="10"/>
        <v>-19.93958298269472</v>
      </c>
      <c r="BL42" s="532"/>
      <c r="BM42" s="523"/>
    </row>
    <row r="43" spans="7:65" x14ac:dyDescent="0.25">
      <c r="G43" s="24"/>
      <c r="H43" s="25"/>
      <c r="I43" s="25"/>
      <c r="J43" s="187"/>
      <c r="K43" s="187"/>
      <c r="L43" s="26"/>
      <c r="M43" s="27"/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/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35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/>
      <c r="AZ43" s="27"/>
      <c r="BC43" s="390" t="s">
        <v>1381</v>
      </c>
      <c r="BD43" s="516">
        <f>_xll.meDateFromTenor($BD$7,BC43,"MF",$BD$6)</f>
        <v>50661</v>
      </c>
      <c r="BE43" s="517">
        <f t="shared" si="7"/>
        <v>186</v>
      </c>
      <c r="BF43" s="518">
        <f>_xll.meCurveDiscountFactorsForwardStarting($BD$7,BD43,"EURYC","EUR6ML")</f>
        <v>0.99324494826578058</v>
      </c>
      <c r="BG43" s="316">
        <f t="shared" si="8"/>
        <v>18.50623386446421</v>
      </c>
      <c r="BH43" s="527">
        <f>_xll.meLWOSwapParSpread(_xll.meLWOXccySwapCreateFromGenerator("TEST","EUR_XCCY","PAy",$BD$7,BD43,1,1,"Float","Float",,,,,"USD",TRUE,"LEG2:FLOAT"),$BG$2:$BH$4)</f>
        <v>-17.66906924379521</v>
      </c>
      <c r="BI43" s="316">
        <f>_xll.meCurveDiscountFactorsForwardStarting($BD$7,BD43,"CZKYC","PRB6M")</f>
        <v>0.79910606993833211</v>
      </c>
      <c r="BJ43" s="316">
        <f t="shared" si="9"/>
        <v>16.587998375315166</v>
      </c>
      <c r="BK43" s="531">
        <f t="shared" si="10"/>
        <v>-19.712319726271573</v>
      </c>
      <c r="BL43" s="532"/>
      <c r="BM43" s="523"/>
    </row>
    <row r="44" spans="7:65" x14ac:dyDescent="0.25">
      <c r="G44" s="24"/>
      <c r="H44" s="25"/>
      <c r="I44" s="25"/>
      <c r="J44" s="187"/>
      <c r="K44" s="187"/>
      <c r="L44" s="26"/>
      <c r="M44" s="27"/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/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35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/>
      <c r="AZ44" s="27"/>
      <c r="BC44" s="390" t="s">
        <v>1382</v>
      </c>
      <c r="BD44" s="516">
        <f>_xll.meDateFromTenor($BD$7,BC44,"MF",$BD$6)</f>
        <v>50840</v>
      </c>
      <c r="BE44" s="517">
        <f t="shared" si="7"/>
        <v>179</v>
      </c>
      <c r="BF44" s="518">
        <f>_xll.meCurveDiscountFactorsForwardStarting($BD$7,BD44,"EURYC","EUR6ML")</f>
        <v>0.99193042559616618</v>
      </c>
      <c r="BG44" s="316">
        <f t="shared" si="8"/>
        <v>18.999443714968972</v>
      </c>
      <c r="BH44" s="527">
        <f>_xll.meLWOSwapParSpread(_xll.meLWOXccySwapCreateFromGenerator("TEST","EUR_XCCY","PAy",$BD$7,BD44,1,1,"Float","Float",,,,,"USD",TRUE,"LEG2:FLOAT"),$BG$2:$BH$4)</f>
        <v>-17.337720771496741</v>
      </c>
      <c r="BI44" s="316">
        <f>_xll.meCurveDiscountFactorsForwardStarting($BD$7,BD44,"CZKYC","PRB6M")</f>
        <v>0.79329967741250051</v>
      </c>
      <c r="BJ44" s="316">
        <f t="shared" si="9"/>
        <v>16.982444603806382</v>
      </c>
      <c r="BK44" s="531">
        <f t="shared" si="10"/>
        <v>-19.39691591103843</v>
      </c>
      <c r="BL44" s="532"/>
      <c r="BM44" s="523"/>
    </row>
    <row r="45" spans="7:65" x14ac:dyDescent="0.25">
      <c r="G45" s="24"/>
      <c r="H45" s="25"/>
      <c r="I45" s="25"/>
      <c r="J45" s="187"/>
      <c r="K45" s="187"/>
      <c r="L45" s="26"/>
      <c r="M45" s="27"/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W45" s="24"/>
      <c r="X45" s="25"/>
      <c r="Y45" s="191"/>
      <c r="Z45" s="27"/>
      <c r="AB45" s="24"/>
      <c r="AC45" s="25"/>
      <c r="AD45" s="26"/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35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/>
      <c r="AZ45" s="27"/>
      <c r="BC45" s="520" t="s">
        <v>1383</v>
      </c>
      <c r="BD45" s="516">
        <f>_xll.meDateFromTenor($BD$7,BC45,"MF",$BD$6)</f>
        <v>51025</v>
      </c>
      <c r="BE45" s="517">
        <f t="shared" si="7"/>
        <v>185</v>
      </c>
      <c r="BF45" s="518">
        <f>_xll.meCurveDiscountFactorsForwardStarting($BD$7,BD45,"EURYC","EUR6ML")</f>
        <v>0.99068833726479377</v>
      </c>
      <c r="BG45" s="316">
        <f t="shared" si="8"/>
        <v>19.508547443841159</v>
      </c>
      <c r="BH45" s="527">
        <f>_xll.meLWOSwapParSpread(_xll.meLWOXccySwapCreateFromGenerator("TEST","EUR_XCCY","PAy",$BD$7,BD45,1,1,"Float","Float",,,,,"USD",TRUE,"LEG2:FLOAT"),$BG$2:$BH$4)</f>
        <v>-17.024355118530814</v>
      </c>
      <c r="BI45" s="316">
        <f>_xll.meCurveDiscountFactorsForwardStarting($BD$7,BD45,"CZKYC","PRB6M")</f>
        <v>0.78741336395281714</v>
      </c>
      <c r="BJ45" s="316">
        <f t="shared" si="9"/>
        <v>17.387087582504357</v>
      </c>
      <c r="BK45" s="531">
        <f t="shared" si="10"/>
        <v>-19.101556712974315</v>
      </c>
      <c r="BL45" s="532"/>
      <c r="BM45" s="523"/>
    </row>
    <row r="46" spans="7:65" x14ac:dyDescent="0.25">
      <c r="G46" s="24"/>
      <c r="H46" s="25"/>
      <c r="I46" s="25"/>
      <c r="J46" s="25"/>
      <c r="K46" s="25"/>
      <c r="L46" s="26"/>
      <c r="M46" s="27"/>
      <c r="O46" s="24"/>
      <c r="P46" s="25"/>
      <c r="Q46" s="28"/>
      <c r="R46" s="29"/>
      <c r="S46" s="29"/>
      <c r="T46" s="30" t="str">
        <f>IF(O46="","",IF(StaticData.Today=TODAY(),_xll.BDP(O46,"LAST_PRICE"),_xll.BDH(O46,"LAST_PRICE",StaticData.Today,StaticData.Today)))</f>
        <v/>
      </c>
      <c r="U46" s="27"/>
      <c r="W46" s="24"/>
      <c r="X46" s="25"/>
      <c r="Y46" s="191"/>
      <c r="Z46" s="27"/>
      <c r="AB46" s="24"/>
      <c r="AC46" s="25"/>
      <c r="AD46" s="26"/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35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  <c r="BC46" s="521" t="s">
        <v>1384</v>
      </c>
      <c r="BD46" s="516">
        <f>_xll.meDateFromTenor($BD$7,BC46,"MF",$BD$6)</f>
        <v>51207</v>
      </c>
      <c r="BE46" s="517">
        <f t="shared" si="7"/>
        <v>182</v>
      </c>
      <c r="BF46" s="518">
        <f>_xll.meCurveDiscountFactorsForwardStarting($BD$7,BD46,"EURYC","EUR6ML")</f>
        <v>0.98958710765696567</v>
      </c>
      <c r="BG46" s="316">
        <f t="shared" si="8"/>
        <v>20.008838703823294</v>
      </c>
      <c r="BH46" s="527">
        <f>_xll.meLWOSwapParSpread(_xll.meLWOXccySwapCreateFromGenerator("TEST","EUR_XCCY","PAy",$BD$7,BD46,1,1,"Float","Float",,,,,"USD",TRUE,"LEG2:FLOAT"),$BG$2:$BH$4)</f>
        <v>-16.662788921881372</v>
      </c>
      <c r="BI46" s="316">
        <f>_xll.meCurveDiscountFactorsForwardStarting($BD$7,BD46,"CZKYC","PRB6M")</f>
        <v>0.78171141054107418</v>
      </c>
      <c r="BJ46" s="316">
        <f t="shared" si="9"/>
        <v>17.782286128944566</v>
      </c>
      <c r="BK46" s="531">
        <f t="shared" si="10"/>
        <v>-18.749167203596588</v>
      </c>
      <c r="BL46" s="532"/>
      <c r="BM46" s="523"/>
    </row>
    <row r="47" spans="7:65" x14ac:dyDescent="0.25">
      <c r="G47" s="38"/>
      <c r="H47" s="39"/>
      <c r="I47" s="39"/>
      <c r="J47" s="39"/>
      <c r="K47" s="39"/>
      <c r="L47" s="40"/>
      <c r="M47" s="41"/>
      <c r="O47" s="24"/>
      <c r="P47" s="25"/>
      <c r="Q47" s="28"/>
      <c r="R47" s="29"/>
      <c r="S47" s="29"/>
      <c r="T47" s="30" t="str">
        <f>IF(O47="","",IF(StaticData.Today=TODAY(),_xll.BDP(O47,"LAST_PRICE"),_xll.BDH(O47,"LAST_PRICE",StaticData.Today,StaticData.Today)))</f>
        <v/>
      </c>
      <c r="U47" s="27"/>
      <c r="W47" s="24"/>
      <c r="X47" s="25"/>
      <c r="Y47" s="191"/>
      <c r="Z47" s="27"/>
      <c r="AB47" s="24"/>
      <c r="AC47" s="25"/>
      <c r="AD47" s="26"/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35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  <c r="BC47" s="390" t="s">
        <v>1385</v>
      </c>
      <c r="BD47" s="516">
        <f>_xll.meDateFromTenor($BD$7,BC47,"MF",$BD$6)</f>
        <v>51390</v>
      </c>
      <c r="BE47" s="517">
        <f t="shared" si="7"/>
        <v>183</v>
      </c>
      <c r="BF47" s="518">
        <f>_xll.meCurveDiscountFactorsForwardStarting($BD$7,BD47,"EURYC","EUR6ML")</f>
        <v>0.98860576630541497</v>
      </c>
      <c r="BG47" s="316">
        <f t="shared" si="8"/>
        <v>20.511379968361879</v>
      </c>
      <c r="BH47" s="527">
        <f>_xll.meLWOSwapParSpread(_xll.meLWOXccySwapCreateFromGenerator("TEST","EUR_XCCY","PAy",$BD$7,BD47,1,1,"Float","Float",,,,,"USD",TRUE,"LEG2:FLOAT"),$BG$2:$BH$4)</f>
        <v>-16.250000001200466</v>
      </c>
      <c r="BI47" s="316">
        <f>_xll.meCurveDiscountFactorsForwardStarting($BD$7,BD47,"CZKYC","PRB6M")</f>
        <v>0.77604269136965465</v>
      </c>
      <c r="BJ47" s="316">
        <f t="shared" si="9"/>
        <v>18.176774497057473</v>
      </c>
      <c r="BK47" s="531">
        <f t="shared" si="10"/>
        <v>-18.337132617476289</v>
      </c>
      <c r="BL47" s="532">
        <f>CZK_DATA!AR20</f>
        <v>-15.5</v>
      </c>
      <c r="BM47" s="437">
        <f>BL47+BK47</f>
        <v>-33.837132617476286</v>
      </c>
    </row>
    <row r="48" spans="7:65" x14ac:dyDescent="0.25">
      <c r="O48" s="24"/>
      <c r="P48" s="25"/>
      <c r="Q48" s="28"/>
      <c r="R48" s="29"/>
      <c r="S48" s="29"/>
      <c r="T48" s="30" t="str">
        <f>IF(O48="","",IF(StaticData.Today=TODAY(),_xll.BDP(O48,"LAST_PRICE"),_xll.BDH(O48,"LAST_PRICE",StaticData.Today,StaticData.Today)))</f>
        <v/>
      </c>
      <c r="U48" s="27"/>
      <c r="W48" s="24"/>
      <c r="X48" s="25"/>
      <c r="Y48" s="191"/>
      <c r="Z48" s="27"/>
      <c r="AB48" s="24"/>
      <c r="AC48" s="25"/>
      <c r="AD48" s="26"/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24"/>
      <c r="AM48" s="355"/>
      <c r="AN48" s="28"/>
      <c r="AO48" s="29"/>
      <c r="AP48" s="29"/>
      <c r="AQ48" s="30" t="str">
        <f>IF(AL48="","",IF(StaticData.Today=TODAY(),_xll.BDP(AL48,"LAST_PRICE"),_xll.BDH(AL48,"LAST_PRICE",StaticData.Today,StaticData.Today)))</f>
        <v/>
      </c>
      <c r="AR48" s="27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15:52" x14ac:dyDescent="0.25">
      <c r="O49" s="38"/>
      <c r="P49" s="39"/>
      <c r="Q49" s="42"/>
      <c r="R49" s="43"/>
      <c r="S49" s="43"/>
      <c r="T49" s="44" t="str">
        <f>IF(O49="","",IF(StaticData.Today=TODAY(),_xll.BDP(O49,"LAST_PRICE"),_xll.BDH(O49,"LAST_PRICE",StaticData.Today,StaticData.Today)))</f>
        <v/>
      </c>
      <c r="U49" s="41"/>
      <c r="W49" s="24"/>
      <c r="X49" s="25"/>
      <c r="Y49" s="191"/>
      <c r="Z49" s="27"/>
      <c r="AB49" s="24"/>
      <c r="AC49" s="25"/>
      <c r="AD49" s="26"/>
      <c r="AE49" s="27"/>
      <c r="AL49" s="24"/>
      <c r="AM49" s="355"/>
      <c r="AN49" s="28"/>
      <c r="AO49" s="29"/>
      <c r="AP49" s="29"/>
      <c r="AQ49" s="30" t="str">
        <f>IF(AL49="","",IF(StaticData.Today=TODAY(),_xll.BDP(AL49,"LAST_PRICE"),_xll.BDH(AL49,"LAST_PRICE",StaticData.Today,StaticData.Today)))</f>
        <v/>
      </c>
      <c r="AR49" s="27"/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15:52" x14ac:dyDescent="0.25">
      <c r="W50" s="24"/>
      <c r="X50" s="25"/>
      <c r="Y50" s="191"/>
      <c r="Z50" s="27"/>
      <c r="AB50" s="38"/>
      <c r="AC50" s="39"/>
      <c r="AD50" s="40"/>
      <c r="AE50" s="41"/>
      <c r="AL50" s="38"/>
      <c r="AM50" s="534"/>
      <c r="AN50" s="42"/>
      <c r="AO50" s="43"/>
      <c r="AP50" s="43"/>
      <c r="AQ50" s="44" t="str">
        <f>IF(AL50="","",IF(StaticData.Today=TODAY(),_xll.BDP(AL50,"LAST_PRICE"),_xll.BDH(AL50,"LAST_PRICE",StaticData.Today,StaticData.Today)))</f>
        <v/>
      </c>
      <c r="AR50" s="41"/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15:52" x14ac:dyDescent="0.25">
      <c r="W51" s="24"/>
      <c r="X51" s="25"/>
      <c r="Y51" s="191"/>
      <c r="Z51" s="27"/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15:52" x14ac:dyDescent="0.25">
      <c r="W52" s="24"/>
      <c r="X52" s="25"/>
      <c r="Y52" s="191"/>
      <c r="Z52" s="27"/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15:52" x14ac:dyDescent="0.25">
      <c r="W53" s="24"/>
      <c r="X53" s="25"/>
      <c r="Y53" s="191"/>
      <c r="Z53" s="27"/>
      <c r="AT53" s="24"/>
      <c r="AU53" s="25"/>
      <c r="AV53" s="28"/>
      <c r="AW53" s="29"/>
      <c r="AX53" s="29"/>
      <c r="AY53" s="30" t="str">
        <f>IF(AT53="","",IF(StaticData.Today=TODAY(),_xll.BDP(AT53,"LAST_PRICE"),_xll.BDH(AT53,"LAST_PRICE",StaticData.Today,StaticData.Today)))</f>
        <v/>
      </c>
      <c r="AZ53" s="27"/>
    </row>
    <row r="54" spans="15:52" x14ac:dyDescent="0.25">
      <c r="W54" s="24"/>
      <c r="X54" s="25"/>
      <c r="Y54" s="191"/>
      <c r="Z54" s="27"/>
      <c r="AT54" s="24"/>
      <c r="AU54" s="25"/>
      <c r="AV54" s="28"/>
      <c r="AW54" s="29"/>
      <c r="AX54" s="29"/>
      <c r="AY54" s="30" t="str">
        <f>IF(AT54="","",IF(StaticData.Today=TODAY(),_xll.BDP(AT54,"LAST_PRICE"),_xll.BDH(AT54,"LAST_PRICE",StaticData.Today,StaticData.Today)))</f>
        <v/>
      </c>
      <c r="AZ54" s="27"/>
    </row>
    <row r="55" spans="15:52" x14ac:dyDescent="0.25">
      <c r="W55" s="24"/>
      <c r="X55" s="25"/>
      <c r="Y55" s="191"/>
      <c r="Z55" s="27"/>
      <c r="AT55" s="24"/>
      <c r="AU55" s="25"/>
      <c r="AV55" s="28"/>
      <c r="AW55" s="29"/>
      <c r="AX55" s="29"/>
      <c r="AY55" s="30" t="str">
        <f>IF(AT55="","",IF(StaticData.Today=TODAY(),_xll.BDP(AT55,"LAST_PRICE"),_xll.BDH(AT55,"LAST_PRICE",StaticData.Today,StaticData.Today)))</f>
        <v/>
      </c>
      <c r="AZ55" s="27"/>
    </row>
    <row r="56" spans="15:52" x14ac:dyDescent="0.25">
      <c r="W56" s="38"/>
      <c r="X56" s="39"/>
      <c r="Y56" s="192"/>
      <c r="Z56" s="41"/>
      <c r="AT56" s="38"/>
      <c r="AU56" s="39"/>
      <c r="AV56" s="42"/>
      <c r="AW56" s="43"/>
      <c r="AX56" s="43"/>
      <c r="AY56" s="44" t="str">
        <f>IF(AT56="","",IF(StaticData.Today=TODAY(),_xll.BDP(AT56,"LAST_PRICE"),_xll.BDH(AT56,"LAST_PRICE",StaticData.Today,StaticData.Today)))</f>
        <v/>
      </c>
      <c r="AZ56" s="41"/>
    </row>
  </sheetData>
  <dataValidations disablePrompts="1" count="4">
    <dataValidation type="list" allowBlank="1" showInputMessage="1" showErrorMessage="1" sqref="W2">
      <formula1>$Q$97:$Q$100</formula1>
    </dataValidation>
    <dataValidation type="list" allowBlank="1" showInputMessage="1" showErrorMessage="1" sqref="AB2">
      <formula1>$Q$95:$Q$98</formula1>
    </dataValidation>
    <dataValidation type="list" allowBlank="1" showInputMessage="1" showErrorMessage="1" sqref="O1">
      <formula1>$Q$91:$Q$94</formula1>
    </dataValidation>
    <dataValidation type="list" allowBlank="1" showInputMessage="1" showErrorMessage="1" sqref="O2">
      <formula1>$Q$96:$Q$99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'STATIC DATA'!$Q$92:$Q$95</xm:f>
          </x14:formula1>
          <xm:sqref>G1 AL1 AT1</xm:sqref>
        </x14:dataValidation>
        <x14:dataValidation type="list" allowBlank="1" showInputMessage="1" showErrorMessage="1">
          <x14:formula1>
            <xm:f>'STATIC DATA'!$Q$97:$Q$100</xm:f>
          </x14:formula1>
          <xm:sqref>AL2 AT2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7" tint="0.79998168889431442"/>
  </sheetPr>
  <dimension ref="A1:AZ56"/>
  <sheetViews>
    <sheetView workbookViewId="0">
      <selection activeCell="AL21" sqref="AL21"/>
    </sheetView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8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120</v>
      </c>
      <c r="G1" s="6" t="s">
        <v>546</v>
      </c>
      <c r="O1" s="6" t="s">
        <v>849</v>
      </c>
      <c r="AT1" s="6" t="s">
        <v>508</v>
      </c>
    </row>
    <row r="2" spans="1:52" x14ac:dyDescent="0.25">
      <c r="G2" s="7"/>
      <c r="O2" s="6" t="s">
        <v>508</v>
      </c>
      <c r="W2" s="6" t="s">
        <v>528</v>
      </c>
      <c r="AB2" s="6" t="s">
        <v>528</v>
      </c>
      <c r="AL2" s="6" t="s">
        <v>528</v>
      </c>
      <c r="AT2" s="6" t="s">
        <v>510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123</v>
      </c>
      <c r="L3" s="8"/>
      <c r="O3" s="2" t="str">
        <f>$A$1&amp;"_3M"</f>
        <v>GBP_3M</v>
      </c>
      <c r="T3" s="8" t="s">
        <v>282</v>
      </c>
      <c r="W3" s="2" t="str">
        <f>$A$1&amp;"_BASIS_6M"</f>
        <v>GBP_BASIS_6M</v>
      </c>
      <c r="AB3" s="2" t="str">
        <f>$A$1&amp;"_BASIS_1M"</f>
        <v>GBP_BASIS_1M</v>
      </c>
      <c r="AG3" s="2" t="str">
        <f>$A$1&amp;"_BASIS_12M"</f>
        <v>GBP_BASIS_12M</v>
      </c>
      <c r="AL3" s="2" t="str">
        <f>'STATIC DATA'!$D$4&amp;'STATIC DATA'!$Q$4&amp;"_BASIS"</f>
        <v>EURCZK_BASIS</v>
      </c>
      <c r="AQ3" s="8" t="s">
        <v>282</v>
      </c>
      <c r="AT3" s="2" t="str">
        <f>$A$1&amp;"_"&amp;'STATIC DATA'!S67</f>
        <v>GBP_USD_1D</v>
      </c>
      <c r="AY3" s="8" t="s">
        <v>282</v>
      </c>
    </row>
    <row r="4" spans="1:52" x14ac:dyDescent="0.25">
      <c r="B4" s="9" t="b">
        <f ca="1">SUM(C7:C17)=SUM(D7:D17)</f>
        <v>0</v>
      </c>
      <c r="E4" s="10">
        <f ca="1">SUM(E7:E17)</f>
        <v>13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SONIA</v>
      </c>
      <c r="C7" s="12">
        <f>COUNTA(G7:G41)</f>
        <v>21</v>
      </c>
      <c r="D7" s="12">
        <f ca="1">COUNT(L7:L41)</f>
        <v>9</v>
      </c>
      <c r="E7" s="13">
        <f t="shared" ref="E7:E12" ca="1" si="0">C7-D7</f>
        <v>12</v>
      </c>
      <c r="G7" s="14" t="s">
        <v>1190</v>
      </c>
      <c r="H7" s="15" t="s">
        <v>298</v>
      </c>
      <c r="I7" s="15"/>
      <c r="J7" s="186"/>
      <c r="K7" s="186"/>
      <c r="L7" s="26">
        <f ca="1">IF(G7="","",IF(StaticData.Today=TODAY(),_xll.BDP(G7,"PX_LAST"),_xll.BDH(G7,"PX_LAST",StaticData.Today,StaticData.Today)))</f>
        <v>0.25</v>
      </c>
      <c r="M7" s="17">
        <f ca="1">L7/100</f>
        <v>2.5000000000000001E-3</v>
      </c>
      <c r="O7" s="14"/>
      <c r="P7" s="15"/>
      <c r="Q7" s="18"/>
      <c r="R7" s="19"/>
      <c r="S7" s="19"/>
      <c r="T7" s="20" t="str">
        <f ca="1">IF(O7="","",IF(StaticData.Today=TODAY(),_xll.BDP(O7,"PX_LAST"),_xll.BDH(O7,"PX_LAST",StaticData.Today,StaticData.Today)))</f>
        <v/>
      </c>
      <c r="U7" s="184">
        <f ca="1">U8</f>
        <v>4.8124999999999999E-3</v>
      </c>
      <c r="W7" s="8">
        <f>O7</f>
        <v>0</v>
      </c>
      <c r="X7" s="8" t="s">
        <v>298</v>
      </c>
      <c r="Y7" s="189"/>
      <c r="Z7" s="449">
        <f ca="1">U7</f>
        <v>4.8124999999999999E-3</v>
      </c>
      <c r="AB7" s="14">
        <f>O7</f>
        <v>0</v>
      </c>
      <c r="AC7" s="15" t="s">
        <v>298</v>
      </c>
      <c r="AD7" s="16" t="str">
        <f ca="1">T7</f>
        <v/>
      </c>
      <c r="AE7" s="17" t="e">
        <f ca="1">AD7/100</f>
        <v>#VALUE!</v>
      </c>
      <c r="AG7" s="14"/>
      <c r="AH7" s="15" t="s">
        <v>47</v>
      </c>
      <c r="AI7" s="16" t="str">
        <f ca="1">IF(AG7="","",IF(StaticData.Today=TODAY(),_xll.BDP(AG7,"LAST_PRICE"),_xll.BDH(AG7,"LAST_PRICE",StaticData.Today,StaticData.Today)))</f>
        <v/>
      </c>
      <c r="AJ7" s="17"/>
      <c r="AL7" s="14" t="str">
        <f>"CDBSC"&amp;" Curncy"</f>
        <v>CDBSC Curncy</v>
      </c>
      <c r="AM7" s="15" t="s">
        <v>49</v>
      </c>
      <c r="AN7" s="18"/>
      <c r="AO7" s="19">
        <f ca="1">IF(AL7="","",IF(StaticData.Today=TODAY(),_xll.BDP(AL7,"BID"),_xll.BDH(AL7,"BID",StaticData.Today,StaticData.Today)))</f>
        <v>-33.506999999999998</v>
      </c>
      <c r="AP7" s="19">
        <f ca="1">IF(AL7="","",IF(StaticData.Today=TODAY(),_xll.BDP(AL7,"ASK"),_xll.BDH(AL7,"ASK",StaticData.Today,StaticData.Today)))</f>
        <v>-31.492999999999999</v>
      </c>
      <c r="AQ7" s="177">
        <f ca="1">IF(AL7="","",IF(StaticData.Today=TODAY(),_xll.BDP(AL7,"LAST_PRICE"),_xll.BDH(AL7,"LAST_PRICE",StaticData.Today,StaticData.Today)))</f>
        <v>-32.5</v>
      </c>
      <c r="AR7" s="180">
        <f ca="1">AQ7</f>
        <v>-32.5</v>
      </c>
      <c r="AT7" s="24" t="s">
        <v>1194</v>
      </c>
      <c r="AU7" s="15"/>
      <c r="AV7" s="18"/>
      <c r="AW7" s="19">
        <f ca="1">IF(AT7="","",IF(StaticData.Today=TODAY(),_xll.BDP(AT7,"BID"),_xll.BDH(AT7,"BID",StaticData.Today,StaticData.Today)))</f>
        <v>1.3228</v>
      </c>
      <c r="AX7" s="19">
        <f ca="1">IF(AT7="","",IF(StaticData.Today=TODAY(),_xll.BDP(AT7,"ASK"),_xll.BDH(AT7,"ASK",StaticData.Today,StaticData.Today)))</f>
        <v>1.3229</v>
      </c>
      <c r="AY7" s="196">
        <f ca="1">IF(AT7="","",IF(StaticData.Today=TODAY(),_xll.BDP(AT7,"PX_LAST"),_xll.BDH(AT7,"PX_LAST",StaticData.Today,StaticData.Today)))</f>
        <v>1.3226</v>
      </c>
      <c r="AZ7" s="180">
        <f t="shared" ref="AZ7:AZ24" ca="1" si="1">AY7</f>
        <v>1.3226</v>
      </c>
    </row>
    <row r="8" spans="1:52" x14ac:dyDescent="0.25">
      <c r="B8" s="21" t="str">
        <f>O3</f>
        <v>GBP_3M</v>
      </c>
      <c r="C8" s="22">
        <f>COUNTA(O7:O46)</f>
        <v>19</v>
      </c>
      <c r="D8" s="22">
        <f ca="1">COUNT(T7:T46)</f>
        <v>19</v>
      </c>
      <c r="E8" s="23">
        <f t="shared" ca="1" si="0"/>
        <v>0</v>
      </c>
      <c r="G8" s="24" t="str">
        <f>"CDSO1Z"&amp;G$1&amp;" Curncy"</f>
        <v>CDSO1Z FMDR Curncy</v>
      </c>
      <c r="H8" s="25" t="s">
        <v>305</v>
      </c>
      <c r="I8" s="25"/>
      <c r="J8" s="187">
        <f ca="1">IF(G8="","",IF(StaticData.Today=TODAY(),_xll.BDP(G8,"BID"),_xll.BDH(G8,"BID",StaticData.Today,StaticData.Today)))</f>
        <v>0.23699999999999999</v>
      </c>
      <c r="K8" s="187">
        <f ca="1">IF(G8="","",IF(StaticData.Today=TODAY(),_xll.BDP(G8,"ASK"),_xll.BDH(G8,"ASK",StaticData.Today,StaticData.Today)))</f>
        <v>0.25700000000000001</v>
      </c>
      <c r="L8" s="26">
        <f ca="1">IF(G8="","",IF(StaticData.Today=TODAY(),_xll.BDP(G8,"LAST_PRICE"),_xll.BDH(G8,"LAST_PRICE",StaticData.Today,StaticData.Today)))</f>
        <v>0.247</v>
      </c>
      <c r="M8" s="27">
        <f t="shared" ref="M8:M14" ca="1" si="2">L8/100</f>
        <v>2.47E-3</v>
      </c>
      <c r="O8" s="24" t="s">
        <v>1191</v>
      </c>
      <c r="P8" s="25" t="s">
        <v>300</v>
      </c>
      <c r="Q8" s="28"/>
      <c r="R8" s="29"/>
      <c r="S8" s="29"/>
      <c r="T8" s="30">
        <f ca="1">IF(O8="","",IF(StaticData.Today=TODAY(),_xll.BDP(O8,"PX_LAST"),_xll.BDH(O8,"PX_LAST",StaticData.Today,StaticData.Today)))</f>
        <v>0.48125000000000001</v>
      </c>
      <c r="U8" s="183">
        <f ca="1">T8/100</f>
        <v>4.8124999999999999E-3</v>
      </c>
      <c r="W8" s="8" t="str">
        <f t="shared" ref="W8:W9" si="3">O8</f>
        <v>CDOR01 Index</v>
      </c>
      <c r="X8" s="8" t="s">
        <v>300</v>
      </c>
      <c r="Y8" s="189"/>
      <c r="Z8" s="449">
        <f t="shared" ref="Z8:Z9" ca="1" si="4">U8</f>
        <v>4.8124999999999999E-3</v>
      </c>
      <c r="AB8" s="24" t="str">
        <f>O8</f>
        <v>CDOR01 Index</v>
      </c>
      <c r="AC8" s="25" t="s">
        <v>300</v>
      </c>
      <c r="AD8" s="26">
        <f ca="1">T8</f>
        <v>0.48125000000000001</v>
      </c>
      <c r="AE8" s="27">
        <f ca="1">AD8/100</f>
        <v>4.8124999999999999E-3</v>
      </c>
      <c r="AG8" s="24"/>
      <c r="AH8" s="25" t="s">
        <v>308</v>
      </c>
      <c r="AI8" s="26" t="str">
        <f ca="1">IF(AG8="","",IF(StaticData.Today=TODAY(),_xll.BDP(AG8,"LAST_PRICE"),_xll.BDH(AG8,"LAST_PRICE",StaticData.Today,StaticData.Today)))</f>
        <v/>
      </c>
      <c r="AJ8" s="27"/>
      <c r="AL8" s="14" t="str">
        <f>"CDBSF"&amp;" Curncy"</f>
        <v>CDBSF Curncy</v>
      </c>
      <c r="AM8" s="25" t="s">
        <v>46</v>
      </c>
      <c r="AN8" s="28"/>
      <c r="AO8" s="29">
        <f ca="1">IF(AL8="","",IF(StaticData.Today=TODAY(),_xll.BDP(AL8,"BID"),_xll.BDH(AL8,"BID",StaticData.Today,StaticData.Today)))</f>
        <v>-35.006999999999998</v>
      </c>
      <c r="AP8" s="29">
        <f ca="1">IF(AL8="","",IF(StaticData.Today=TODAY(),_xll.BDP(AL8,"ASK"),_xll.BDH(AL8,"ASK",StaticData.Today,StaticData.Today)))</f>
        <v>-32.993000000000002</v>
      </c>
      <c r="AQ8" s="177">
        <f ca="1">IF(AL8="","",IF(StaticData.Today=TODAY(),_xll.BDP(AL8,"LAST_PRICE"),_xll.BDH(AL8,"LAST_PRICE",StaticData.Today,StaticData.Today)))</f>
        <v>-34</v>
      </c>
      <c r="AR8" s="181">
        <f ca="1">AQ8</f>
        <v>-34</v>
      </c>
      <c r="AT8" s="24" t="str">
        <f t="shared" ref="AT8:AT24" si="5">"CAD"&amp;AU8&amp;$AT$1&amp;" Curncy"</f>
        <v>CADON BGN Curncy</v>
      </c>
      <c r="AU8" s="25" t="s">
        <v>298</v>
      </c>
      <c r="AV8" s="28"/>
      <c r="AW8" s="196">
        <f ca="1">IF(AT8="","",IF(StaticData.Today=TODAY(),_xll.BDP(AT8,"BID"),_xll.BDH(AT8,"BID",StaticData.Today,StaticData.Today)))</f>
        <v>-0.05</v>
      </c>
      <c r="AX8" s="196">
        <f ca="1">IF(AT8="","",IF(StaticData.Today=TODAY(),_xll.BDP(AT8,"ASK"),_xll.BDH(AT8,"ASK",StaticData.Today,StaticData.Today)))</f>
        <v>-2E-3</v>
      </c>
      <c r="AY8" s="196">
        <f ca="1">IF(AT8="","",IF(StaticData.Today=TODAY(),_xll.BDP(AT8,"PX_LAST"),_xll.BDH(AT8,"PX_LAST",StaticData.Today,StaticData.Today)))</f>
        <v>-2.5999999999999999E-2</v>
      </c>
      <c r="AZ8" s="471">
        <f t="shared" ca="1" si="1"/>
        <v>-2.5999999999999999E-2</v>
      </c>
    </row>
    <row r="9" spans="1:52" x14ac:dyDescent="0.25">
      <c r="B9" s="21" t="s">
        <v>511</v>
      </c>
      <c r="C9" s="22">
        <f>COUNTA(O11:O16)*2</f>
        <v>12</v>
      </c>
      <c r="D9" s="22">
        <f ca="1">COUNT(R11:S16)</f>
        <v>12</v>
      </c>
      <c r="E9" s="23">
        <f t="shared" ca="1" si="0"/>
        <v>0</v>
      </c>
      <c r="G9" s="24" t="str">
        <f>"CDSO1"&amp;G1&amp;" Curncy"</f>
        <v>CDSO1 FMDR Curncy</v>
      </c>
      <c r="H9" s="25" t="s">
        <v>313</v>
      </c>
      <c r="I9" s="25"/>
      <c r="J9" s="187">
        <f ca="1">IF(G9="","",IF(StaticData.Today=TODAY(),_xll.BDP(G9,"BID"),_xll.BDH(G9,"BID",StaticData.Today,StaticData.Today)))</f>
        <v>0.22700000000000001</v>
      </c>
      <c r="K9" s="187">
        <f ca="1">IF(G9="","",IF(StaticData.Today=TODAY(),_xll.BDP(G9,"ASK"),_xll.BDH(G9,"ASK",StaticData.Today,StaticData.Today)))</f>
        <v>0.247</v>
      </c>
      <c r="L9" s="26">
        <f ca="1">IF(G9="","",IF(StaticData.Today=TODAY(),_xll.BDP(G9,"LAST_PRICE"),_xll.BDH(G9,"LAST_PRICE",StaticData.Today,StaticData.Today)))</f>
        <v>0.23699999999999999</v>
      </c>
      <c r="M9" s="27">
        <f t="shared" ca="1" si="2"/>
        <v>2.3699999999999997E-3</v>
      </c>
      <c r="O9" s="24" t="s">
        <v>1192</v>
      </c>
      <c r="P9" s="25" t="s">
        <v>49</v>
      </c>
      <c r="Q9" s="28"/>
      <c r="R9" s="29"/>
      <c r="S9" s="29"/>
      <c r="T9" s="30">
        <f ca="1">IF(O9="","",IF(StaticData.Today=TODAY(),_xll.BDP(O9,"PX_LAST"),_xll.BDH(O9,"PX_LAST",StaticData.Today,StaticData.Today)))</f>
        <v>0.505</v>
      </c>
      <c r="U9" s="183">
        <f ca="1">T9/100</f>
        <v>5.0499999999999998E-3</v>
      </c>
      <c r="W9" s="8" t="str">
        <f t="shared" si="3"/>
        <v>CDOR03 Index</v>
      </c>
      <c r="X9" s="8" t="s">
        <v>49</v>
      </c>
      <c r="Y9" s="189"/>
      <c r="Z9" s="449">
        <f t="shared" ca="1" si="4"/>
        <v>5.0499999999999998E-3</v>
      </c>
      <c r="AB9" s="24" t="str">
        <f>"CKBSAV1"&amp;$AB$2&amp;" Curncy"</f>
        <v>CKBSAV1 ICPL Curncy</v>
      </c>
      <c r="AC9" s="25" t="s">
        <v>47</v>
      </c>
      <c r="AD9" s="26">
        <f ca="1">IF(AB9="","",IF(StaticData.Today=TODAY(),_xll.BDP(AB9,"LAST_PRICE"),_xll.BDH(AB9,"LAST_PRICE",StaticData.Today,StaticData.Today)))</f>
        <v>9.8000000000000007</v>
      </c>
      <c r="AE9" s="27">
        <f ca="1">AD9/10000</f>
        <v>9.7999999999999997E-4</v>
      </c>
      <c r="AG9" s="24"/>
      <c r="AH9" s="25" t="s">
        <v>316</v>
      </c>
      <c r="AI9" s="26" t="str">
        <f ca="1">IF(AG9="","",IF(StaticData.Today=TODAY(),_xll.BDP(AG9,"LAST_PRICE"),_xll.BDH(AG9,"LAST_PRICE",StaticData.Today,StaticData.Today)))</f>
        <v/>
      </c>
      <c r="AJ9" s="27"/>
      <c r="AL9" s="14" t="str">
        <f>"CDBSI"&amp;" Curncy"</f>
        <v>CDBSI Curncy</v>
      </c>
      <c r="AM9" s="25" t="s">
        <v>376</v>
      </c>
      <c r="AN9" s="28"/>
      <c r="AO9" s="29">
        <f ca="1">IF(AL9="","",IF(StaticData.Today=TODAY(),_xll.BDP(AL9,"BID"),_xll.BDH(AL9,"BID",StaticData.Today,StaticData.Today)))</f>
        <v>-31.952000000000002</v>
      </c>
      <c r="AP9" s="29">
        <f ca="1">IF(AL9="","",IF(StaticData.Today=TODAY(),_xll.BDP(AL9,"ASK"),_xll.BDH(AL9,"ASK",StaticData.Today,StaticData.Today)))</f>
        <v>-30.047999999999998</v>
      </c>
      <c r="AQ9" s="177">
        <f ca="1">IF(AL9="","",IF(StaticData.Today=TODAY(),_xll.BDP(AL9,"LAST_PRICE"),_xll.BDH(AL9,"LAST_PRICE",StaticData.Today,StaticData.Today)))</f>
        <v>-31</v>
      </c>
      <c r="AR9" s="181">
        <f ca="1">AQ9</f>
        <v>-31</v>
      </c>
      <c r="AT9" s="24" t="str">
        <f t="shared" si="5"/>
        <v>CADTN BGN Curncy</v>
      </c>
      <c r="AU9" s="25" t="s">
        <v>506</v>
      </c>
      <c r="AV9" s="28"/>
      <c r="AW9" s="196">
        <f ca="1">IF(AT9="","",IF(StaticData.Today=TODAY(),_xll.BDP(AT9,"BID"),_xll.BDH(AT9,"BID",StaticData.Today,StaticData.Today)))</f>
        <v>-0.05</v>
      </c>
      <c r="AX9" s="196">
        <f ca="1">IF(AT9="","",IF(StaticData.Today=TODAY(),_xll.BDP(AT9,"ASK"),_xll.BDH(AT9,"ASK",StaticData.Today,StaticData.Today)))</f>
        <v>-0.01</v>
      </c>
      <c r="AY9" s="196">
        <f ca="1">IF(AT9="","",IF(StaticData.Today=TODAY(),_xll.BDP(AT9,"PX_LAST"),_xll.BDH(AT9,"PX_LAST",StaticData.Today,StaticData.Today)))</f>
        <v>-2.5000000000000001E-2</v>
      </c>
      <c r="AZ9" s="471">
        <f t="shared" ca="1" si="1"/>
        <v>-2.5000000000000001E-2</v>
      </c>
    </row>
    <row r="10" spans="1:52" x14ac:dyDescent="0.25">
      <c r="B10" s="21" t="s">
        <v>283</v>
      </c>
      <c r="C10" s="22">
        <f>COUNTA(W15:W56)</f>
        <v>13</v>
      </c>
      <c r="D10" s="22">
        <f ca="1">COUNT(Y15:Y56)</f>
        <v>13</v>
      </c>
      <c r="E10" s="23">
        <f t="shared" ca="1" si="0"/>
        <v>0</v>
      </c>
      <c r="G10" s="24" t="str">
        <f>"CDSOA"&amp;$G$1&amp;" Curncy"</f>
        <v>CDSOA FMDR Curncy</v>
      </c>
      <c r="H10" s="25" t="s">
        <v>300</v>
      </c>
      <c r="I10" s="25"/>
      <c r="J10" s="187">
        <f ca="1">IF(G10="","",IF(StaticData.Today=TODAY(),_xll.BDP(G10,"BID"),_xll.BDH(G10,"BID",StaticData.Today,StaticData.Today)))</f>
        <v>0.23</v>
      </c>
      <c r="K10" s="187">
        <f ca="1">IF(G10="","",IF(StaticData.Today=TODAY(),_xll.BDP(G10,"ASK"),_xll.BDH(G10,"ASK",StaticData.Today,StaticData.Today)))</f>
        <v>0.25</v>
      </c>
      <c r="L10" s="26">
        <f ca="1">IF(G10="","",IF(StaticData.Today=TODAY(),_xll.BDP(G10,"LAST_PRICE"),_xll.BDH(G10,"LAST_PRICE",StaticData.Today,StaticData.Today)))</f>
        <v>0.24</v>
      </c>
      <c r="M10" s="27">
        <f t="shared" ca="1" si="2"/>
        <v>2.3999999999999998E-3</v>
      </c>
      <c r="O10" s="24" t="s">
        <v>1193</v>
      </c>
      <c r="P10" s="25" t="s">
        <v>46</v>
      </c>
      <c r="Q10" s="28"/>
      <c r="R10" s="29"/>
      <c r="S10" s="29"/>
      <c r="T10" s="30">
        <f ca="1">IF(O10="","",IF(StaticData.Today=TODAY(),_xll.BDP(O10,"PX_LAST"),_xll.BDH(O10,"PX_LAST",StaticData.Today,StaticData.Today)))</f>
        <v>0.70499999999999996</v>
      </c>
      <c r="U10" s="183">
        <f ca="1">T10/100</f>
        <v>7.0499999999999998E-3</v>
      </c>
      <c r="W10" s="8" t="str">
        <f>"CKFR0AD"&amp;$O$1&amp;" Curncy"</f>
        <v>CKFR0AD CMPN Curncy</v>
      </c>
      <c r="X10" s="8" t="s">
        <v>1151</v>
      </c>
      <c r="Y10" s="30">
        <f ca="1">IF(T10="","",IF(StaticData.Today=TODAY(),_xll.BDP(W10,"LAST_PRICE"),_xll.BDH(W10,"LAST_PRICE",StaticData.Today,StaticData.Today)))</f>
        <v>0.34300000000000003</v>
      </c>
      <c r="Z10" s="337">
        <f ca="1">Y10/100</f>
        <v>3.4300000000000003E-3</v>
      </c>
      <c r="AB10" s="24" t="str">
        <f>"CKBSAV2"&amp;$AB$2&amp;" Curncy"</f>
        <v>CKBSAV2 ICPL Curncy</v>
      </c>
      <c r="AC10" s="25" t="s">
        <v>308</v>
      </c>
      <c r="AD10" s="26">
        <f ca="1">IF(AB10="","",IF(StaticData.Today=TODAY(),_xll.BDP(AB10,"LAST_PRICE"),_xll.BDH(AB10,"LAST_PRICE",StaticData.Today,StaticData.Today)))</f>
        <v>8.25</v>
      </c>
      <c r="AE10" s="27">
        <f ca="1">AD10/10000</f>
        <v>8.25E-4</v>
      </c>
      <c r="AG10" s="24"/>
      <c r="AH10" s="25" t="s">
        <v>324</v>
      </c>
      <c r="AI10" s="26" t="str">
        <f ca="1">IF(AG10="","",IF(StaticData.Today=TODAY(),_xll.BDP(AG10,"LAST_PRICE"),_xll.BDH(AG10,"LAST_PRICE",StaticData.Today,StaticData.Today)))</f>
        <v/>
      </c>
      <c r="AJ10" s="27"/>
      <c r="AL10" s="14" t="str">
        <f>"CDBS1"&amp;" Curncy"</f>
        <v>CDBS1 Curncy</v>
      </c>
      <c r="AM10" s="25" t="s">
        <v>47</v>
      </c>
      <c r="AN10" s="28"/>
      <c r="AO10" s="29">
        <f ca="1">IF(AL10="","",IF(StaticData.Today=TODAY(),_xll.BDP(AL10,"BID"),_xll.BDH(AL10,"BID",StaticData.Today,StaticData.Today)))</f>
        <v>-31.013999999999999</v>
      </c>
      <c r="AP10" s="29">
        <f ca="1">IF(AL10="","",IF(StaticData.Today=TODAY(),_xll.BDP(AL10,"ASK"),_xll.BDH(AL10,"ASK",StaticData.Today,StaticData.Today)))</f>
        <v>-28.986000000000001</v>
      </c>
      <c r="AQ10" s="177">
        <f ca="1">IF(AL10="","",IF(StaticData.Today=TODAY(),_xll.BDP(AL10,"LAST_PRICE"),_xll.BDH(AL10,"LAST_PRICE",StaticData.Today,StaticData.Today)))</f>
        <v>-30</v>
      </c>
      <c r="AR10" s="181">
        <f ca="1">AQ10</f>
        <v>-30</v>
      </c>
      <c r="AT10" s="24" t="str">
        <f t="shared" si="5"/>
        <v>CAD1W BGN Curncy</v>
      </c>
      <c r="AU10" s="25" t="s">
        <v>305</v>
      </c>
      <c r="AV10" s="28"/>
      <c r="AW10" s="196">
        <f ca="1">IF(AT10="","",IF(StaticData.Today=TODAY(),_xll.BDP(AT10,"BID"),_xll.BDH(AT10,"BID",StaticData.Today,StaticData.Today)))</f>
        <v>-0.28000000000000003</v>
      </c>
      <c r="AX10" s="196">
        <f ca="1">IF(AT10="","",IF(StaticData.Today=TODAY(),_xll.BDP(AT10,"ASK"),_xll.BDH(AT10,"ASK",StaticData.Today,StaticData.Today)))</f>
        <v>-0.08</v>
      </c>
      <c r="AY10" s="196">
        <f ca="1">IF(AT10="","",IF(StaticData.Today=TODAY(),_xll.BDP(AT10,"PX_LAST"),_xll.BDH(AT10,"PX_LAST",StaticData.Today,StaticData.Today)))</f>
        <v>-0.17</v>
      </c>
      <c r="AZ10" s="471">
        <f t="shared" ca="1" si="1"/>
        <v>-0.17</v>
      </c>
    </row>
    <row r="11" spans="1:52" x14ac:dyDescent="0.25">
      <c r="B11" s="21" t="s">
        <v>284</v>
      </c>
      <c r="C11" s="22">
        <f>COUNTA(AB7:AB50)</f>
        <v>12</v>
      </c>
      <c r="D11" s="22">
        <f ca="1">COUNT(AD7:AD50)</f>
        <v>11</v>
      </c>
      <c r="E11" s="23">
        <f t="shared" ca="1" si="0"/>
        <v>1</v>
      </c>
      <c r="G11" s="24" t="str">
        <f>"CDSOB"&amp;$G$1&amp;" Curncy"</f>
        <v>CDSOB FMDR Curncy</v>
      </c>
      <c r="H11" s="25" t="s">
        <v>335</v>
      </c>
      <c r="I11" s="25"/>
      <c r="J11" s="187">
        <f ca="1">IF(G11="","",IF(StaticData.Today=TODAY(),_xll.BDP(G11,"BID"),_xll.BDH(G11,"BID",StaticData.Today,StaticData.Today)))</f>
        <v>0.22900000000000001</v>
      </c>
      <c r="K11" s="187">
        <f ca="1">IF(G11="","",IF(StaticData.Today=TODAY(),_xll.BDP(G11,"ASK"),_xll.BDH(G11,"ASK",StaticData.Today,StaticData.Today)))</f>
        <v>0.249</v>
      </c>
      <c r="L11" s="26">
        <f ca="1">IF(G11="","",IF(StaticData.Today=TODAY(),_xll.BDP(G11,"LAST_PRICE"),_xll.BDH(G11,"LAST_PRICE",StaticData.Today,StaticData.Today)))</f>
        <v>0.23899999999999999</v>
      </c>
      <c r="M11" s="27">
        <f t="shared" ca="1" si="2"/>
        <v>2.3899999999999998E-3</v>
      </c>
      <c r="O11" s="24" t="str">
        <f>"CDSWC"&amp;$O$1&amp;" Curncy"</f>
        <v>CDSWC CMPN Curncy</v>
      </c>
      <c r="P11" s="25" t="s">
        <v>49</v>
      </c>
      <c r="Q11" s="31"/>
      <c r="R11" s="182">
        <f ca="1">IF(O11="","",IF(StaticData.Today=TODAY(),_xll.BDP(O11,"BID"),_xll.BDH(O11,"BID",StaticData.Today,StaticData.Today)))</f>
        <v>0.505</v>
      </c>
      <c r="S11" s="182">
        <f ca="1">IF(O11="","",IF(StaticData.Today=TODAY(),_xll.BDP(O11,"ASK"),_xll.BDH(O11,"ASK",StaticData.Today,StaticData.Today)))</f>
        <v>0.505</v>
      </c>
      <c r="T11" s="30">
        <f ca="1">IF(O11="","",IF(StaticData.Today=TODAY(),_xll.BDP(O11,"LAST_PRICE"),_xll.BDH(O11,"LAST_PRICE",StaticData.Today,StaticData.Today)))</f>
        <v>0.505</v>
      </c>
      <c r="U11" s="183">
        <f t="shared" ref="U11:U26" ca="1" si="6">T11/100</f>
        <v>5.0499999999999998E-3</v>
      </c>
      <c r="W11" s="8" t="str">
        <f>"CKFR0BE"&amp;$O$1&amp;" Curncy"</f>
        <v>CKFR0BE CMPN Curncy</v>
      </c>
      <c r="X11" s="8" t="s">
        <v>495</v>
      </c>
      <c r="Y11" s="30" t="e">
        <f ca="1">IF(#REF!="","",IF(StaticData.Today=TODAY(),_xll.BDP(W11,"LAST_PRICE"),_xll.BDH(W11,"LAST_PRICE",StaticData.Today,StaticData.Today)))</f>
        <v>#REF!</v>
      </c>
      <c r="Z11" s="337" t="e">
        <f t="shared" ref="Z11:Z14" ca="1" si="7">Y11/100</f>
        <v>#REF!</v>
      </c>
      <c r="AB11" s="24" t="str">
        <f>"CKBSAV3"&amp;$AB$2&amp;" Curncy"</f>
        <v>CKBSAV3 ICPL Curncy</v>
      </c>
      <c r="AC11" s="25" t="s">
        <v>316</v>
      </c>
      <c r="AD11" s="26">
        <f ca="1">IF(AB11="","",IF(StaticData.Today=TODAY(),_xll.BDP(AB11,"LAST_PRICE"),_xll.BDH(AB11,"LAST_PRICE",StaticData.Today,StaticData.Today)))</f>
        <v>6.95</v>
      </c>
      <c r="AE11" s="27">
        <f t="shared" ref="AE11:AE18" ca="1" si="8">AD11/10000</f>
        <v>6.9499999999999998E-4</v>
      </c>
      <c r="AG11" s="24"/>
      <c r="AH11" s="25" t="s">
        <v>331</v>
      </c>
      <c r="AI11" s="26" t="str">
        <f ca="1">IF(AG11="","",IF(StaticData.Today=TODAY(),_xll.BDP(AG11,"LAST_PRICE"),_xll.BDH(AG11,"LAST_PRICE",StaticData.Today,StaticData.Today)))</f>
        <v/>
      </c>
      <c r="AJ11" s="27"/>
      <c r="AL11" s="14" t="str">
        <f>"CDBS2"&amp;" Curncy"</f>
        <v>CDBS2 Curncy</v>
      </c>
      <c r="AM11" s="25" t="s">
        <v>308</v>
      </c>
      <c r="AN11" s="31"/>
      <c r="AO11" s="29">
        <f ca="1">IF(AL11="","",IF(StaticData.Today=TODAY(),_xll.BDP(AL11,"BID"),_xll.BDH(AL11,"BID",StaticData.Today,StaticData.Today)))</f>
        <v>-26.51</v>
      </c>
      <c r="AP11" s="29">
        <f ca="1">IF(AL11="","",IF(StaticData.Today=TODAY(),_xll.BDP(AL11,"ASK"),_xll.BDH(AL11,"ASK",StaticData.Today,StaticData.Today)))</f>
        <v>-24.49</v>
      </c>
      <c r="AQ11" s="177">
        <f ca="1">IF(AL11="","",IF(StaticData.Today=TODAY(),_xll.BDP(AL11,"LAST_PRICE"),_xll.BDH(AL11,"LAST_PRICE",StaticData.Today,StaticData.Today)))</f>
        <v>-25.5</v>
      </c>
      <c r="AR11" s="181">
        <f ca="1">AQ11</f>
        <v>-25.5</v>
      </c>
      <c r="AT11" s="24" t="str">
        <f t="shared" si="5"/>
        <v>CAD2W BGN Curncy</v>
      </c>
      <c r="AU11" s="25" t="s">
        <v>313</v>
      </c>
      <c r="AV11" s="28"/>
      <c r="AW11" s="196">
        <f ca="1">IF(AT11="","",IF(StaticData.Today=TODAY(),_xll.BDP(AT11,"BID"),_xll.BDH(AT11,"BID",StaticData.Today,StaticData.Today)))</f>
        <v>-0.52</v>
      </c>
      <c r="AX11" s="196">
        <f ca="1">IF(AT11="","",IF(StaticData.Today=TODAY(),_xll.BDP(AT11,"ASK"),_xll.BDH(AT11,"ASK",StaticData.Today,StaticData.Today)))</f>
        <v>-0.28999999999999998</v>
      </c>
      <c r="AY11" s="196">
        <f ca="1">IF(AT11="","",IF(StaticData.Today=TODAY(),_xll.BDP(AT11,"PX_LAST"),_xll.BDH(AT11,"PX_LAST",StaticData.Today,StaticData.Today)))</f>
        <v>-0.4</v>
      </c>
      <c r="AZ11" s="471">
        <f t="shared" ca="1" si="1"/>
        <v>-0.4</v>
      </c>
    </row>
    <row r="12" spans="1:52" x14ac:dyDescent="0.25">
      <c r="B12" s="21" t="s">
        <v>285</v>
      </c>
      <c r="C12" s="22">
        <f>COUNTA(AG7:AG48)</f>
        <v>0</v>
      </c>
      <c r="D12" s="22">
        <f ca="1">COUNT(AI7:AI48)</f>
        <v>0</v>
      </c>
      <c r="E12" s="23">
        <f t="shared" ca="1" si="0"/>
        <v>0</v>
      </c>
      <c r="G12" s="24" t="str">
        <f>"CDSOC"&amp;$G$1&amp;" Curncy"</f>
        <v>CDSOC FMDR Curncy</v>
      </c>
      <c r="H12" s="25" t="s">
        <v>49</v>
      </c>
      <c r="I12" s="25"/>
      <c r="J12" s="187">
        <f ca="1">IF(G12="","",IF(StaticData.Today=TODAY(),_xll.BDP(G12,"BID"),_xll.BDH(G12,"BID",StaticData.Today,StaticData.Today)))</f>
        <v>0.22800000000000001</v>
      </c>
      <c r="K12" s="187">
        <f ca="1">IF(G12="","",IF(StaticData.Today=TODAY(),_xll.BDP(G12,"ASK"),_xll.BDH(G12,"ASK",StaticData.Today,StaticData.Today)))</f>
        <v>0.248</v>
      </c>
      <c r="L12" s="26">
        <f ca="1">IF(G12="","",IF(StaticData.Today=TODAY(),_xll.BDP(G12,"LAST_PRICE"),_xll.BDH(G12,"LAST_PRICE",StaticData.Today,StaticData.Today)))</f>
        <v>0.23799999999999999</v>
      </c>
      <c r="M12" s="27">
        <f t="shared" ca="1" si="2"/>
        <v>2.3799999999999997E-3</v>
      </c>
      <c r="O12" s="24" t="str">
        <f>"CDSWF"&amp;$O$1&amp;" Curncy"</f>
        <v>CDSWF CMPN Curncy</v>
      </c>
      <c r="P12" s="25" t="s">
        <v>46</v>
      </c>
      <c r="Q12" s="31"/>
      <c r="R12" s="182">
        <f ca="1">IF(O12="","",IF(StaticData.Today=TODAY(),_xll.BDP(O12,"BID"),_xll.BDH(O12,"BID",StaticData.Today,StaticData.Today)))</f>
        <v>0.50780000000000003</v>
      </c>
      <c r="S12" s="182">
        <f ca="1">IF(O12="","",IF(StaticData.Today=TODAY(),_xll.BDP(O12,"ASK"),_xll.BDH(O12,"ASK",StaticData.Today,StaticData.Today)))</f>
        <v>0.50780000000000003</v>
      </c>
      <c r="T12" s="30">
        <f ca="1">IF(O12="","",IF(StaticData.Today=TODAY(),_xll.BDP(O12,"LAST_PRICE"),_xll.BDH(O12,"LAST_PRICE",StaticData.Today,StaticData.Today)))</f>
        <v>0.50780000000000003</v>
      </c>
      <c r="U12" s="183">
        <f t="shared" ca="1" si="6"/>
        <v>5.078E-3</v>
      </c>
      <c r="W12" s="8" t="str">
        <f>"CKFR0CF"&amp;$O$1&amp;" Curncy"</f>
        <v>CKFR0CF CMPN Curncy</v>
      </c>
      <c r="X12" s="8" t="s">
        <v>496</v>
      </c>
      <c r="Y12" s="30" t="e">
        <f ca="1">IF(#REF!="","",IF(StaticData.Today=TODAY(),_xll.BDP(W12,"LAST_PRICE"),_xll.BDH(W12,"LAST_PRICE",StaticData.Today,StaticData.Today)))</f>
        <v>#REF!</v>
      </c>
      <c r="Z12" s="337" t="e">
        <f t="shared" ca="1" si="7"/>
        <v>#REF!</v>
      </c>
      <c r="AB12" s="24" t="str">
        <f>"CKBSAV4"&amp;$AB$2&amp;" Curncy"</f>
        <v>CKBSAV4 ICPL Curncy</v>
      </c>
      <c r="AC12" s="25" t="s">
        <v>324</v>
      </c>
      <c r="AD12" s="26">
        <f ca="1">IF(AB12="","",IF(StaticData.Today=TODAY(),_xll.BDP(AB12,"LAST_PRICE"),_xll.BDH(AB12,"LAST_PRICE",StaticData.Today,StaticData.Today)))</f>
        <v>6</v>
      </c>
      <c r="AE12" s="27">
        <f t="shared" ca="1" si="8"/>
        <v>5.9999999999999995E-4</v>
      </c>
      <c r="AG12" s="24"/>
      <c r="AH12" s="25" t="s">
        <v>342</v>
      </c>
      <c r="AI12" s="26" t="str">
        <f ca="1">IF(AG12="","",IF(StaticData.Today=TODAY(),_xll.BDP(AG12,"LAST_PRICE"),_xll.BDH(AG12,"LAST_PRICE",StaticData.Today,StaticData.Today)))</f>
        <v/>
      </c>
      <c r="AJ12" s="27"/>
      <c r="AL12" s="14" t="str">
        <f>"CDBS3"&amp;" Curncy"</f>
        <v>CDBS3 Curncy</v>
      </c>
      <c r="AM12" s="25" t="s">
        <v>316</v>
      </c>
      <c r="AN12" s="31"/>
      <c r="AO12" s="29">
        <f ca="1">IF(AL12="","",IF(StaticData.Today=TODAY(),_xll.BDP(AL12,"BID"),_xll.BDH(AL12,"BID",StaticData.Today,StaticData.Today)))</f>
        <v>-22.553999999999998</v>
      </c>
      <c r="AP12" s="29">
        <f ca="1">IF(AL12="","",IF(StaticData.Today=TODAY(),_xll.BDP(AL12,"ASK"),_xll.BDH(AL12,"ASK",StaticData.Today,StaticData.Today)))</f>
        <v>-20.446000000000002</v>
      </c>
      <c r="AQ12" s="177">
        <f ca="1">IF(AL12="","",IF(StaticData.Today=TODAY(),_xll.BDP(AL12,"LAST_PRICE"),_xll.BDH(AL12,"LAST_PRICE",StaticData.Today,StaticData.Today)))</f>
        <v>-21.5</v>
      </c>
      <c r="AR12" s="181">
        <f t="shared" ref="AR12:AR18" ca="1" si="9">AQ12</f>
        <v>-21.5</v>
      </c>
      <c r="AT12" s="24" t="str">
        <f t="shared" si="5"/>
        <v>CAD1M BGN Curncy</v>
      </c>
      <c r="AU12" s="25" t="s">
        <v>300</v>
      </c>
      <c r="AV12" s="31"/>
      <c r="AW12" s="196">
        <f ca="1">IF(AT12="","",IF(StaticData.Today=TODAY(),_xll.BDP(AT12,"BID"),_xll.BDH(AT12,"BID",StaticData.Today,StaticData.Today)))</f>
        <v>-1.51</v>
      </c>
      <c r="AX12" s="196">
        <f ca="1">IF(AT12="","",IF(StaticData.Today=TODAY(),_xll.BDP(AT12,"ASK"),_xll.BDH(AT12,"ASK",StaticData.Today,StaticData.Today)))</f>
        <v>-1.26</v>
      </c>
      <c r="AY12" s="196">
        <f ca="1">IF(AT12="","",IF(StaticData.Today=TODAY(),_xll.BDP(AT12,"LAST_PRICE"),_xll.BDH(AT12,"LAST_PRICE",StaticData.Today,StaticData.Today)))</f>
        <v>-1.39</v>
      </c>
      <c r="AZ12" s="471">
        <f t="shared" ca="1" si="1"/>
        <v>-1.39</v>
      </c>
    </row>
    <row r="13" spans="1:52" x14ac:dyDescent="0.25">
      <c r="B13" s="21"/>
      <c r="C13" s="22"/>
      <c r="D13" s="22"/>
      <c r="E13" s="22"/>
      <c r="G13" s="24" t="str">
        <f>"CDSOF"&amp;$G$1&amp;" Curncy"</f>
        <v>CDSOF FMDR Curncy</v>
      </c>
      <c r="H13" s="25" t="s">
        <v>46</v>
      </c>
      <c r="I13" s="25"/>
      <c r="J13" s="187">
        <f ca="1">IF(G13="","",IF(StaticData.Today=TODAY(),_xll.BDP(G13,"BID"),_xll.BDH(G13,"BID",StaticData.Today,StaticData.Today)))</f>
        <v>0.22500000000000001</v>
      </c>
      <c r="K13" s="187">
        <f ca="1">IF(G13="","",IF(StaticData.Today=TODAY(),_xll.BDP(G13,"ASK"),_xll.BDH(G13,"ASK",StaticData.Today,StaticData.Today)))</f>
        <v>0.245</v>
      </c>
      <c r="L13" s="26">
        <f ca="1">IF(G13="","",IF(StaticData.Today=TODAY(),_xll.BDP(G13,"LAST_PRICE"),_xll.BDH(G13,"LAST_PRICE",StaticData.Today,StaticData.Today)))</f>
        <v>0.23499999999999999</v>
      </c>
      <c r="M13" s="27">
        <f t="shared" ca="1" si="2"/>
        <v>2.3499999999999997E-3</v>
      </c>
      <c r="O13" s="24" t="str">
        <f>"CDSWI"&amp;$O$1&amp;" Curncy"</f>
        <v>CDSWI CMPN Curncy</v>
      </c>
      <c r="P13" s="25" t="s">
        <v>376</v>
      </c>
      <c r="Q13" s="31"/>
      <c r="R13" s="182">
        <f ca="1">IF(O13="","",IF(StaticData.Today=TODAY(),_xll.BDP(O13,"BID"),_xll.BDH(O13,"BID",StaticData.Today,StaticData.Today)))</f>
        <v>0.50829999999999997</v>
      </c>
      <c r="S13" s="182">
        <f ca="1">IF(O13="","",IF(StaticData.Today=TODAY(),_xll.BDP(O13,"ASK"),_xll.BDH(O13,"ASK",StaticData.Today,StaticData.Today)))</f>
        <v>0.50829999999999997</v>
      </c>
      <c r="T13" s="30">
        <f ca="1">IF(O13="","",IF(StaticData.Today=TODAY(),_xll.BDP(O13,"LAST_PRICE"),_xll.BDH(O13,"LAST_PRICE",StaticData.Today,StaticData.Today)))</f>
        <v>0.50829999999999997</v>
      </c>
      <c r="U13" s="183">
        <f t="shared" ca="1" si="6"/>
        <v>5.0829999999999998E-3</v>
      </c>
      <c r="W13" s="8" t="str">
        <f>"CKFR0FI"&amp;$O$1&amp;" Curncy"</f>
        <v>CKFR0FI CMPN Curncy</v>
      </c>
      <c r="X13" s="8" t="s">
        <v>497</v>
      </c>
      <c r="Y13" s="30" t="e">
        <f ca="1">IF(#REF!="","",IF(StaticData.Today=TODAY(),_xll.BDP(W13,"LAST_PRICE"),_xll.BDH(W13,"LAST_PRICE",StaticData.Today,StaticData.Today)))</f>
        <v>#REF!</v>
      </c>
      <c r="Z13" s="337" t="e">
        <f t="shared" ca="1" si="7"/>
        <v>#REF!</v>
      </c>
      <c r="AB13" s="24" t="str">
        <f>"CKBSAV5"&amp;$AB$2&amp;" Curncy"</f>
        <v>CKBSAV5 ICPL Curncy</v>
      </c>
      <c r="AC13" s="25" t="s">
        <v>331</v>
      </c>
      <c r="AD13" s="26">
        <f ca="1">IF(AB13="","",IF(StaticData.Today=TODAY(),_xll.BDP(AB13,"LAST_PRICE"),_xll.BDH(AB13,"LAST_PRICE",StaticData.Today,StaticData.Today)))</f>
        <v>5.4</v>
      </c>
      <c r="AE13" s="27">
        <f t="shared" ca="1" si="8"/>
        <v>5.4000000000000001E-4</v>
      </c>
      <c r="AG13" s="24"/>
      <c r="AH13" s="25" t="s">
        <v>349</v>
      </c>
      <c r="AI13" s="26" t="str">
        <f ca="1">IF(AG13="","",IF(StaticData.Today=TODAY(),_xll.BDP(AG13,"LAST_PRICE"),_xll.BDH(AG13,"LAST_PRICE",StaticData.Today,StaticData.Today)))</f>
        <v/>
      </c>
      <c r="AJ13" s="27"/>
      <c r="AL13" s="14" t="str">
        <f>"CDBS4"&amp;" Curncy"</f>
        <v>CDBS4 Curncy</v>
      </c>
      <c r="AM13" s="25" t="s">
        <v>324</v>
      </c>
      <c r="AN13" s="31"/>
      <c r="AO13" s="29">
        <f ca="1">IF(AL13="","",IF(StaticData.Today=TODAY(),_xll.BDP(AL13,"BID"),_xll.BDH(AL13,"BID",StaticData.Today,StaticData.Today)))</f>
        <v>-20.013999999999999</v>
      </c>
      <c r="AP13" s="29">
        <f ca="1">IF(AL13="","",IF(StaticData.Today=TODAY(),_xll.BDP(AL13,"ASK"),_xll.BDH(AL13,"ASK",StaticData.Today,StaticData.Today)))</f>
        <v>-17.986000000000001</v>
      </c>
      <c r="AQ13" s="177">
        <f ca="1">IF(AL13="","",IF(StaticData.Today=TODAY(),_xll.BDP(AL13,"LAST_PRICE"),_xll.BDH(AL13,"LAST_PRICE",StaticData.Today,StaticData.Today)))</f>
        <v>-19</v>
      </c>
      <c r="AR13" s="181">
        <f t="shared" ca="1" si="9"/>
        <v>-19</v>
      </c>
      <c r="AT13" s="24" t="str">
        <f t="shared" si="5"/>
        <v>CAD2M BGN Curncy</v>
      </c>
      <c r="AU13" s="25" t="s">
        <v>335</v>
      </c>
      <c r="AV13" s="31"/>
      <c r="AW13" s="196">
        <f ca="1">IF(AT13="","",IF(StaticData.Today=TODAY(),_xll.BDP(AT13,"BID"),_xll.BDH(AT13,"BID",StaticData.Today,StaticData.Today)))</f>
        <v>-2.3199999999999998</v>
      </c>
      <c r="AX13" s="196">
        <f ca="1">IF(AT13="","",IF(StaticData.Today=TODAY(),_xll.BDP(AT13,"ASK"),_xll.BDH(AT13,"ASK",StaticData.Today,StaticData.Today)))</f>
        <v>-1.88</v>
      </c>
      <c r="AY13" s="196">
        <f ca="1">IF(AT13="","",IF(StaticData.Today=TODAY(),_xll.BDP(AT13,"LAST_PRICE"),_xll.BDH(AT13,"LAST_PRICE",StaticData.Today,StaticData.Today)))</f>
        <v>-2.1</v>
      </c>
      <c r="AZ13" s="471">
        <f t="shared" ca="1" si="1"/>
        <v>-2.1</v>
      </c>
    </row>
    <row r="14" spans="1:52" x14ac:dyDescent="0.25">
      <c r="B14" s="21"/>
      <c r="C14" s="22"/>
      <c r="D14" s="22"/>
      <c r="E14" s="22"/>
      <c r="G14" s="24" t="str">
        <f>"CDSOI"&amp;$G$1&amp;" Curncy"</f>
        <v>CDSOI FMDR Curncy</v>
      </c>
      <c r="H14" s="25" t="s">
        <v>376</v>
      </c>
      <c r="I14" s="25"/>
      <c r="J14" s="187">
        <f ca="1">IF(G14="","",IF(StaticData.Today=TODAY(),_xll.BDP(G14,"BID"),_xll.BDH(G14,"BID",StaticData.Today,StaticData.Today)))</f>
        <v>0.224</v>
      </c>
      <c r="K14" s="187">
        <f ca="1">IF(G14="","",IF(StaticData.Today=TODAY(),_xll.BDP(G14,"ASK"),_xll.BDH(G14,"ASK",StaticData.Today,StaticData.Today)))</f>
        <v>0.24399999999999999</v>
      </c>
      <c r="L14" s="26">
        <f ca="1">IF(G14="","",IF(StaticData.Today=TODAY(),_xll.BDP(G14,"LAST_PRICE"),_xll.BDH(G14,"LAST_PRICE",StaticData.Today,StaticData.Today)))</f>
        <v>0.23400000000000001</v>
      </c>
      <c r="M14" s="27">
        <f t="shared" ca="1" si="2"/>
        <v>2.3400000000000001E-3</v>
      </c>
      <c r="O14" s="24" t="str">
        <f>"CDSW1"&amp;$O$2&amp;" Curncy"</f>
        <v>CDSW1 BGN Curncy</v>
      </c>
      <c r="P14" s="25" t="s">
        <v>47</v>
      </c>
      <c r="Q14" s="31"/>
      <c r="R14" s="182">
        <f ca="1">IF(O14="","",IF(StaticData.Today=TODAY(),_xll.BDP(O14,"BID"),_xll.BDH(O14,"BID",StaticData.Today,StaticData.Today)))</f>
        <v>0.50390000000000001</v>
      </c>
      <c r="S14" s="182">
        <f ca="1">IF(O14="","",IF(StaticData.Today=TODAY(),_xll.BDP(O14,"ASK"),_xll.BDH(O14,"ASK",StaticData.Today,StaticData.Today)))</f>
        <v>0.5181</v>
      </c>
      <c r="T14" s="30">
        <f ca="1">IF(O14="","",IF(StaticData.Today=TODAY(),_xll.BDP(O14,"LAST_PRICE"),_xll.BDH(O14,"LAST_PRICE",StaticData.Today,StaticData.Today)))</f>
        <v>0.51100000000000001</v>
      </c>
      <c r="U14" s="183">
        <f t="shared" ca="1" si="6"/>
        <v>5.11E-3</v>
      </c>
      <c r="W14" s="8" t="str">
        <f>"CKFR0I1"&amp;$O$1&amp;" Curncy"</f>
        <v>CKFR0I1 CMPN Curncy</v>
      </c>
      <c r="X14" s="8" t="s">
        <v>498</v>
      </c>
      <c r="Y14" s="30">
        <f ca="1">IF(T11="","",IF(StaticData.Today=TODAY(),_xll.BDP(W14,"LAST_PRICE"),_xll.BDH(W14,"LAST_PRICE",StaticData.Today,StaticData.Today)))</f>
        <v>0.40500000000000003</v>
      </c>
      <c r="Z14" s="337">
        <f t="shared" ca="1" si="7"/>
        <v>4.0500000000000006E-3</v>
      </c>
      <c r="AB14" s="24" t="str">
        <f>"CKBSAV6"&amp;$AB$2&amp;" Curncy"</f>
        <v>CKBSAV6 ICPL Curncy</v>
      </c>
      <c r="AC14" s="25" t="s">
        <v>339</v>
      </c>
      <c r="AD14" s="26">
        <f ca="1">IF(AB14="","",IF(StaticData.Today=TODAY(),_xll.BDP(AB14,"LAST_PRICE"),_xll.BDH(AB14,"LAST_PRICE",StaticData.Today,StaticData.Today)))</f>
        <v>5</v>
      </c>
      <c r="AE14" s="27">
        <f t="shared" ca="1" si="8"/>
        <v>5.0000000000000001E-4</v>
      </c>
      <c r="AG14" s="24"/>
      <c r="AH14" s="25" t="s">
        <v>358</v>
      </c>
      <c r="AI14" s="26" t="str">
        <f ca="1">IF(AG14="","",IF(StaticData.Today=TODAY(),_xll.BDP(AG14,"LAST_PRICE"),_xll.BDH(AG14,"LAST_PRICE",StaticData.Today,StaticData.Today)))</f>
        <v/>
      </c>
      <c r="AJ14" s="27"/>
      <c r="AL14" s="14" t="str">
        <f>"CDBS5"&amp;" Curncy"</f>
        <v>CDBS5 Curncy</v>
      </c>
      <c r="AM14" s="25" t="s">
        <v>331</v>
      </c>
      <c r="AN14" s="31"/>
      <c r="AO14" s="29">
        <f ca="1">IF(AL14="","",IF(StaticData.Today=TODAY(),_xll.BDP(AL14,"BID"),_xll.BDH(AL14,"BID",StaticData.Today,StaticData.Today)))</f>
        <v>-17.759</v>
      </c>
      <c r="AP14" s="29">
        <f ca="1">IF(AL14="","",IF(StaticData.Today=TODAY(),_xll.BDP(AL14,"ASK"),_xll.BDH(AL14,"ASK",StaticData.Today,StaticData.Today)))</f>
        <v>-15.741</v>
      </c>
      <c r="AQ14" s="177">
        <f ca="1">IF(AL14="","",IF(StaticData.Today=TODAY(),_xll.BDP(AL14,"LAST_PRICE"),_xll.BDH(AL14,"LAST_PRICE",StaticData.Today,StaticData.Today)))</f>
        <v>-16.75</v>
      </c>
      <c r="AR14" s="181">
        <f t="shared" ca="1" si="9"/>
        <v>-16.75</v>
      </c>
      <c r="AT14" s="24" t="str">
        <f t="shared" si="5"/>
        <v>CAD3M BGN Curncy</v>
      </c>
      <c r="AU14" s="25" t="s">
        <v>49</v>
      </c>
      <c r="AV14" s="31"/>
      <c r="AW14" s="196">
        <f ca="1">IF(AT14="","",IF(StaticData.Today=TODAY(),_xll.BDP(AT14,"BID"),_xll.BDH(AT14,"BID",StaticData.Today,StaticData.Today)))</f>
        <v>-3.27</v>
      </c>
      <c r="AX14" s="196">
        <f ca="1">IF(AT14="","",IF(StaticData.Today=TODAY(),_xll.BDP(AT14,"ASK"),_xll.BDH(AT14,"ASK",StaticData.Today,StaticData.Today)))</f>
        <v>-2.63</v>
      </c>
      <c r="AY14" s="196">
        <f ca="1">IF(AT14="","",IF(StaticData.Today=TODAY(),_xll.BDP(AT14,"LAST_PRICE"),_xll.BDH(AT14,"LAST_PRICE",StaticData.Today,StaticData.Today)))</f>
        <v>-2.95</v>
      </c>
      <c r="AZ14" s="471">
        <f t="shared" ca="1" si="1"/>
        <v>-2.95</v>
      </c>
    </row>
    <row r="15" spans="1:52" x14ac:dyDescent="0.25">
      <c r="B15" s="21"/>
      <c r="C15" s="22"/>
      <c r="D15" s="22"/>
      <c r="E15" s="22"/>
      <c r="G15" s="24" t="str">
        <f>"CDSO1"&amp;$G$1&amp;" Curncy"</f>
        <v>CDSO1 FMDR Curncy</v>
      </c>
      <c r="H15" s="25" t="s">
        <v>47</v>
      </c>
      <c r="I15" s="25"/>
      <c r="J15" s="187">
        <f ca="1">IF(G15="","",IF(StaticData.Today=TODAY(),_xll.BDP(G15,"BID"),_xll.BDH(G15,"BID",StaticData.Today,StaticData.Today)))</f>
        <v>0.22700000000000001</v>
      </c>
      <c r="K15" s="187">
        <f ca="1">IF(G15="","",IF(StaticData.Today=TODAY(),_xll.BDP(G15,"ASK"),_xll.BDH(G15,"ASK",StaticData.Today,StaticData.Today)))</f>
        <v>0.247</v>
      </c>
      <c r="L15" s="26">
        <f ca="1">IF(G15="","",IF(StaticData.Today=TODAY(),_xll.BDP(G15,"LAST_PRICE"),_xll.BDH(G15,"LAST_PRICE",StaticData.Today,StaticData.Today)))</f>
        <v>0.23699999999999999</v>
      </c>
      <c r="M15" s="27">
        <f ca="1">L15/100</f>
        <v>2.3699999999999997E-3</v>
      </c>
      <c r="O15" s="24" t="str">
        <f>"CDSW2"&amp;$O$2&amp;" Curncy"</f>
        <v>CDSW2 BGN Curncy</v>
      </c>
      <c r="P15" s="25" t="s">
        <v>308</v>
      </c>
      <c r="Q15" s="31"/>
      <c r="R15" s="182">
        <f ca="1">IF(O15="","",IF(StaticData.Today=TODAY(),_xll.BDP(O15,"BID"),_xll.BDH(O15,"BID",StaticData.Today,StaticData.Today)))</f>
        <v>0.53410000000000002</v>
      </c>
      <c r="S15" s="182">
        <f ca="1">IF(O15="","",IF(StaticData.Today=TODAY(),_xll.BDP(O15,"ASK"),_xll.BDH(O15,"ASK",StaticData.Today,StaticData.Today)))</f>
        <v>0.55189999999999995</v>
      </c>
      <c r="T15" s="30">
        <f ca="1">IF(O15="","",IF(StaticData.Today=TODAY(),_xll.BDP(O15,"LAST_PRICE"),_xll.BDH(O15,"LAST_PRICE",StaticData.Today,StaticData.Today)))</f>
        <v>0.54300000000000004</v>
      </c>
      <c r="U15" s="183">
        <f t="shared" ca="1" si="6"/>
        <v>5.4300000000000008E-3</v>
      </c>
      <c r="W15" s="14" t="str">
        <f>"CKBSV1"&amp;$W$2&amp;" Curncy"</f>
        <v>CKBSV1 ICPL Curncy</v>
      </c>
      <c r="X15" s="15" t="s">
        <v>47</v>
      </c>
      <c r="Y15" s="190">
        <f ca="1">IF(W15="","",IF(StaticData.Today=TODAY(),_xll.BDP(W15,"LAST_PRICE"),_xll.BDH(W15,"LAST_PRICE",StaticData.Today,StaticData.Today)))</f>
        <v>2.5</v>
      </c>
      <c r="Z15" s="337">
        <f ca="1">Y15/10000</f>
        <v>2.5000000000000001E-4</v>
      </c>
      <c r="AB15" s="24" t="str">
        <f>"CKBSAV7"&amp;$AB$2&amp;" Curncy"</f>
        <v>CKBSAV7 ICPL Curncy</v>
      </c>
      <c r="AC15" s="25" t="s">
        <v>342</v>
      </c>
      <c r="AD15" s="26">
        <f ca="1">IF(AB15="","",IF(StaticData.Today=TODAY(),_xll.BDP(AB15,"LAST_PRICE"),_xll.BDH(AB15,"LAST_PRICE",StaticData.Today,StaticData.Today)))</f>
        <v>4.75</v>
      </c>
      <c r="AE15" s="27">
        <f t="shared" ca="1" si="8"/>
        <v>4.75E-4</v>
      </c>
      <c r="AG15" s="24"/>
      <c r="AH15" s="25" t="s">
        <v>367</v>
      </c>
      <c r="AI15" s="26" t="str">
        <f ca="1">IF(AG15="","",IF(StaticData.Today=TODAY(),_xll.BDP(AG15,"LAST_PRICE"),_xll.BDH(AG15,"LAST_PRICE",StaticData.Today,StaticData.Today)))</f>
        <v/>
      </c>
      <c r="AJ15" s="27"/>
      <c r="AL15" s="14" t="str">
        <f>"CDBS7"&amp;" Curncy"</f>
        <v>CDBS7 Curncy</v>
      </c>
      <c r="AM15" s="25" t="s">
        <v>342</v>
      </c>
      <c r="AN15" s="31"/>
      <c r="AO15" s="29">
        <f ca="1">IF(AL15="","",IF(StaticData.Today=TODAY(),_xll.BDP(AL15,"BID"),_xll.BDH(AL15,"BID",StaticData.Today,StaticData.Today)))</f>
        <v>-15.228</v>
      </c>
      <c r="AP15" s="29">
        <f ca="1">IF(AL15="","",IF(StaticData.Today=TODAY(),_xll.BDP(AL15,"ASK"),_xll.BDH(AL15,"ASK",StaticData.Today,StaticData.Today)))</f>
        <v>-12.772</v>
      </c>
      <c r="AQ15" s="177">
        <f ca="1">IF(AL15="","",IF(StaticData.Today=TODAY(),_xll.BDP(AL15,"LAST_PRICE"),_xll.BDH(AL15,"LAST_PRICE",StaticData.Today,StaticData.Today)))</f>
        <v>-14</v>
      </c>
      <c r="AR15" s="181">
        <f t="shared" ca="1" si="9"/>
        <v>-14</v>
      </c>
      <c r="AT15" s="24" t="str">
        <f t="shared" si="5"/>
        <v>CAD6M BGN Curncy</v>
      </c>
      <c r="AU15" s="25" t="s">
        <v>46</v>
      </c>
      <c r="AV15" s="31"/>
      <c r="AW15" s="196">
        <f ca="1">IF(AT15="","",IF(StaticData.Today=TODAY(),_xll.BDP(AT15,"BID"),_xll.BDH(AT15,"BID",StaticData.Today,StaticData.Today)))</f>
        <v>-8.3800000000000008</v>
      </c>
      <c r="AX15" s="196">
        <f ca="1">IF(AT15="","",IF(StaticData.Today=TODAY(),_xll.BDP(AT15,"ASK"),_xll.BDH(AT15,"ASK",StaticData.Today,StaticData.Today)))</f>
        <v>-7.4</v>
      </c>
      <c r="AY15" s="196">
        <f ca="1">IF(AT15="","",IF(StaticData.Today=TODAY(),_xll.BDP(AT15,"LAST_PRICE"),_xll.BDH(AT15,"LAST_PRICE",StaticData.Today,StaticData.Today)))</f>
        <v>-7.89</v>
      </c>
      <c r="AZ15" s="471">
        <f t="shared" ca="1" si="1"/>
        <v>-7.89</v>
      </c>
    </row>
    <row r="16" spans="1:52" x14ac:dyDescent="0.25">
      <c r="B16" s="21"/>
      <c r="C16" s="22"/>
      <c r="D16" s="22"/>
      <c r="E16" s="22"/>
      <c r="G16" s="344" t="s">
        <v>927</v>
      </c>
      <c r="H16" s="345" t="s">
        <v>47</v>
      </c>
      <c r="I16" s="345"/>
      <c r="J16" s="346"/>
      <c r="K16" s="346"/>
      <c r="L16" s="347"/>
      <c r="M16" s="348">
        <f ca="1">M15-USD_DATA!J18</f>
        <v>1.8399999999999996E-3</v>
      </c>
      <c r="N16" t="s">
        <v>567</v>
      </c>
      <c r="O16" s="24" t="str">
        <f>"CDSW3"&amp;$O$2&amp;" Curncy"</f>
        <v>CDSW3 BGN Curncy</v>
      </c>
      <c r="P16" s="25" t="s">
        <v>316</v>
      </c>
      <c r="Q16" s="31"/>
      <c r="R16" s="182">
        <f ca="1">IF(O16="","",IF(StaticData.Today=TODAY(),_xll.BDP(O16,"BID"),_xll.BDH(O16,"BID",StaticData.Today,StaticData.Today)))</f>
        <v>0.59209999999999996</v>
      </c>
      <c r="S16" s="182">
        <f ca="1">IF(O16="","",IF(StaticData.Today=TODAY(),_xll.BDP(O16,"ASK"),_xll.BDH(O16,"ASK",StaticData.Today,StaticData.Today)))</f>
        <v>0.61329999999999996</v>
      </c>
      <c r="T16" s="30">
        <f ca="1">IF(O16="","",IF(StaticData.Today=TODAY(),_xll.BDP(O16,"LAST_PRICE"),_xll.BDH(O16,"LAST_PRICE",StaticData.Today,StaticData.Today)))</f>
        <v>0.60270000000000001</v>
      </c>
      <c r="U16" s="183">
        <f t="shared" ca="1" si="6"/>
        <v>6.0270000000000002E-3</v>
      </c>
      <c r="W16" s="24" t="str">
        <f>"CKBSV2"&amp;$W$2&amp;" Curncy"</f>
        <v>CKBSV2 ICPL Curncy</v>
      </c>
      <c r="X16" s="25" t="s">
        <v>308</v>
      </c>
      <c r="Y16" s="191">
        <f ca="1">IF(W16="","",IF(StaticData.Today=TODAY(),_xll.BDP(W16,"LAST_PRICE"),_xll.BDH(W16,"LAST_PRICE",StaticData.Today,StaticData.Today)))</f>
        <v>4</v>
      </c>
      <c r="Z16" s="338">
        <f ca="1">Y16/10000</f>
        <v>4.0000000000000002E-4</v>
      </c>
      <c r="AB16" s="24" t="str">
        <f>"CKBSAV8"&amp;$AB$2&amp;" Curncy"</f>
        <v>CKBSAV8 ICPL Curncy</v>
      </c>
      <c r="AC16" s="25" t="s">
        <v>355</v>
      </c>
      <c r="AD16" s="26">
        <f ca="1">IF(AB16="","",IF(StaticData.Today=TODAY(),_xll.BDP(AB16,"LAST_PRICE"),_xll.BDH(AB16,"LAST_PRICE",StaticData.Today,StaticData.Today)))</f>
        <v>4.55</v>
      </c>
      <c r="AE16" s="27">
        <f t="shared" ca="1" si="8"/>
        <v>4.55E-4</v>
      </c>
      <c r="AG16" s="24"/>
      <c r="AH16" s="25" t="s">
        <v>374</v>
      </c>
      <c r="AI16" s="26" t="str">
        <f ca="1">IF(AG16="","",IF(StaticData.Today=TODAY(),_xll.BDP(AG16,"LAST_PRICE"),_xll.BDH(AG16,"LAST_PRICE",StaticData.Today,StaticData.Today)))</f>
        <v/>
      </c>
      <c r="AJ16" s="27"/>
      <c r="AL16" s="14" t="str">
        <f>"CDBS10"&amp;" Curncy"</f>
        <v>CDBS10 Curncy</v>
      </c>
      <c r="AM16" s="25" t="s">
        <v>349</v>
      </c>
      <c r="AN16" s="31"/>
      <c r="AO16" s="29">
        <f ca="1">IF(AL16="","",IF(StaticData.Today=TODAY(),_xll.BDP(AL16,"BID"),_xll.BDH(AL16,"BID",StaticData.Today,StaticData.Today)))</f>
        <v>-12.746</v>
      </c>
      <c r="AP16" s="29">
        <f ca="1">IF(AL16="","",IF(StaticData.Today=TODAY(),_xll.BDP(AL16,"ASK"),_xll.BDH(AL16,"ASK",StaticData.Today,StaticData.Today)))</f>
        <v>-10.754</v>
      </c>
      <c r="AQ16" s="177">
        <f ca="1">IF(AL16="","",IF(StaticData.Today=TODAY(),_xll.BDP(AL16,"LAST_PRICE"),_xll.BDH(AL16,"LAST_PRICE",StaticData.Today,StaticData.Today)))</f>
        <v>-11.75</v>
      </c>
      <c r="AR16" s="181">
        <f t="shared" ca="1" si="9"/>
        <v>-11.75</v>
      </c>
      <c r="AT16" s="24" t="str">
        <f t="shared" si="5"/>
        <v>CAD9M BGN Curncy</v>
      </c>
      <c r="AU16" s="25" t="s">
        <v>376</v>
      </c>
      <c r="AV16" s="31"/>
      <c r="AW16" s="196">
        <f ca="1">IF(AT16="","",IF(StaticData.Today=TODAY(),_xll.BDP(AT16,"BID"),_xll.BDH(AT16,"BID",StaticData.Today,StaticData.Today)))</f>
        <v>-7.86</v>
      </c>
      <c r="AX16" s="196">
        <f ca="1">IF(AT16="","",IF(StaticData.Today=TODAY(),_xll.BDP(AT16,"ASK"),_xll.BDH(AT16,"ASK",StaticData.Today,StaticData.Today)))</f>
        <v>-6.17</v>
      </c>
      <c r="AY16" s="196">
        <f ca="1">IF(AT16="","",IF(StaticData.Today=TODAY(),_xll.BDP(AT16,"LAST_PRICE"),_xll.BDH(AT16,"LAST_PRICE",StaticData.Today,StaticData.Today)))</f>
        <v>-7.01</v>
      </c>
      <c r="AZ16" s="471">
        <f t="shared" ca="1" si="1"/>
        <v>-7.01</v>
      </c>
    </row>
    <row r="17" spans="2:52" x14ac:dyDescent="0.25">
      <c r="B17" s="34"/>
      <c r="C17" s="35"/>
      <c r="D17" s="35"/>
      <c r="E17" s="35"/>
      <c r="G17" s="349" t="s">
        <v>928</v>
      </c>
      <c r="H17" s="25" t="s">
        <v>308</v>
      </c>
      <c r="I17" s="25"/>
      <c r="J17" s="187"/>
      <c r="K17" s="187"/>
      <c r="L17" s="26"/>
      <c r="M17" s="27">
        <f ca="1">USD_DATA!J19+GBP_DATA!$M$16</f>
        <v>2.1899999999999997E-3</v>
      </c>
      <c r="O17" s="24" t="str">
        <f>"CDSW4"&amp;$O$2&amp;" Curncy"</f>
        <v>CDSW4 BGN Curncy</v>
      </c>
      <c r="P17" s="25" t="s">
        <v>324</v>
      </c>
      <c r="Q17" s="28"/>
      <c r="R17" s="29">
        <f ca="1">IF(O17="","",IF(StaticData.Today=TODAY(),_xll.BDP(O17,"BID"),_xll.BDH(O17,"BID",StaticData.Today,StaticData.Today)))</f>
        <v>0.6694</v>
      </c>
      <c r="S17" s="29">
        <f ca="1">IF(O17="","",IF(StaticData.Today=TODAY(),_xll.BDP(O17,"ASK"),_xll.BDH(O17,"ASK",StaticData.Today,StaticData.Today)))</f>
        <v>0.68159999999999998</v>
      </c>
      <c r="T17" s="30">
        <f ca="1">IF(O17="","",IF(StaticData.Today=TODAY(),_xll.BDP(O17,"LAST_PRICE"),_xll.BDH(O17,"LAST_PRICE",StaticData.Today,StaticData.Today)))</f>
        <v>0.67549999999999999</v>
      </c>
      <c r="U17" s="183">
        <f t="shared" ca="1" si="6"/>
        <v>6.7549999999999997E-3</v>
      </c>
      <c r="W17" s="24" t="str">
        <f>"CKBSV3"&amp;$W$2&amp;" Curncy"</f>
        <v>CKBSV3 ICPL Curncy</v>
      </c>
      <c r="X17" s="25" t="s">
        <v>316</v>
      </c>
      <c r="Y17" s="191">
        <f ca="1">IF(W17="","",IF(StaticData.Today=TODAY(),_xll.BDP(W17,"LAST_PRICE"),_xll.BDH(W17,"LAST_PRICE",StaticData.Today,StaticData.Today)))</f>
        <v>4.75</v>
      </c>
      <c r="Z17" s="338">
        <f t="shared" ref="Z17:Z27" ca="1" si="10">Y17/10000</f>
        <v>4.75E-4</v>
      </c>
      <c r="AB17" s="24" t="str">
        <f>"CKBSAV9"&amp;$AB$2&amp;" Curncy"</f>
        <v>CKBSAV9 ICPL Curncy</v>
      </c>
      <c r="AC17" s="25" t="s">
        <v>364</v>
      </c>
      <c r="AD17" s="26">
        <f ca="1">IF(AB17="","",IF(StaticData.Today=TODAY(),_xll.BDP(AB17,"LAST_PRICE"),_xll.BDH(AB17,"LAST_PRICE",StaticData.Today,StaticData.Today)))</f>
        <v>4.3499999999999996</v>
      </c>
      <c r="AE17" s="27">
        <f t="shared" ca="1" si="8"/>
        <v>4.3499999999999995E-4</v>
      </c>
      <c r="AG17" s="24"/>
      <c r="AH17" s="25" t="s">
        <v>382</v>
      </c>
      <c r="AI17" s="26" t="str">
        <f ca="1">IF(AG17="","",IF(StaticData.Today=TODAY(),_xll.BDP(AG17,"LAST_PRICE"),_xll.BDH(AG17,"LAST_PRICE",StaticData.Today,StaticData.Today)))</f>
        <v/>
      </c>
      <c r="AJ17" s="27"/>
      <c r="AL17" s="14" t="str">
        <f>"CDBS20"&amp;" Curncy"</f>
        <v>CDBS20 Curncy</v>
      </c>
      <c r="AM17" s="25" t="s">
        <v>374</v>
      </c>
      <c r="AN17" s="31"/>
      <c r="AO17" s="29">
        <f ca="1">IF(AL17="","",IF(StaticData.Today=TODAY(),_xll.BDP(AL17,"BID"),_xll.BDH(AL17,"BID",StaticData.Today,StaticData.Today)))</f>
        <v>-15.866</v>
      </c>
      <c r="AP17" s="29">
        <f ca="1">IF(AL17="","",IF(StaticData.Today=TODAY(),_xll.BDP(AL17,"ASK"),_xll.BDH(AL17,"ASK",StaticData.Today,StaticData.Today)))</f>
        <v>-13.634</v>
      </c>
      <c r="AQ17" s="177">
        <f ca="1">IF(AL17="","",IF(StaticData.Today=TODAY(),_xll.BDP(AL17,"LAST_PRICE"),_xll.BDH(AL17,"LAST_PRICE",StaticData.Today,StaticData.Today)))</f>
        <v>-14.75</v>
      </c>
      <c r="AR17" s="181">
        <f t="shared" ca="1" si="9"/>
        <v>-14.75</v>
      </c>
      <c r="AT17" s="24" t="str">
        <f t="shared" si="5"/>
        <v>CAD12M BGN Curncy</v>
      </c>
      <c r="AU17" s="25" t="s">
        <v>322</v>
      </c>
      <c r="AV17" s="31"/>
      <c r="AW17" s="196">
        <f ca="1">IF(AT17="","",IF(StaticData.Today=TODAY(),_xll.BDP(AT17,"BID"),_xll.BDH(AT17,"BID",StaticData.Today,StaticData.Today)))</f>
        <v>-6.15</v>
      </c>
      <c r="AX17" s="196">
        <f ca="1">IF(AT17="","",IF(StaticData.Today=TODAY(),_xll.BDP(AT17,"ASK"),_xll.BDH(AT17,"ASK",StaticData.Today,StaticData.Today)))</f>
        <v>-3.91</v>
      </c>
      <c r="AY17" s="196">
        <f ca="1">IF(AT17="","",IF(StaticData.Today=TODAY(),_xll.BDP(AT17,"LAST_PRICE"),_xll.BDH(AT17,"LAST_PRICE",StaticData.Today,StaticData.Today)))</f>
        <v>-5.03</v>
      </c>
      <c r="AZ17" s="471">
        <f t="shared" ca="1" si="1"/>
        <v>-5.03</v>
      </c>
    </row>
    <row r="18" spans="2:52" x14ac:dyDescent="0.25">
      <c r="B18" s="36"/>
      <c r="C18" s="36"/>
      <c r="D18" s="36"/>
      <c r="E18" s="36"/>
      <c r="G18" s="349" t="s">
        <v>928</v>
      </c>
      <c r="H18" s="25" t="s">
        <v>316</v>
      </c>
      <c r="I18" s="25"/>
      <c r="J18" s="187"/>
      <c r="K18" s="187"/>
      <c r="L18" s="26"/>
      <c r="M18" s="27">
        <f ca="1">USD_DATA!J20+GBP_DATA!$M$16</f>
        <v>2.2299999999999998E-3</v>
      </c>
      <c r="O18" s="24" t="str">
        <f>"CDSW5"&amp;$O$2&amp;" Curncy"</f>
        <v>CDSW5 BGN Curncy</v>
      </c>
      <c r="P18" s="25" t="s">
        <v>331</v>
      </c>
      <c r="Q18" s="28"/>
      <c r="R18" s="29">
        <f ca="1">IF(O18="","",IF(StaticData.Today=TODAY(),_xll.BDP(O18,"BID"),_xll.BDH(O18,"BID",StaticData.Today,StaticData.Today)))</f>
        <v>0.7399</v>
      </c>
      <c r="S18" s="29">
        <f ca="1">IF(O18="","",IF(StaticData.Today=TODAY(),_xll.BDP(O18,"ASK"),_xll.BDH(O18,"ASK",StaticData.Today,StaticData.Today)))</f>
        <v>0.75470000000000004</v>
      </c>
      <c r="T18" s="30">
        <f ca="1">IF(O18="","",IF(StaticData.Today=TODAY(),_xll.BDP(O18,"LAST_PRICE"),_xll.BDH(O18,"LAST_PRICE",StaticData.Today,StaticData.Today)))</f>
        <v>0.74729999999999996</v>
      </c>
      <c r="U18" s="183">
        <f t="shared" ca="1" si="6"/>
        <v>7.4729999999999996E-3</v>
      </c>
      <c r="W18" s="24" t="str">
        <f>"CKBSV4"&amp;$W$2&amp;" Curncy"</f>
        <v>CKBSV4 ICPL Curncy</v>
      </c>
      <c r="X18" s="25" t="s">
        <v>324</v>
      </c>
      <c r="Y18" s="191">
        <f ca="1">IF(W18="","",IF(StaticData.Today=TODAY(),_xll.BDP(W18,"LAST_PRICE"),_xll.BDH(W18,"LAST_PRICE",StaticData.Today,StaticData.Today)))</f>
        <v>5.75</v>
      </c>
      <c r="Z18" s="338">
        <f t="shared" ca="1" si="10"/>
        <v>5.7499999999999999E-4</v>
      </c>
      <c r="AB18" s="24" t="str">
        <f>"CKBSAV10"&amp;$AB$2&amp;" Curncy"</f>
        <v>CKBSAV10 ICPL Curncy</v>
      </c>
      <c r="AC18" s="25" t="s">
        <v>349</v>
      </c>
      <c r="AD18" s="26">
        <f ca="1">IF(AB18="","",IF(StaticData.Today=TODAY(),_xll.BDP(AB18,"LAST_PRICE"),_xll.BDH(AB18,"LAST_PRICE",StaticData.Today,StaticData.Today)))</f>
        <v>4.25</v>
      </c>
      <c r="AE18" s="27">
        <f t="shared" ca="1" si="8"/>
        <v>4.2499999999999998E-4</v>
      </c>
      <c r="AG18" s="24"/>
      <c r="AH18" s="25" t="s">
        <v>389</v>
      </c>
      <c r="AI18" s="26" t="str">
        <f ca="1">IF(AG18="","",IF(StaticData.Today=TODAY(),_xll.BDP(AG18,"LAST_PRICE"),_xll.BDH(AG18,"LAST_PRICE",StaticData.Today,StaticData.Today)))</f>
        <v/>
      </c>
      <c r="AJ18" s="27"/>
      <c r="AL18" s="14" t="str">
        <f>"CDBS30"&amp;" Curncy"</f>
        <v>CDBS30 Curncy</v>
      </c>
      <c r="AM18" s="25" t="s">
        <v>389</v>
      </c>
      <c r="AN18" s="31"/>
      <c r="AO18" s="29">
        <f ca="1">IF(AL18="","",IF(StaticData.Today=TODAY(),_xll.BDP(AL18,"BID"),_xll.BDH(AL18,"BID",StaticData.Today,StaticData.Today)))</f>
        <v>-19.038</v>
      </c>
      <c r="AP18" s="29">
        <f ca="1">IF(AL18="","",IF(StaticData.Today=TODAY(),_xll.BDP(AL18,"ASK"),_xll.BDH(AL18,"ASK",StaticData.Today,StaticData.Today)))</f>
        <v>-16.962</v>
      </c>
      <c r="AQ18" s="177">
        <f ca="1">IF(AL18="","",IF(StaticData.Today=TODAY(),_xll.BDP(AL18,"LAST_PRICE"),_xll.BDH(AL18,"LAST_PRICE",StaticData.Today,StaticData.Today)))</f>
        <v>-18</v>
      </c>
      <c r="AR18" s="181">
        <f t="shared" ca="1" si="9"/>
        <v>-18</v>
      </c>
      <c r="AT18" s="24" t="str">
        <f t="shared" si="5"/>
        <v>CAD18M BGN Curncy</v>
      </c>
      <c r="AU18" s="25" t="s">
        <v>501</v>
      </c>
      <c r="AV18" s="31"/>
      <c r="AW18" s="196">
        <f ca="1">IF(AT18="","",IF(StaticData.Today=TODAY(),_xll.BDP(AT18,"BID"),_xll.BDH(AT18,"BID",StaticData.Today,StaticData.Today)))</f>
        <v>-1.62</v>
      </c>
      <c r="AX18" s="196">
        <f ca="1">IF(AT18="","",IF(StaticData.Today=TODAY(),_xll.BDP(AT18,"ASK"),_xll.BDH(AT18,"ASK",StaticData.Today,StaticData.Today)))</f>
        <v>3.36</v>
      </c>
      <c r="AY18" s="196">
        <f ca="1">IF(AT18="","",IF(StaticData.Today=TODAY(),_xll.BDP(AT18,"LAST_PRICE"),_xll.BDH(AT18,"LAST_PRICE",StaticData.Today,StaticData.Today)))</f>
        <v>0.87</v>
      </c>
      <c r="AZ18" s="471">
        <f t="shared" ca="1" si="1"/>
        <v>0.87</v>
      </c>
    </row>
    <row r="19" spans="2:52" x14ac:dyDescent="0.25">
      <c r="B19" s="36"/>
      <c r="C19" s="36"/>
      <c r="D19" s="36"/>
      <c r="E19" s="36"/>
      <c r="G19" s="349" t="s">
        <v>928</v>
      </c>
      <c r="H19" s="25" t="s">
        <v>324</v>
      </c>
      <c r="I19" s="25"/>
      <c r="J19" s="187"/>
      <c r="K19" s="187"/>
      <c r="L19" s="26"/>
      <c r="M19" s="27">
        <f ca="1">USD_DATA!J21+GBP_DATA!$M$16</f>
        <v>2.5399999999999997E-3</v>
      </c>
      <c r="O19" s="24" t="str">
        <f>"UDSW3"&amp;$O$2&amp;" Curncy"</f>
        <v>UDSW3 BGN Curncy</v>
      </c>
      <c r="P19" s="25" t="s">
        <v>339</v>
      </c>
      <c r="Q19" s="28"/>
      <c r="R19" s="29">
        <f ca="1">IF(O19="","",IF(StaticData.Today=TODAY(),_xll.BDP(O19,"BID"),_xll.BDH(O19,"BID",StaticData.Today,StaticData.Today)))</f>
        <v>0.84460000000000002</v>
      </c>
      <c r="S19" s="29">
        <f ca="1">IF(O19="","",IF(StaticData.Today=TODAY(),_xll.BDP(O19,"ASK"),_xll.BDH(O19,"ASK",StaticData.Today,StaticData.Today)))</f>
        <v>0.90539999999999998</v>
      </c>
      <c r="T19" s="30">
        <f ca="1">IF(O19="","",IF(StaticData.Today=TODAY(),_xll.BDP(O19,"LAST_PRICE"),_xll.BDH(O19,"LAST_PRICE",StaticData.Today,StaticData.Today)))</f>
        <v>0.875</v>
      </c>
      <c r="U19" s="183">
        <f t="shared" ca="1" si="6"/>
        <v>8.7500000000000008E-3</v>
      </c>
      <c r="W19" s="24" t="str">
        <f>"CKBSV5"&amp;$W$2&amp;" Curncy"</f>
        <v>CKBSV5 ICPL Curncy</v>
      </c>
      <c r="X19" s="25" t="s">
        <v>331</v>
      </c>
      <c r="Y19" s="191">
        <f ca="1">IF(W19="","",IF(StaticData.Today=TODAY(),_xll.BDP(W19,"LAST_PRICE"),_xll.BDH(W19,"LAST_PRICE",StaticData.Today,StaticData.Today)))</f>
        <v>6.5</v>
      </c>
      <c r="Z19" s="338">
        <f t="shared" ca="1" si="10"/>
        <v>6.4999999999999997E-4</v>
      </c>
      <c r="AB19" s="24"/>
      <c r="AC19" s="25"/>
      <c r="AD19" s="26" t="str">
        <f ca="1"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 ca="1">IF(AG19="","",IF(StaticData.Today=TODAY(),_xll.BDP(AG19,"LAST_PRICE"),_xll.BDH(AG19,"LAST_PRICE",StaticData.Today,StaticData.Today)))</f>
        <v/>
      </c>
      <c r="AJ19" s="27"/>
      <c r="AL19" s="14"/>
      <c r="AM19" s="25"/>
      <c r="AN19" s="28"/>
      <c r="AO19" s="29"/>
      <c r="AP19" s="29"/>
      <c r="AQ19" s="177"/>
      <c r="AR19" s="181"/>
      <c r="AT19" s="24" t="str">
        <f t="shared" si="5"/>
        <v>CAD2Y BGN Curncy</v>
      </c>
      <c r="AU19" s="25" t="s">
        <v>308</v>
      </c>
      <c r="AV19" s="31"/>
      <c r="AW19" s="196">
        <f ca="1">IF(AT19="","",IF(StaticData.Today=TODAY(),_xll.BDP(AT19,"BID"),_xll.BDH(AT19,"BID",StaticData.Today,StaticData.Today)))</f>
        <v>8.9</v>
      </c>
      <c r="AX19" s="196">
        <f ca="1">IF(AT19="","",IF(StaticData.Today=TODAY(),_xll.BDP(AT19,"ASK"),_xll.BDH(AT19,"ASK",StaticData.Today,StaticData.Today)))</f>
        <v>20.21</v>
      </c>
      <c r="AY19" s="196">
        <f ca="1">IF(AT19="","",IF(StaticData.Today=TODAY(),_xll.BDP(AT19,"LAST_PRICE"),_xll.BDH(AT19,"LAST_PRICE",StaticData.Today,StaticData.Today)))</f>
        <v>14.56</v>
      </c>
      <c r="AZ19" s="471">
        <f t="shared" ca="1" si="1"/>
        <v>14.56</v>
      </c>
    </row>
    <row r="20" spans="2:52" x14ac:dyDescent="0.25">
      <c r="B20" s="36"/>
      <c r="C20" s="36"/>
      <c r="D20" s="36"/>
      <c r="E20" s="36"/>
      <c r="G20" s="349" t="s">
        <v>928</v>
      </c>
      <c r="H20" s="25" t="s">
        <v>331</v>
      </c>
      <c r="I20" s="25"/>
      <c r="J20" s="187"/>
      <c r="K20" s="187"/>
      <c r="L20" s="26"/>
      <c r="M20" s="27">
        <f ca="1">USD_DATA!J22+GBP_DATA!$M$16</f>
        <v>3.1199999999999995E-3</v>
      </c>
      <c r="O20" s="24" t="str">
        <f>"CDSW7"&amp;$O$2&amp;" Curncy"</f>
        <v>CDSW7 BGN Curncy</v>
      </c>
      <c r="P20" s="25" t="s">
        <v>342</v>
      </c>
      <c r="Q20" s="28"/>
      <c r="R20" s="29">
        <f ca="1">IF(O20="","",IF(StaticData.Today=TODAY(),_xll.BDP(O20,"BID"),_xll.BDH(O20,"BID",StaticData.Today,StaticData.Today)))</f>
        <v>0.86680000000000001</v>
      </c>
      <c r="S20" s="29">
        <f ca="1">IF(O20="","",IF(StaticData.Today=TODAY(),_xll.BDP(O20,"ASK"),_xll.BDH(O20,"ASK",StaticData.Today,StaticData.Today)))</f>
        <v>0.88380000000000003</v>
      </c>
      <c r="T20" s="30">
        <f ca="1">IF(O20="","",IF(StaticData.Today=TODAY(),_xll.BDP(O20,"LAST_PRICE"),_xll.BDH(O20,"LAST_PRICE",StaticData.Today,StaticData.Today)))</f>
        <v>0.87529999999999997</v>
      </c>
      <c r="U20" s="183">
        <f t="shared" ca="1" si="6"/>
        <v>8.7530000000000004E-3</v>
      </c>
      <c r="W20" s="24" t="str">
        <f>"CKBSV6"&amp;$W$2&amp;" Curncy"</f>
        <v>CKBSV6 ICPL Curncy</v>
      </c>
      <c r="X20" s="25" t="s">
        <v>339</v>
      </c>
      <c r="Y20" s="191">
        <f ca="1">IF(W20="","",IF(StaticData.Today=TODAY(),_xll.BDP(W20,"LAST_PRICE"),_xll.BDH(W20,"LAST_PRICE",StaticData.Today,StaticData.Today)))</f>
        <v>7.75</v>
      </c>
      <c r="Z20" s="338">
        <f t="shared" ca="1" si="10"/>
        <v>7.7499999999999997E-4</v>
      </c>
      <c r="AB20" s="24"/>
      <c r="AC20" s="25"/>
      <c r="AD20" s="26" t="str">
        <f ca="1"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 ca="1"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5"/>
        <v>CAD3Y BGN Curncy</v>
      </c>
      <c r="AU20" s="25" t="s">
        <v>316</v>
      </c>
      <c r="AV20" s="31"/>
      <c r="AW20" s="196">
        <f ca="1">IF(AT20="","",IF(StaticData.Today=TODAY(),_xll.BDP(AT20,"BID"),_xll.BDH(AT20,"BID",StaticData.Today,StaticData.Today)))</f>
        <v>49.36</v>
      </c>
      <c r="AX20" s="196">
        <f ca="1">IF(AT20="","",IF(StaticData.Today=TODAY(),_xll.BDP(AT20,"ASK"),_xll.BDH(AT20,"ASK",StaticData.Today,StaticData.Today)))</f>
        <v>65.45</v>
      </c>
      <c r="AY20" s="196">
        <f ca="1">IF(AT20="","",IF(StaticData.Today=TODAY(),_xll.BDP(AT20,"LAST_PRICE"),_xll.BDH(AT20,"LAST_PRICE",StaticData.Today,StaticData.Today)))</f>
        <v>57.4</v>
      </c>
      <c r="AZ20" s="471">
        <f t="shared" ca="1" si="1"/>
        <v>57.4</v>
      </c>
    </row>
    <row r="21" spans="2:52" x14ac:dyDescent="0.25">
      <c r="B21" s="36"/>
      <c r="C21" s="36"/>
      <c r="D21" s="36"/>
      <c r="E21" s="36"/>
      <c r="G21" s="349" t="s">
        <v>928</v>
      </c>
      <c r="H21" s="25" t="s">
        <v>339</v>
      </c>
      <c r="I21" s="25"/>
      <c r="J21" s="187"/>
      <c r="K21" s="187"/>
      <c r="L21" s="26"/>
      <c r="M21" s="27">
        <f ca="1">0.5*(M20+M22)</f>
        <v>3.8349999999999999E-3</v>
      </c>
      <c r="O21" s="24" t="str">
        <f>"CDSW8"&amp;$O$2&amp;" Curncy"</f>
        <v>CDSW8 BGN Curncy</v>
      </c>
      <c r="P21" s="25" t="s">
        <v>355</v>
      </c>
      <c r="Q21" s="28"/>
      <c r="R21" s="29">
        <f ca="1">IF(O21="","",IF(StaticData.Today=TODAY(),_xll.BDP(O21,"BID"),_xll.BDH(O21,"BID",StaticData.Today,StaticData.Today)))</f>
        <v>0.92269999999999996</v>
      </c>
      <c r="S21" s="29">
        <f ca="1">IF(O21="","",IF(StaticData.Today=TODAY(),_xll.BDP(O21,"ASK"),_xll.BDH(O21,"ASK",StaticData.Today,StaticData.Today)))</f>
        <v>0.94569999999999999</v>
      </c>
      <c r="T21" s="30">
        <f ca="1">IF(O21="","",IF(StaticData.Today=TODAY(),_xll.BDP(O21,"LAST_PRICE"),_xll.BDH(O21,"LAST_PRICE",StaticData.Today,StaticData.Today)))</f>
        <v>0.93420000000000003</v>
      </c>
      <c r="U21" s="183">
        <f t="shared" ca="1" si="6"/>
        <v>9.3419999999999996E-3</v>
      </c>
      <c r="W21" s="24" t="str">
        <f>"CKBSV7"&amp;$W$2&amp;" Curncy"</f>
        <v>CKBSV7 ICPL Curncy</v>
      </c>
      <c r="X21" s="25" t="s">
        <v>342</v>
      </c>
      <c r="Y21" s="191">
        <f ca="1">IF(W21="","",IF(StaticData.Today=TODAY(),_xll.BDP(W21,"LAST_PRICE"),_xll.BDH(W21,"LAST_PRICE",StaticData.Today,StaticData.Today)))</f>
        <v>9.5</v>
      </c>
      <c r="Z21" s="338">
        <f t="shared" ca="1" si="10"/>
        <v>9.5E-4</v>
      </c>
      <c r="AB21" s="24"/>
      <c r="AC21" s="25"/>
      <c r="AD21" s="26" t="str">
        <f ca="1"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 ca="1"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si="5"/>
        <v>CAD4Y BGN Curncy</v>
      </c>
      <c r="AU21" s="25" t="s">
        <v>324</v>
      </c>
      <c r="AV21" s="31"/>
      <c r="AW21" s="196">
        <f ca="1">IF(AT21="","",IF(StaticData.Today=TODAY(),_xll.BDP(AT21,"BID"),_xll.BDH(AT21,"BID",StaticData.Today,StaticData.Today)))</f>
        <v>103.54</v>
      </c>
      <c r="AX21" s="196">
        <f ca="1">IF(AT21="","",IF(StaticData.Today=TODAY(),_xll.BDP(AT21,"ASK"),_xll.BDH(AT21,"ASK",StaticData.Today,StaticData.Today)))</f>
        <v>123.58</v>
      </c>
      <c r="AY21" s="196">
        <f ca="1">IF(AT21="","",IF(StaticData.Today=TODAY(),_xll.BDP(AT21,"LAST_PRICE"),_xll.BDH(AT21,"LAST_PRICE",StaticData.Today,StaticData.Today)))</f>
        <v>113.56</v>
      </c>
      <c r="AZ21" s="471">
        <f t="shared" ca="1" si="1"/>
        <v>113.56</v>
      </c>
    </row>
    <row r="22" spans="2:52" x14ac:dyDescent="0.25">
      <c r="B22" s="36"/>
      <c r="C22" s="36"/>
      <c r="D22" s="36"/>
      <c r="E22" s="36"/>
      <c r="G22" s="349" t="s">
        <v>928</v>
      </c>
      <c r="H22" s="25" t="s">
        <v>342</v>
      </c>
      <c r="I22" s="25"/>
      <c r="J22" s="187"/>
      <c r="K22" s="187"/>
      <c r="L22" s="26"/>
      <c r="M22" s="27">
        <f ca="1">USD_DATA!J23+GBP_DATA!$M$16</f>
        <v>4.5500000000000002E-3</v>
      </c>
      <c r="O22" s="24" t="str">
        <f>"CDSW9"&amp;$O$2&amp;" Curncy"</f>
        <v>CDSW9 BGN Curncy</v>
      </c>
      <c r="P22" s="25" t="s">
        <v>364</v>
      </c>
      <c r="Q22" s="28"/>
      <c r="R22" s="29">
        <f ca="1">IF(O22="","",IF(StaticData.Today=TODAY(),_xll.BDP(O22,"BID"),_xll.BDH(O22,"BID",StaticData.Today,StaticData.Today)))</f>
        <v>0.9829</v>
      </c>
      <c r="S22" s="29">
        <f ca="1">IF(O22="","",IF(StaticData.Today=TODAY(),_xll.BDP(O22,"ASK"),_xll.BDH(O22,"ASK",StaticData.Today,StaticData.Today)))</f>
        <v>0.99670000000000003</v>
      </c>
      <c r="T22" s="30">
        <f ca="1">IF(O22="","",IF(StaticData.Today=TODAY(),_xll.BDP(O22,"LAST_PRICE"),_xll.BDH(O22,"LAST_PRICE",StaticData.Today,StaticData.Today)))</f>
        <v>0.98980000000000001</v>
      </c>
      <c r="U22" s="183">
        <f t="shared" ca="1" si="6"/>
        <v>9.8980000000000005E-3</v>
      </c>
      <c r="W22" s="24" t="str">
        <f>"CKBSV8"&amp;$W$2&amp;" Curncy"</f>
        <v>CKBSV8 ICPL Curncy</v>
      </c>
      <c r="X22" s="25" t="s">
        <v>355</v>
      </c>
      <c r="Y22" s="191">
        <f ca="1">IF(W22="","",IF(StaticData.Today=TODAY(),_xll.BDP(W22,"LAST_PRICE"),_xll.BDH(W22,"LAST_PRICE",StaticData.Today,StaticData.Today)))</f>
        <v>11</v>
      </c>
      <c r="Z22" s="338">
        <f t="shared" ca="1" si="10"/>
        <v>1.1000000000000001E-3</v>
      </c>
      <c r="AB22" s="24"/>
      <c r="AC22" s="25"/>
      <c r="AD22" s="26" t="str">
        <f ca="1"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 ca="1"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 t="shared" si="5"/>
        <v>CAD5Y BGN Curncy</v>
      </c>
      <c r="AU22" s="25" t="s">
        <v>331</v>
      </c>
      <c r="AV22" s="31"/>
      <c r="AW22" s="196">
        <f ca="1">IF(AT22="","",IF(StaticData.Today=TODAY(),_xll.BDP(AT22,"BID"),_xll.BDH(AT22,"BID",StaticData.Today,StaticData.Today)))</f>
        <v>151.41</v>
      </c>
      <c r="AX22" s="196">
        <f ca="1">IF(AT22="","",IF(StaticData.Today=TODAY(),_xll.BDP(AT22,"ASK"),_xll.BDH(AT22,"ASK",StaticData.Today,StaticData.Today)))</f>
        <v>177.92</v>
      </c>
      <c r="AY22" s="196">
        <f ca="1">IF(AT22="","",IF(StaticData.Today=TODAY(),_xll.BDP(AT22,"LAST_PRICE"),_xll.BDH(AT22,"LAST_PRICE",StaticData.Today,StaticData.Today)))</f>
        <v>164.66</v>
      </c>
      <c r="AZ22" s="471">
        <f t="shared" ca="1" si="1"/>
        <v>164.66</v>
      </c>
    </row>
    <row r="23" spans="2:52" x14ac:dyDescent="0.25">
      <c r="B23" s="36"/>
      <c r="C23" s="36"/>
      <c r="D23" s="36"/>
      <c r="E23" s="36"/>
      <c r="G23" s="349" t="s">
        <v>928</v>
      </c>
      <c r="H23" s="25" t="s">
        <v>355</v>
      </c>
      <c r="I23" s="25"/>
      <c r="J23" s="187"/>
      <c r="K23" s="187"/>
      <c r="L23" s="26"/>
      <c r="M23" s="470">
        <f ca="1">M22+(M25-M22)/3</f>
        <v>5.2133333333333328E-3</v>
      </c>
      <c r="O23" s="24" t="str">
        <f>"CDSW10"&amp;$O$2&amp;" Curncy"</f>
        <v>CDSW10 BGN Curncy</v>
      </c>
      <c r="P23" s="25" t="s">
        <v>349</v>
      </c>
      <c r="Q23" s="28"/>
      <c r="R23" s="29">
        <f ca="1">IF(O23="","",IF(StaticData.Today=TODAY(),_xll.BDP(O23,"BID"),_xll.BDH(O23,"BID",StaticData.Today,StaticData.Today)))</f>
        <v>1.0329999999999999</v>
      </c>
      <c r="S23" s="29">
        <f ca="1">IF(O23="","",IF(StaticData.Today=TODAY(),_xll.BDP(O23,"ASK"),_xll.BDH(O23,"ASK",StaticData.Today,StaticData.Today)))</f>
        <v>1.0584</v>
      </c>
      <c r="T23" s="30">
        <f ca="1">IF(O23="","",IF(StaticData.Today=TODAY(),_xll.BDP(O23,"LAST_PRICE"),_xll.BDH(O23,"LAST_PRICE",StaticData.Today,StaticData.Today)))</f>
        <v>1.0457000000000001</v>
      </c>
      <c r="U23" s="183">
        <f t="shared" ca="1" si="6"/>
        <v>1.0457000000000001E-2</v>
      </c>
      <c r="W23" s="24" t="str">
        <f>"CKBSV9"&amp;$W$2&amp;" Curncy"</f>
        <v>CKBSV9 ICPL Curncy</v>
      </c>
      <c r="X23" s="25" t="s">
        <v>364</v>
      </c>
      <c r="Y23" s="191">
        <f ca="1">IF(W23="","",IF(StaticData.Today=TODAY(),_xll.BDP(W23,"LAST_PRICE"),_xll.BDH(W23,"LAST_PRICE",StaticData.Today,StaticData.Today)))</f>
        <v>12.75</v>
      </c>
      <c r="Z23" s="338">
        <f t="shared" ca="1" si="10"/>
        <v>1.2750000000000001E-3</v>
      </c>
      <c r="AB23" s="24"/>
      <c r="AC23" s="25"/>
      <c r="AD23" s="26" t="str">
        <f ca="1"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 ca="1"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si="5"/>
        <v>CAD7Y BGN Curncy</v>
      </c>
      <c r="AU23" s="25" t="s">
        <v>342</v>
      </c>
      <c r="AV23" s="31"/>
      <c r="AW23" s="196">
        <f ca="1">IF(AT23="","",IF(StaticData.Today=TODAY(),_xll.BDP(AT23,"BID"),_xll.BDH(AT23,"BID",StaticData.Today,StaticData.Today)))</f>
        <v>227.85</v>
      </c>
      <c r="AX23" s="196">
        <f ca="1">IF(AT23="","",IF(StaticData.Today=TODAY(),_xll.BDP(AT23,"ASK"),_xll.BDH(AT23,"ASK",StaticData.Today,StaticData.Today)))</f>
        <v>261.95999999999998</v>
      </c>
      <c r="AY23" s="196">
        <f ca="1">IF(AT23="","",IF(StaticData.Today=TODAY(),_xll.BDP(AT23,"LAST_PRICE"),_xll.BDH(AT23,"LAST_PRICE",StaticData.Today,StaticData.Today)))</f>
        <v>244.9</v>
      </c>
      <c r="AZ23" s="471">
        <f t="shared" ca="1" si="1"/>
        <v>244.9</v>
      </c>
    </row>
    <row r="24" spans="2:52" x14ac:dyDescent="0.25">
      <c r="G24" s="349" t="s">
        <v>928</v>
      </c>
      <c r="H24" s="25" t="s">
        <v>364</v>
      </c>
      <c r="I24" s="25"/>
      <c r="J24" s="187"/>
      <c r="K24" s="187"/>
      <c r="L24" s="26"/>
      <c r="M24" s="27">
        <f ca="1">M22+2*(M25-M22)/3</f>
        <v>5.8766666666666663E-3</v>
      </c>
      <c r="O24" s="24" t="str">
        <f>"CDSW12"&amp;$O$2&amp;" Curncy"</f>
        <v>CDSW12 BGN Curncy</v>
      </c>
      <c r="P24" s="25" t="s">
        <v>358</v>
      </c>
      <c r="Q24" s="28"/>
      <c r="R24" s="29">
        <f ca="1">IF(O24="","",IF(StaticData.Today=TODAY(),_xll.BDP(O24,"BID"),_xll.BDH(O24,"BID",StaticData.Today,StaticData.Today)))</f>
        <v>1.1355999999999999</v>
      </c>
      <c r="S24" s="29">
        <f ca="1">IF(O24="","",IF(StaticData.Today=TODAY(),_xll.BDP(O24,"ASK"),_xll.BDH(O24,"ASK",StaticData.Today,StaticData.Today)))</f>
        <v>1.1716</v>
      </c>
      <c r="T24" s="30">
        <f ca="1">IF(O24="","",IF(StaticData.Today=TODAY(),_xll.BDP(O24,"LAST_PRICE"),_xll.BDH(O24,"LAST_PRICE",StaticData.Today,StaticData.Today)))</f>
        <v>1.1536</v>
      </c>
      <c r="U24" s="183">
        <f t="shared" ca="1" si="6"/>
        <v>1.1535999999999999E-2</v>
      </c>
      <c r="W24" s="24" t="str">
        <f>"CKBSV10"&amp;$W$2&amp;" Curncy"</f>
        <v>CKBSV10 ICPL Curncy</v>
      </c>
      <c r="X24" s="25" t="s">
        <v>349</v>
      </c>
      <c r="Y24" s="191">
        <f ca="1">IF(W24="","",IF(StaticData.Today=TODAY(),_xll.BDP(W24,"LAST_PRICE"),_xll.BDH(W24,"LAST_PRICE",StaticData.Today,StaticData.Today)))</f>
        <v>14.25</v>
      </c>
      <c r="Z24" s="338">
        <f t="shared" ca="1" si="10"/>
        <v>1.4250000000000001E-3</v>
      </c>
      <c r="AB24" s="24"/>
      <c r="AC24" s="25"/>
      <c r="AD24" s="26" t="str">
        <f ca="1"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 ca="1"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si="5"/>
        <v>CAD10Y BGN Curncy</v>
      </c>
      <c r="AU24" s="25" t="s">
        <v>349</v>
      </c>
      <c r="AV24" s="31"/>
      <c r="AW24" s="196">
        <f ca="1">IF(AT24="","",IF(StaticData.Today=TODAY(),_xll.BDP(AT24,"BID"),_xll.BDH(AT24,"BID",StaticData.Today,StaticData.Today)))</f>
        <v>333.45</v>
      </c>
      <c r="AX24" s="196">
        <f ca="1">IF(AT24="","",IF(StaticData.Today=TODAY(),_xll.BDP(AT24,"ASK"),_xll.BDH(AT24,"ASK",StaticData.Today,StaticData.Today)))</f>
        <v>354.46</v>
      </c>
      <c r="AY24" s="196">
        <f ca="1">IF(AT24="","",IF(StaticData.Today=TODAY(),_xll.BDP(AT24,"LAST_PRICE"),_xll.BDH(AT24,"LAST_PRICE",StaticData.Today,StaticData.Today)))</f>
        <v>343.96</v>
      </c>
      <c r="AZ24" s="471">
        <f t="shared" ca="1" si="1"/>
        <v>343.96</v>
      </c>
    </row>
    <row r="25" spans="2:52" x14ac:dyDescent="0.25">
      <c r="G25" s="349" t="s">
        <v>928</v>
      </c>
      <c r="H25" s="25" t="s">
        <v>349</v>
      </c>
      <c r="I25" s="25"/>
      <c r="J25" s="187"/>
      <c r="K25" s="187"/>
      <c r="L25" s="26"/>
      <c r="M25" s="27">
        <f ca="1">USD_DATA!J24+GBP_DATA!$M$16</f>
        <v>6.5399999999999989E-3</v>
      </c>
      <c r="O25" s="24" t="str">
        <f>"CDSW15"&amp;$O$2&amp;" Curncy"</f>
        <v>CDSW15 BGN Curncy</v>
      </c>
      <c r="P25" s="25" t="s">
        <v>367</v>
      </c>
      <c r="Q25" s="28"/>
      <c r="R25" s="29">
        <f ca="1">IF(O25="","",IF(StaticData.Today=TODAY(),_xll.BDP(O25,"BID"),_xll.BDH(O25,"BID",StaticData.Today,StaticData.Today)))</f>
        <v>1.2798</v>
      </c>
      <c r="S25" s="29">
        <f ca="1">IF(O25="","",IF(StaticData.Today=TODAY(),_xll.BDP(O25,"ASK"),_xll.BDH(O25,"ASK",StaticData.Today,StaticData.Today)))</f>
        <v>1.3002</v>
      </c>
      <c r="T25" s="30">
        <f ca="1">IF(O25="","",IF(StaticData.Today=TODAY(),_xll.BDP(O25,"LAST_PRICE"),_xll.BDH(O25,"LAST_PRICE",StaticData.Today,StaticData.Today)))</f>
        <v>1.29</v>
      </c>
      <c r="U25" s="183">
        <f t="shared" ca="1" si="6"/>
        <v>1.29E-2</v>
      </c>
      <c r="W25" s="24" t="str">
        <f>"CKBSV12"&amp;$W$2&amp;" Curncy"</f>
        <v>CKBSV12 ICPL Curncy</v>
      </c>
      <c r="X25" s="25" t="s">
        <v>358</v>
      </c>
      <c r="Y25" s="191">
        <f ca="1">IF(W25="","",IF(StaticData.Today=TODAY(),_xll.BDP(W25,"LAST_PRICE"),_xll.BDH(W25,"LAST_PRICE",StaticData.Today,StaticData.Today)))</f>
        <v>15.25</v>
      </c>
      <c r="Z25" s="338">
        <f t="shared" ca="1" si="10"/>
        <v>1.5250000000000001E-3</v>
      </c>
      <c r="AB25" s="24"/>
      <c r="AC25" s="25"/>
      <c r="AD25" s="26" t="str">
        <f ca="1"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 ca="1"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/>
      <c r="AU25" s="25"/>
      <c r="AV25" s="28"/>
      <c r="AW25" s="178"/>
      <c r="AX25" s="178"/>
      <c r="AY25" s="30"/>
      <c r="AZ25" s="27"/>
    </row>
    <row r="26" spans="2:52" x14ac:dyDescent="0.25">
      <c r="G26" s="349" t="s">
        <v>928</v>
      </c>
      <c r="H26" s="25" t="s">
        <v>374</v>
      </c>
      <c r="I26" s="25"/>
      <c r="J26" s="187"/>
      <c r="K26" s="187"/>
      <c r="L26" s="26"/>
      <c r="M26" s="27">
        <f ca="1">USD_DATA!J25+GBP_DATA!$M$16</f>
        <v>9.6200000000000001E-3</v>
      </c>
      <c r="O26" s="24" t="str">
        <f>"CDSW20"&amp;$O$2&amp;" Curncy"</f>
        <v>CDSW20 BGN Curncy</v>
      </c>
      <c r="P26" s="25" t="s">
        <v>374</v>
      </c>
      <c r="Q26" s="28"/>
      <c r="R26" s="29">
        <f ca="1">IF(O26="","",IF(StaticData.Today=TODAY(),_xll.BDP(O26,"BID"),_xll.BDH(O26,"BID",StaticData.Today,StaticData.Today)))</f>
        <v>1.4021999999999999</v>
      </c>
      <c r="S26" s="29">
        <f ca="1">IF(O26="","",IF(StaticData.Today=TODAY(),_xll.BDP(O26,"ASK"),_xll.BDH(O26,"ASK",StaticData.Today,StaticData.Today)))</f>
        <v>1.4188000000000001</v>
      </c>
      <c r="T26" s="30">
        <f ca="1">IF(O26="","",IF(StaticData.Today=TODAY(),_xll.BDP(O26,"LAST_PRICE"),_xll.BDH(O26,"LAST_PRICE",StaticData.Today,StaticData.Today)))</f>
        <v>1.4105000000000001</v>
      </c>
      <c r="U26" s="183">
        <f t="shared" ca="1" si="6"/>
        <v>1.4105000000000001E-2</v>
      </c>
      <c r="W26" s="24" t="str">
        <f>"CKBSV15"&amp;$W$2&amp;" Curncy"</f>
        <v>CKBSV15 ICPL Curncy</v>
      </c>
      <c r="X26" s="25" t="s">
        <v>367</v>
      </c>
      <c r="Y26" s="191">
        <f ca="1">IF(W26="","",IF(StaticData.Today=TODAY(),_xll.BDP(W26,"LAST_PRICE"),_xll.BDH(W26,"LAST_PRICE",StaticData.Today,StaticData.Today)))</f>
        <v>13.1</v>
      </c>
      <c r="Z26" s="338">
        <f t="shared" ca="1" si="10"/>
        <v>1.31E-3</v>
      </c>
      <c r="AB26" s="24"/>
      <c r="AC26" s="25"/>
      <c r="AD26" s="26" t="str">
        <f ca="1"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 ca="1"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78"/>
      <c r="AX26" s="178"/>
      <c r="AY26" s="30"/>
      <c r="AZ26" s="27"/>
    </row>
    <row r="27" spans="2:52" x14ac:dyDescent="0.25">
      <c r="G27" s="349" t="s">
        <v>928</v>
      </c>
      <c r="H27" s="25" t="s">
        <v>389</v>
      </c>
      <c r="I27" s="25"/>
      <c r="J27" s="187"/>
      <c r="K27" s="187"/>
      <c r="L27" s="26"/>
      <c r="M27" s="27">
        <f ca="1">USD_DATA!J26+GBP_DATA!M16</f>
        <v>1.0129999999999998E-2</v>
      </c>
      <c r="O27" s="24"/>
      <c r="P27" s="25"/>
      <c r="Q27" s="28"/>
      <c r="R27" s="29"/>
      <c r="S27" s="29"/>
      <c r="T27" s="30"/>
      <c r="U27" s="183"/>
      <c r="W27" s="24" t="str">
        <f>"CKBSV20"&amp;$W$2&amp;" Curncy"</f>
        <v>CKBSV20 ICPL Curncy</v>
      </c>
      <c r="X27" s="25" t="s">
        <v>374</v>
      </c>
      <c r="Y27" s="191">
        <f ca="1">IF(W27="","",IF(StaticData.Today=TODAY(),_xll.BDP(W27,"LAST_PRICE"),_xll.BDH(W27,"LAST_PRICE",StaticData.Today,StaticData.Today)))</f>
        <v>12.1</v>
      </c>
      <c r="Z27" s="338">
        <f t="shared" ca="1" si="10"/>
        <v>1.2099999999999999E-3</v>
      </c>
      <c r="AB27" s="24"/>
      <c r="AC27" s="25"/>
      <c r="AD27" s="26" t="str">
        <f ca="1"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 ca="1"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178"/>
      <c r="AX27" s="178"/>
      <c r="AY27" s="30"/>
      <c r="AZ27" s="27"/>
    </row>
    <row r="28" spans="2:52" x14ac:dyDescent="0.25">
      <c r="G28" s="24"/>
      <c r="H28" s="25"/>
      <c r="I28" s="25"/>
      <c r="J28" s="187"/>
      <c r="K28" s="187"/>
      <c r="L28" s="26"/>
      <c r="M28" s="27"/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 ca="1"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 ca="1"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178"/>
      <c r="AX28" s="178"/>
      <c r="AY28" s="30"/>
      <c r="AZ28" s="27"/>
    </row>
    <row r="29" spans="2:52" x14ac:dyDescent="0.25">
      <c r="G29" s="24"/>
      <c r="H29" s="25"/>
      <c r="I29" s="25"/>
      <c r="J29" s="187"/>
      <c r="K29" s="187"/>
      <c r="L29" s="26"/>
      <c r="M29" s="27"/>
      <c r="O29" s="24"/>
      <c r="P29" s="25"/>
      <c r="Q29" s="28"/>
      <c r="R29" s="29"/>
      <c r="S29" s="29"/>
      <c r="T29" s="30"/>
      <c r="U29" s="27"/>
      <c r="W29" s="24"/>
      <c r="X29" s="25"/>
      <c r="Y29" s="191"/>
      <c r="Z29" s="27"/>
      <c r="AB29" s="24"/>
      <c r="AC29" s="25"/>
      <c r="AD29" s="26" t="str">
        <f ca="1"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 ca="1"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178"/>
      <c r="AX29" s="178"/>
      <c r="AY29" s="30"/>
      <c r="AZ29" s="27"/>
    </row>
    <row r="30" spans="2:52" x14ac:dyDescent="0.25">
      <c r="G30" s="24"/>
      <c r="H30" s="25"/>
      <c r="I30" s="25"/>
      <c r="J30" s="187"/>
      <c r="K30" s="187"/>
      <c r="L30" s="26"/>
      <c r="M30" s="27"/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 ca="1"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 ca="1"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29"/>
      <c r="AX30" s="29"/>
      <c r="AY30" s="30" t="str">
        <f ca="1">IF(AT30="","",IF(StaticData.Today=TODAY(),_xll.BDP(AT30,"LAST_PRICE"),_xll.BDH(AT30,"LAST_PRICE",StaticData.Today,StaticData.Today)))</f>
        <v/>
      </c>
      <c r="AZ30" s="27"/>
    </row>
    <row r="31" spans="2:52" x14ac:dyDescent="0.25">
      <c r="G31" s="24"/>
      <c r="H31" s="25"/>
      <c r="I31" s="25"/>
      <c r="J31" s="187"/>
      <c r="K31" s="187"/>
      <c r="L31" s="26"/>
      <c r="M31" s="27"/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 ca="1"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 ca="1"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 t="str">
        <f ca="1">IF(AT31="","",IF(StaticData.Today=TODAY(),_xll.BDP(AT31,"LAST_PRICE"),_xll.BDH(AT31,"LAST_PRICE",StaticData.Today,StaticData.Today)))</f>
        <v/>
      </c>
      <c r="AZ31" s="27"/>
    </row>
    <row r="32" spans="2:52" x14ac:dyDescent="0.25">
      <c r="G32" s="24"/>
      <c r="H32" s="25"/>
      <c r="I32" s="25"/>
      <c r="J32" s="187"/>
      <c r="K32" s="187"/>
      <c r="L32" s="26"/>
      <c r="M32" s="27"/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 ca="1"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 ca="1"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7:52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 ca="1"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 ca="1"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7:52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 ca="1"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 ca="1"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7:52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 ca="1"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 ca="1"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7:52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 t="str">
        <f ca="1">IF(O36="","",IF(StaticData.Today=TODAY(),_xll.BDP(O36,"LAST_PRICE"),_xll.BDH(O36,"LAST_PRICE",StaticData.Today,StaticData.Today)))</f>
        <v/>
      </c>
      <c r="U36" s="27"/>
      <c r="W36" s="24"/>
      <c r="X36" s="25"/>
      <c r="Y36" s="191"/>
      <c r="Z36" s="27"/>
      <c r="AB36" s="24"/>
      <c r="AC36" s="25"/>
      <c r="AD36" s="26" t="str">
        <f ca="1"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 ca="1"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7:52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 t="str">
        <f ca="1">IF(O37="","",IF(StaticData.Today=TODAY(),_xll.BDP(O37,"LAST_PRICE"),_xll.BDH(O37,"LAST_PRICE",StaticData.Today,StaticData.Today)))</f>
        <v/>
      </c>
      <c r="U37" s="27"/>
      <c r="W37" s="24"/>
      <c r="X37" s="25"/>
      <c r="Y37" s="191"/>
      <c r="Z37" s="27"/>
      <c r="AB37" s="24"/>
      <c r="AC37" s="25"/>
      <c r="AD37" s="26" t="str">
        <f ca="1"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 ca="1"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7:52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 t="str">
        <f ca="1">IF(O38="","",IF(StaticData.Today=TODAY(),_xll.BDP(O38,"LAST_PRICE"),_xll.BDH(O38,"LAST_PRICE",StaticData.Today,StaticData.Today)))</f>
        <v/>
      </c>
      <c r="U38" s="27"/>
      <c r="W38" s="24"/>
      <c r="X38" s="25"/>
      <c r="Y38" s="191"/>
      <c r="Z38" s="27"/>
      <c r="AB38" s="24"/>
      <c r="AC38" s="25"/>
      <c r="AD38" s="26" t="str">
        <f ca="1"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 ca="1"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 ca="1"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7:52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 ca="1"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 ca="1"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 ca="1"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 ca="1"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 ca="1">IF(AT39="","",IF(StaticData.Today=TODAY(),_xll.BDP(AT39,"LAST_PRICE"),_xll.BDH(AT39,"LAST_PRICE",StaticData.Today,StaticData.Today)))</f>
        <v/>
      </c>
      <c r="AZ39" s="27"/>
    </row>
    <row r="40" spans="7:52" x14ac:dyDescent="0.25">
      <c r="G40" s="24"/>
      <c r="H40" s="25"/>
      <c r="I40" s="25"/>
      <c r="J40" s="25"/>
      <c r="K40" s="25"/>
      <c r="L40" s="26"/>
      <c r="M40" s="27"/>
      <c r="O40" s="24"/>
      <c r="P40" s="25"/>
      <c r="Q40" s="28"/>
      <c r="R40" s="29"/>
      <c r="S40" s="29"/>
      <c r="T40" s="30" t="str">
        <f ca="1"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 ca="1"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 ca="1"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 ca="1"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 ca="1">IF(AT40="","",IF(StaticData.Today=TODAY(),_xll.BDP(AT40,"LAST_PRICE"),_xll.BDH(AT40,"LAST_PRICE",StaticData.Today,StaticData.Today)))</f>
        <v/>
      </c>
      <c r="AZ40" s="27"/>
    </row>
    <row r="41" spans="7:52" x14ac:dyDescent="0.25">
      <c r="G41" s="38"/>
      <c r="H41" s="39"/>
      <c r="I41" s="39"/>
      <c r="J41" s="39"/>
      <c r="K41" s="39"/>
      <c r="L41" s="40"/>
      <c r="M41" s="41"/>
      <c r="O41" s="24"/>
      <c r="P41" s="25"/>
      <c r="Q41" s="28"/>
      <c r="R41" s="29"/>
      <c r="S41" s="29"/>
      <c r="T41" s="30" t="str">
        <f ca="1"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 ca="1"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 ca="1"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 ca="1"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 ca="1">IF(AT41="","",IF(StaticData.Today=TODAY(),_xll.BDP(AT41,"LAST_PRICE"),_xll.BDH(AT41,"LAST_PRICE",StaticData.Today,StaticData.Today)))</f>
        <v/>
      </c>
      <c r="AZ41" s="27"/>
    </row>
    <row r="42" spans="7:52" x14ac:dyDescent="0.25">
      <c r="O42" s="24"/>
      <c r="P42" s="25"/>
      <c r="Q42" s="28"/>
      <c r="R42" s="29"/>
      <c r="S42" s="29"/>
      <c r="T42" s="30" t="str">
        <f ca="1"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 ca="1"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 ca="1"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 ca="1"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 ca="1">IF(AT42="","",IF(StaticData.Today=TODAY(),_xll.BDP(AT42,"LAST_PRICE"),_xll.BDH(AT42,"LAST_PRICE",StaticData.Today,StaticData.Today)))</f>
        <v/>
      </c>
      <c r="AZ42" s="27"/>
    </row>
    <row r="43" spans="7:52" x14ac:dyDescent="0.25">
      <c r="O43" s="24"/>
      <c r="P43" s="25"/>
      <c r="Q43" s="28"/>
      <c r="R43" s="29"/>
      <c r="S43" s="29"/>
      <c r="T43" s="30" t="str">
        <f ca="1"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 t="str">
        <f ca="1"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 ca="1"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 ca="1"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 ca="1">IF(AT43="","",IF(StaticData.Today=TODAY(),_xll.BDP(AT43,"LAST_PRICE"),_xll.BDH(AT43,"LAST_PRICE",StaticData.Today,StaticData.Today)))</f>
        <v/>
      </c>
      <c r="AZ43" s="27"/>
    </row>
    <row r="44" spans="7:52" x14ac:dyDescent="0.25">
      <c r="O44" s="24"/>
      <c r="P44" s="25"/>
      <c r="Q44" s="28"/>
      <c r="R44" s="29"/>
      <c r="S44" s="29"/>
      <c r="T44" s="30" t="str">
        <f ca="1"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 t="str">
        <f ca="1"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 ca="1"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 ca="1"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 ca="1">IF(AT44="","",IF(StaticData.Today=TODAY(),_xll.BDP(AT44,"LAST_PRICE"),_xll.BDH(AT44,"LAST_PRICE",StaticData.Today,StaticData.Today)))</f>
        <v/>
      </c>
      <c r="AZ44" s="27"/>
    </row>
    <row r="45" spans="7:52" x14ac:dyDescent="0.25">
      <c r="O45" s="24"/>
      <c r="P45" s="25"/>
      <c r="Q45" s="28"/>
      <c r="R45" s="29"/>
      <c r="S45" s="29"/>
      <c r="T45" s="30" t="str">
        <f ca="1">IF(O45="","",IF(StaticData.Today=TODAY(),_xll.BDP(O45,"LAST_PRICE"),_xll.BDH(O45,"LAST_PRICE",StaticData.Today,StaticData.Today)))</f>
        <v/>
      </c>
      <c r="U45" s="27"/>
      <c r="W45" s="24"/>
      <c r="X45" s="25"/>
      <c r="Y45" s="191"/>
      <c r="Z45" s="27"/>
      <c r="AB45" s="24"/>
      <c r="AC45" s="25"/>
      <c r="AD45" s="26" t="str">
        <f ca="1"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 ca="1"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 ca="1"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 ca="1">IF(AT45="","",IF(StaticData.Today=TODAY(),_xll.BDP(AT45,"LAST_PRICE"),_xll.BDH(AT45,"LAST_PRICE",StaticData.Today,StaticData.Today)))</f>
        <v/>
      </c>
      <c r="AZ45" s="27"/>
    </row>
    <row r="46" spans="7:52" x14ac:dyDescent="0.25">
      <c r="O46" s="38"/>
      <c r="P46" s="39"/>
      <c r="Q46" s="42"/>
      <c r="R46" s="43"/>
      <c r="S46" s="43"/>
      <c r="T46" s="44" t="str">
        <f ca="1">IF(O46="","",IF(StaticData.Today=TODAY(),_xll.BDP(O46,"LAST_PRICE"),_xll.BDH(O46,"LAST_PRICE",StaticData.Today,StaticData.Today)))</f>
        <v/>
      </c>
      <c r="U46" s="41"/>
      <c r="W46" s="24"/>
      <c r="X46" s="25"/>
      <c r="Y46" s="191"/>
      <c r="Z46" s="27"/>
      <c r="AB46" s="24"/>
      <c r="AC46" s="25"/>
      <c r="AD46" s="26" t="str">
        <f ca="1"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 ca="1"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 ca="1"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 ca="1">IF(AT46="","",IF(StaticData.Today=TODAY(),_xll.BDP(AT46,"LAST_PRICE"),_xll.BDH(AT46,"LAST_PRICE",StaticData.Today,StaticData.Today)))</f>
        <v/>
      </c>
      <c r="AZ46" s="27"/>
    </row>
    <row r="47" spans="7:52" x14ac:dyDescent="0.25">
      <c r="W47" s="24"/>
      <c r="X47" s="25"/>
      <c r="Y47" s="191"/>
      <c r="Z47" s="27"/>
      <c r="AB47" s="24"/>
      <c r="AC47" s="25"/>
      <c r="AD47" s="26" t="str">
        <f ca="1"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 ca="1"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 ca="1"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 ca="1">IF(AT47="","",IF(StaticData.Today=TODAY(),_xll.BDP(AT47,"LAST_PRICE"),_xll.BDH(AT47,"LAST_PRICE",StaticData.Today,StaticData.Today)))</f>
        <v/>
      </c>
      <c r="AZ47" s="27"/>
    </row>
    <row r="48" spans="7:52" x14ac:dyDescent="0.25">
      <c r="W48" s="24"/>
      <c r="X48" s="25"/>
      <c r="Y48" s="191"/>
      <c r="Z48" s="27"/>
      <c r="AB48" s="24"/>
      <c r="AC48" s="25"/>
      <c r="AD48" s="26" t="str">
        <f ca="1"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 ca="1"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 ca="1"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 ca="1">IF(AT48="","",IF(StaticData.Today=TODAY(),_xll.BDP(AT48,"LAST_PRICE"),_xll.BDH(AT48,"LAST_PRICE",StaticData.Today,StaticData.Today)))</f>
        <v/>
      </c>
      <c r="AZ48" s="27"/>
    </row>
    <row r="49" spans="23:52" x14ac:dyDescent="0.25">
      <c r="W49" s="24"/>
      <c r="X49" s="25"/>
      <c r="Y49" s="191"/>
      <c r="Z49" s="27"/>
      <c r="AB49" s="24"/>
      <c r="AC49" s="25"/>
      <c r="AD49" s="26" t="str">
        <f ca="1">IF(AB49="","",IF(StaticData.Today=TODAY(),_xll.BDP(AB49,"LAST_PRICE"),_xll.BDH(AB49,"LAST_PRICE",StaticData.Today,StaticData.Today)))</f>
        <v/>
      </c>
      <c r="AE49" s="27"/>
      <c r="AT49" s="38"/>
      <c r="AU49" s="39"/>
      <c r="AV49" s="42"/>
      <c r="AW49" s="43"/>
      <c r="AX49" s="43"/>
      <c r="AY49" s="44" t="str">
        <f ca="1">IF(AT49="","",IF(StaticData.Today=TODAY(),_xll.BDP(AT49,"LAST_PRICE"),_xll.BDH(AT49,"LAST_PRICE",StaticData.Today,StaticData.Today)))</f>
        <v/>
      </c>
      <c r="AZ49" s="41"/>
    </row>
    <row r="50" spans="23:52" x14ac:dyDescent="0.25">
      <c r="W50" s="24"/>
      <c r="X50" s="25"/>
      <c r="Y50" s="191"/>
      <c r="Z50" s="27"/>
      <c r="AB50" s="38"/>
      <c r="AC50" s="39"/>
      <c r="AD50" s="40" t="str">
        <f ca="1">IF(AB50="","",IF(StaticData.Today=TODAY(),_xll.BDP(AB50,"LAST_PRICE"),_xll.BDH(AB50,"LAST_PRICE",StaticData.Today,StaticData.Today)))</f>
        <v/>
      </c>
      <c r="AE50" s="41"/>
    </row>
    <row r="51" spans="23:52" x14ac:dyDescent="0.25">
      <c r="W51" s="24"/>
      <c r="X51" s="25"/>
      <c r="Y51" s="191"/>
      <c r="Z51" s="27"/>
    </row>
    <row r="52" spans="23:52" x14ac:dyDescent="0.25">
      <c r="W52" s="24"/>
      <c r="X52" s="25"/>
      <c r="Y52" s="191"/>
      <c r="Z52" s="27"/>
    </row>
    <row r="53" spans="23:52" x14ac:dyDescent="0.25">
      <c r="W53" s="24"/>
      <c r="X53" s="25"/>
      <c r="Y53" s="191"/>
      <c r="Z53" s="27"/>
    </row>
    <row r="54" spans="23:52" x14ac:dyDescent="0.25">
      <c r="W54" s="24"/>
      <c r="X54" s="25"/>
      <c r="Y54" s="191"/>
      <c r="Z54" s="27"/>
    </row>
    <row r="55" spans="23:52" x14ac:dyDescent="0.25">
      <c r="W55" s="24"/>
      <c r="X55" s="25"/>
      <c r="Y55" s="191"/>
      <c r="Z55" s="27"/>
    </row>
    <row r="56" spans="23:52" x14ac:dyDescent="0.25">
      <c r="W56" s="38"/>
      <c r="X56" s="39"/>
      <c r="Y56" s="192"/>
      <c r="Z56" s="41"/>
    </row>
  </sheetData>
  <dataValidations count="4">
    <dataValidation type="list" allowBlank="1" showInputMessage="1" showErrorMessage="1" sqref="AL2 W2">
      <formula1>$Q$94:$Q$97</formula1>
    </dataValidation>
    <dataValidation type="list" allowBlank="1" showInputMessage="1" showErrorMessage="1" sqref="AB2">
      <formula1>$Q$92:$Q$95</formula1>
    </dataValidation>
    <dataValidation type="list" allowBlank="1" showInputMessage="1" showErrorMessage="1" sqref="O1">
      <formula1>$Q$88:$Q$91</formula1>
    </dataValidation>
    <dataValidation type="list" allowBlank="1" showInputMessage="1" showErrorMessage="1" sqref="O2">
      <formula1>$Q$93:$Q$96</formula1>
    </dataValidation>
  </dataValidations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'STATIC DATA'!$Q$92:$Q$95</xm:f>
          </x14:formula1>
          <xm:sqref>G1</xm:sqref>
        </x14:dataValidation>
        <x14:dataValidation type="list" allowBlank="1" showInputMessage="1" showErrorMessage="1">
          <x14:formula1>
            <xm:f>'STATIC DATA'!$Q$97:$Q$100</xm:f>
          </x14:formula1>
          <xm:sqref>AT1:AT2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7" tint="0.79998168889431442"/>
  </sheetPr>
  <dimension ref="A1:AZ54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9.5703125" style="6" bestFit="1" customWidth="1"/>
    <col min="24" max="24" width="12.7109375" style="6" customWidth="1"/>
    <col min="25" max="25" width="9.5703125" style="188" bestFit="1" customWidth="1"/>
    <col min="26" max="26" width="9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9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1229</v>
      </c>
      <c r="G1" s="6" t="s">
        <v>1270</v>
      </c>
      <c r="O1" s="6" t="s">
        <v>849</v>
      </c>
      <c r="AT1" s="6" t="s">
        <v>1264</v>
      </c>
    </row>
    <row r="2" spans="1:52" x14ac:dyDescent="0.25">
      <c r="G2" s="7"/>
      <c r="O2" s="6" t="s">
        <v>849</v>
      </c>
      <c r="W2" s="6" t="s">
        <v>529</v>
      </c>
      <c r="AB2" s="6" t="s">
        <v>1269</v>
      </c>
      <c r="AL2" s="6" t="s">
        <v>1264</v>
      </c>
      <c r="AT2" s="6" t="s">
        <v>510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1262</v>
      </c>
      <c r="L3" s="8"/>
      <c r="O3" s="2" t="str">
        <f>$A$1&amp;"_3M"</f>
        <v>HKD_3M</v>
      </c>
      <c r="T3" s="8" t="s">
        <v>282</v>
      </c>
      <c r="W3" s="2" t="str">
        <f>$A$1&amp;"_BASIS_6M"</f>
        <v>HKD_BASIS_6M</v>
      </c>
      <c r="AB3" s="2" t="str">
        <f>$A$1&amp;"_BASIS_1M"</f>
        <v>HKD_BASIS_1M</v>
      </c>
      <c r="AG3" s="2" t="str">
        <f>$A$1&amp;"_BASIS_12M"</f>
        <v>HKD_BASIS_12M</v>
      </c>
      <c r="AL3" s="2" t="str">
        <f>'STATIC DATA'!$C$4&amp;'STATIC DATA'!$AF$4&amp;"_BASIS"</f>
        <v>USDHKD_BASIS</v>
      </c>
      <c r="AQ3" s="8" t="s">
        <v>282</v>
      </c>
      <c r="AT3" s="2" t="str">
        <f>$A$1&amp;"_"&amp;'STATIC DATA'!S67</f>
        <v>HKD_USD_1D</v>
      </c>
      <c r="AY3" s="8" t="s">
        <v>282</v>
      </c>
    </row>
    <row r="4" spans="1:52" x14ac:dyDescent="0.25">
      <c r="B4" s="9" t="b">
        <f>SUM(C7:C17)=SUM(D7:D17)</f>
        <v>1</v>
      </c>
      <c r="E4" s="10">
        <f>SUM(E7:E17)</f>
        <v>0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HKD OIS</v>
      </c>
      <c r="C7" s="12">
        <f>COUNTA(G7:G45)</f>
        <v>14</v>
      </c>
      <c r="D7" s="12">
        <f>COUNT(L7:L45)</f>
        <v>14</v>
      </c>
      <c r="E7" s="13">
        <f t="shared" ref="E7:E12" si="0">C7-D7</f>
        <v>0</v>
      </c>
      <c r="G7" s="14" t="s">
        <v>1271</v>
      </c>
      <c r="H7" s="15" t="s">
        <v>298</v>
      </c>
      <c r="I7" s="15"/>
      <c r="J7" s="186"/>
      <c r="K7" s="186"/>
      <c r="L7" s="26">
        <f>IF(G7="","",IF(StaticData.Today=TODAY(),_xll.BDP(G7,"LAST_PRICE"),_xll.BDH(G7,"LAST_PRICE",StaticData.Today,StaticData.Today)))</f>
        <v>1.9619999999999999E-2</v>
      </c>
      <c r="M7" s="17">
        <f>L7/100</f>
        <v>1.962E-4</v>
      </c>
      <c r="O7" s="14" t="s">
        <v>1265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5.5710000000000003E-2</v>
      </c>
      <c r="U7" s="184">
        <f>T7/100</f>
        <v>5.5710000000000004E-4</v>
      </c>
      <c r="W7" s="8" t="str">
        <f>O7</f>
        <v>HIHDO/N Index</v>
      </c>
      <c r="X7" s="8" t="s">
        <v>298</v>
      </c>
      <c r="Y7" s="189"/>
      <c r="Z7" s="449">
        <f>U7</f>
        <v>5.5710000000000004E-4</v>
      </c>
      <c r="AB7" s="14" t="str">
        <f>O7</f>
        <v>HIHDO/N Index</v>
      </c>
      <c r="AC7" s="15" t="s">
        <v>298</v>
      </c>
      <c r="AD7" s="16">
        <f>T7</f>
        <v>5.5710000000000003E-2</v>
      </c>
      <c r="AE7" s="17">
        <f>AD7/100</f>
        <v>5.5710000000000004E-4</v>
      </c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 t="str">
        <f>"HDBSF"&amp;$AL$2&amp;" Curncy"</f>
        <v>HDBSF ICHK Curncy</v>
      </c>
      <c r="AM7" s="482" t="s">
        <v>46</v>
      </c>
      <c r="AN7" s="18"/>
      <c r="AO7" s="19">
        <f>IF(AL7="","",IF(StaticData.Today=TODAY(),_xll.BDP(AL7,"BID"),_xll.BDH(AL7,"BID",StaticData.Today,StaticData.Today)))</f>
        <v>-16</v>
      </c>
      <c r="AP7" s="19">
        <f>IF(AL7="","",IF(StaticData.Today=TODAY(),_xll.BDP(AL7,"ASK"),_xll.BDH(AL7,"ASK",StaticData.Today,StaticData.Today)))</f>
        <v>-8</v>
      </c>
      <c r="AQ7" s="177">
        <f>IF(AL7="","",IF(StaticData.Today=TODAY(),_xll.BDP(AL7,"LAST_PRICE"),_xll.BDH(AL7,"LAST_PRICE",StaticData.Today,StaticData.Today)))</f>
        <v>-12</v>
      </c>
      <c r="AR7" s="17">
        <f>AQ7/10000</f>
        <v>-1.1999999999999999E-3</v>
      </c>
      <c r="AT7" s="24" t="s">
        <v>1263</v>
      </c>
      <c r="AU7" s="15"/>
      <c r="AV7" s="18"/>
      <c r="AW7" s="19">
        <f>IF(AT7="","",IF(StaticData.Today=TODAY(),_xll.BDP(AT7,"BID"),_xll.BDH(AT7,"BID",StaticData.Today,StaticData.Today)))</f>
        <v>7.7504</v>
      </c>
      <c r="AX7" s="19">
        <f>IF(AT7="","",IF(StaticData.Today=TODAY(),_xll.BDP(AT7,"ASK"),_xll.BDH(AT7,"ASK",StaticData.Today,StaticData.Today)))</f>
        <v>7.7506000000000004</v>
      </c>
      <c r="AY7" s="179"/>
      <c r="AZ7" s="483">
        <f>USDHKD</f>
        <v>1.5068999999999999</v>
      </c>
    </row>
    <row r="8" spans="1:52" x14ac:dyDescent="0.25">
      <c r="B8" s="21" t="str">
        <f>O3</f>
        <v>HKD_3M</v>
      </c>
      <c r="C8" s="22">
        <f>COUNTA(O7:O45)</f>
        <v>22</v>
      </c>
      <c r="D8" s="22">
        <f>COUNT(T7:T45)</f>
        <v>22</v>
      </c>
      <c r="E8" s="23">
        <f t="shared" si="0"/>
        <v>0</v>
      </c>
      <c r="G8" s="24" t="str">
        <f>"HDSOA"&amp;$G$1&amp;" Curncy"</f>
        <v>HDSOA TRHK Curncy</v>
      </c>
      <c r="H8" s="25" t="s">
        <v>300</v>
      </c>
      <c r="I8" s="25"/>
      <c r="J8" s="187">
        <f>IF(G8="","",IF(StaticData.Today=TODAY(),_xll.BDP(G8,"BID"),_xll.BDH(G8,"BID",StaticData.Today,StaticData.Today)))</f>
        <v>0.01</v>
      </c>
      <c r="K8" s="187">
        <f>IF(G8="","",IF(StaticData.Today=TODAY(),_xll.BDP(G8,"ASK"),_xll.BDH(G8,"ASK",StaticData.Today,StaticData.Today)))</f>
        <v>0.21</v>
      </c>
      <c r="L8" s="26">
        <f>IF(G8="","",IF(StaticData.Today=TODAY(),_xll.BDP(G8,"LAST_PRICE"),_xll.BDH(G8,"LAST_PRICE",StaticData.Today,StaticData.Today)))</f>
        <v>0.11</v>
      </c>
      <c r="M8" s="27">
        <f t="shared" ref="M8:M12" si="1">L8/100</f>
        <v>1.1000000000000001E-3</v>
      </c>
      <c r="O8" s="24" t="s">
        <v>1266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0.38339000000000001</v>
      </c>
      <c r="U8" s="183">
        <f>T8/100</f>
        <v>3.8338999999999999E-3</v>
      </c>
      <c r="W8" s="8" t="str">
        <f t="shared" ref="W8:W10" si="2">O8</f>
        <v>HIHD01M Index</v>
      </c>
      <c r="X8" s="8" t="s">
        <v>300</v>
      </c>
      <c r="Y8" s="189"/>
      <c r="Z8" s="449">
        <f t="shared" ref="Z8:Z10" si="3">U8</f>
        <v>3.8338999999999999E-3</v>
      </c>
      <c r="AB8" s="24" t="str">
        <f>O8</f>
        <v>HIHD01M Index</v>
      </c>
      <c r="AC8" s="25" t="s">
        <v>300</v>
      </c>
      <c r="AD8" s="26">
        <f>T8</f>
        <v>0.38339000000000001</v>
      </c>
      <c r="AE8" s="27">
        <f>AD8/100</f>
        <v>3.8338999999999999E-3</v>
      </c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24" t="str">
        <f>"HDBSI"&amp;$AL$2&amp;" Curncy"</f>
        <v>HDBSI ICHK Curncy</v>
      </c>
      <c r="AM8" s="355" t="s">
        <v>376</v>
      </c>
      <c r="AN8" s="28"/>
      <c r="AO8" s="29">
        <f>IF(AL8="","",IF(StaticData.Today=TODAY(),_xll.BDP(AL8,"BID"),_xll.BDH(AL8,"BID",StaticData.Today,StaticData.Today)))</f>
        <v>-17</v>
      </c>
      <c r="AP8" s="29">
        <f>IF(AL8="","",IF(StaticData.Today=TODAY(),_xll.BDP(AL8,"ASK"),_xll.BDH(AL8,"ASK",StaticData.Today,StaticData.Today)))</f>
        <v>-9</v>
      </c>
      <c r="AQ8" s="177">
        <f>IF(AL8="","",IF(StaticData.Today=TODAY(),_xll.BDP(AL8,"LAST_PRICE"),_xll.BDH(AL8,"LAST_PRICE",StaticData.Today,StaticData.Today)))</f>
        <v>-13</v>
      </c>
      <c r="AR8" s="27">
        <f>AQ8/10000</f>
        <v>-1.2999999999999999E-3</v>
      </c>
      <c r="AT8" s="24" t="str">
        <f t="shared" ref="AT8:AT18" si="4">"HKD"&amp;AU8&amp;$AT$1&amp;" Curncy"</f>
        <v>HKDON ICHK Curncy</v>
      </c>
      <c r="AU8" s="25" t="s">
        <v>298</v>
      </c>
      <c r="AV8" s="28"/>
      <c r="AW8" s="29">
        <f>IF(AT8="","",IF(StaticData.Today=TODAY(),_xll.BDP(AT8,"BID"),_xll.BDH(AT8,"BID",StaticData.Today,StaticData.Today)))</f>
        <v>-0.4</v>
      </c>
      <c r="AX8" s="29">
        <f>IF(AT8="","",IF(StaticData.Today=TODAY(),_xll.BDP(AT8,"ASK"),_xll.BDH(AT8,"ASK",StaticData.Today,StaticData.Today)))</f>
        <v>0.1</v>
      </c>
      <c r="AY8" s="177">
        <f>IF(AT8="","",IF(StaticData.Today=TODAY(),_xll.BDP(AT8,"PX_LAST"),_xll.BDH(AT8,"PX_LAST",StaticData.Today,StaticData.Today)))</f>
        <v>-0.15</v>
      </c>
      <c r="AZ8" s="181">
        <f>AY8</f>
        <v>-0.15</v>
      </c>
    </row>
    <row r="9" spans="1:52" x14ac:dyDescent="0.25">
      <c r="B9" s="21" t="s">
        <v>511</v>
      </c>
      <c r="C9" s="22">
        <f>COUNTA(O14:O19)*2</f>
        <v>12</v>
      </c>
      <c r="D9" s="22">
        <f>COUNT(R14:S19)</f>
        <v>12</v>
      </c>
      <c r="E9" s="23">
        <f t="shared" si="0"/>
        <v>0</v>
      </c>
      <c r="G9" s="24" t="str">
        <f>"HDSOB"&amp;$G$1&amp;" Curncy"</f>
        <v>HDSOB TRHK Curncy</v>
      </c>
      <c r="H9" s="25" t="s">
        <v>335</v>
      </c>
      <c r="I9" s="25"/>
      <c r="J9" s="187">
        <f>IF(G9="","",IF(StaticData.Today=TODAY(),_xll.BDP(G9,"BID"),_xll.BDH(G9,"BID",StaticData.Today,StaticData.Today)))</f>
        <v>0.02</v>
      </c>
      <c r="K9" s="187">
        <f>IF(G9="","",IF(StaticData.Today=TODAY(),_xll.BDP(G9,"ASK"),_xll.BDH(G9,"ASK",StaticData.Today,StaticData.Today)))</f>
        <v>0.22</v>
      </c>
      <c r="L9" s="26">
        <f>IF(G9="","",IF(StaticData.Today=TODAY(),_xll.BDP(G9,"LAST_PRICE"),_xll.BDH(G9,"LAST_PRICE",StaticData.Today,StaticData.Today)))</f>
        <v>0.12</v>
      </c>
      <c r="M9" s="27">
        <f t="shared" si="1"/>
        <v>1.1999999999999999E-3</v>
      </c>
      <c r="O9" s="24" t="s">
        <v>1267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0.52261999999999997</v>
      </c>
      <c r="U9" s="183">
        <f>T9/100</f>
        <v>5.2261999999999994E-3</v>
      </c>
      <c r="W9" s="8" t="str">
        <f t="shared" si="2"/>
        <v>HIHD03M Index</v>
      </c>
      <c r="X9" s="8" t="s">
        <v>49</v>
      </c>
      <c r="Y9" s="189"/>
      <c r="Z9" s="449">
        <f t="shared" si="3"/>
        <v>5.2261999999999994E-3</v>
      </c>
      <c r="AB9" s="24" t="str">
        <f>"HDBA1"&amp;$AB$2&amp;" Curncy"</f>
        <v>HDBA1  TPRA Curncy</v>
      </c>
      <c r="AC9" s="25" t="s">
        <v>47</v>
      </c>
      <c r="AD9" s="26">
        <f>IF(AB9="","",IF(StaticData.Today=TODAY(),_xll.BDP(AB9,"LAST_PRICE"),_xll.BDH(AB9,"LAST_PRICE",StaticData.Today,StaticData.Today)))</f>
        <v>14</v>
      </c>
      <c r="AE9" s="27">
        <f>AD9/10000</f>
        <v>1.4E-3</v>
      </c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24" t="str">
        <f>"HDBS1"&amp;$AL$2&amp;" Curncy"</f>
        <v>HDBS1 ICHK Curncy</v>
      </c>
      <c r="AM9" s="355" t="s">
        <v>47</v>
      </c>
      <c r="AN9" s="28"/>
      <c r="AO9" s="29">
        <f>IF(AL9="","",IF(StaticData.Today=TODAY(),_xll.BDP(AL9,"BID"),_xll.BDH(AL9,"BID",StaticData.Today,StaticData.Today)))</f>
        <v>-17</v>
      </c>
      <c r="AP9" s="29">
        <f>IF(AL9="","",IF(StaticData.Today=TODAY(),_xll.BDP(AL9,"ASK"),_xll.BDH(AL9,"ASK",StaticData.Today,StaticData.Today)))</f>
        <v>-9</v>
      </c>
      <c r="AQ9" s="177">
        <f>IF(AL9="","",IF(StaticData.Today=TODAY(),_xll.BDP(AL9,"LAST_PRICE"),_xll.BDH(AL9,"LAST_PRICE",StaticData.Today,StaticData.Today)))</f>
        <v>-13</v>
      </c>
      <c r="AR9" s="27">
        <f t="shared" ref="AR9:AR18" si="5">AQ9/10000</f>
        <v>-1.2999999999999999E-3</v>
      </c>
      <c r="AT9" s="24" t="str">
        <f t="shared" si="4"/>
        <v>HKDTN ICHK Curncy</v>
      </c>
      <c r="AU9" s="25" t="s">
        <v>506</v>
      </c>
      <c r="AV9" s="28"/>
      <c r="AW9" s="29">
        <f>IF(AT9="","",IF(StaticData.Today=TODAY(),_xll.BDP(AT9,"BID"),_xll.BDH(AT9,"BID",StaticData.Today,StaticData.Today)))</f>
        <v>-0.3</v>
      </c>
      <c r="AX9" s="29">
        <f>IF(AT9="","",IF(StaticData.Today=TODAY(),_xll.BDP(AT9,"ASK"),_xll.BDH(AT9,"ASK",StaticData.Today,StaticData.Today)))</f>
        <v>0.2</v>
      </c>
      <c r="AY9" s="177">
        <f>IF(AT9="","",IF(StaticData.Today=TODAY(),_xll.BDP(AT9,"PX_LAST"),_xll.BDH(AT9,"PX_LAST",StaticData.Today,StaticData.Today)))</f>
        <v>-0.05</v>
      </c>
      <c r="AZ9" s="181">
        <f>AY9</f>
        <v>-0.05</v>
      </c>
    </row>
    <row r="10" spans="1:52" x14ac:dyDescent="0.25">
      <c r="B10" s="21" t="s">
        <v>283</v>
      </c>
      <c r="C10" s="22">
        <f>COUNTA(W13:W54)</f>
        <v>9</v>
      </c>
      <c r="D10" s="22">
        <f>COUNT(Y13:Y54)</f>
        <v>9</v>
      </c>
      <c r="E10" s="23">
        <f t="shared" si="0"/>
        <v>0</v>
      </c>
      <c r="G10" s="24" t="str">
        <f>"HDSOC"&amp;$G$1&amp;" Curncy"</f>
        <v>HDSOC TRHK Curncy</v>
      </c>
      <c r="H10" s="25" t="s">
        <v>49</v>
      </c>
      <c r="I10" s="25"/>
      <c r="J10" s="187">
        <f>IF(G10="","",IF(StaticData.Today=TODAY(),_xll.BDP(G10,"BID"),_xll.BDH(G10,"BID",StaticData.Today,StaticData.Today)))</f>
        <v>0.03</v>
      </c>
      <c r="K10" s="187">
        <f>IF(G10="","",IF(StaticData.Today=TODAY(),_xll.BDP(G10,"ASK"),_xll.BDH(G10,"ASK",StaticData.Today,StaticData.Today)))</f>
        <v>0.23</v>
      </c>
      <c r="L10" s="26">
        <f>IF(G10="","",IF(StaticData.Today=TODAY(),_xll.BDP(G10,"LAST_PRICE"),_xll.BDH(G10,"LAST_PRICE",StaticData.Today,StaticData.Today)))</f>
        <v>0.13</v>
      </c>
      <c r="M10" s="27">
        <f t="shared" si="1"/>
        <v>1.2999999999999999E-3</v>
      </c>
      <c r="O10" s="24" t="s">
        <v>1268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0.67445999999999995</v>
      </c>
      <c r="U10" s="183">
        <f>T10/100</f>
        <v>6.7445999999999999E-3</v>
      </c>
      <c r="W10" s="8" t="str">
        <f t="shared" si="2"/>
        <v>HIHD06M Index</v>
      </c>
      <c r="X10" s="8" t="s">
        <v>46</v>
      </c>
      <c r="Y10" s="30"/>
      <c r="Z10" s="449">
        <f t="shared" si="3"/>
        <v>6.7445999999999999E-3</v>
      </c>
      <c r="AB10" s="24" t="str">
        <f>"HDBA2"&amp;$AB$2&amp;" Curncy"</f>
        <v>HDBA2  TPRA Curncy</v>
      </c>
      <c r="AC10" s="25" t="s">
        <v>308</v>
      </c>
      <c r="AD10" s="26">
        <f>IF(AB10="","",IF(StaticData.Today=TODAY(),_xll.BDP(AB10,"LAST_PRICE"),_xll.BDH(AB10,"LAST_PRICE",StaticData.Today,StaticData.Today)))</f>
        <v>12</v>
      </c>
      <c r="AE10" s="27">
        <f>AD10/10000</f>
        <v>1.1999999999999999E-3</v>
      </c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24" t="str">
        <f>"HDBS1F"&amp;$AL$2&amp;" Curncy"</f>
        <v>HDBS1F ICHK Curncy</v>
      </c>
      <c r="AM10" s="355" t="s">
        <v>501</v>
      </c>
      <c r="AN10" s="28"/>
      <c r="AO10" s="29">
        <f>IF(AL10="","",IF(StaticData.Today=TODAY(),_xll.BDP(AL10,"BID"),_xll.BDH(AL10,"BID",StaticData.Today,StaticData.Today)))</f>
        <v>-18</v>
      </c>
      <c r="AP10" s="29">
        <f>IF(AL10="","",IF(StaticData.Today=TODAY(),_xll.BDP(AL10,"ASK"),_xll.BDH(AL10,"ASK",StaticData.Today,StaticData.Today)))</f>
        <v>-10</v>
      </c>
      <c r="AQ10" s="177">
        <f>IF(AL10="","",IF(StaticData.Today=TODAY(),_xll.BDP(AL10,"LAST_PRICE"),_xll.BDH(AL10,"LAST_PRICE",StaticData.Today,StaticData.Today)))</f>
        <v>-14</v>
      </c>
      <c r="AR10" s="27">
        <f t="shared" si="5"/>
        <v>-1.4E-3</v>
      </c>
      <c r="AT10" s="24" t="str">
        <f t="shared" si="4"/>
        <v>HKD1W ICHK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-0.7</v>
      </c>
      <c r="AX10" s="177">
        <f>IF(AT10="","",IF(StaticData.Today=TODAY(),_xll.BDP(AT10,"ASK"),_xll.BDH(AT10,"ASK",StaticData.Today,StaticData.Today)))</f>
        <v>0.3</v>
      </c>
      <c r="AY10" s="177">
        <f>IF(AT10="","",IF(StaticData.Today=TODAY(),_xll.BDP(AT10,"PX_LAST"),_xll.BDH(AT10,"PX_LAST",StaticData.Today,StaticData.Today)))</f>
        <v>-0.2</v>
      </c>
      <c r="AZ10" s="181">
        <f>AY10</f>
        <v>-0.2</v>
      </c>
    </row>
    <row r="11" spans="1:52" x14ac:dyDescent="0.25">
      <c r="B11" s="21" t="s">
        <v>284</v>
      </c>
      <c r="C11" s="22">
        <f>COUNTA(AB7:AB50)</f>
        <v>11</v>
      </c>
      <c r="D11" s="22">
        <f>COUNT(AD7:AD50)</f>
        <v>11</v>
      </c>
      <c r="E11" s="23">
        <f t="shared" si="0"/>
        <v>0</v>
      </c>
      <c r="G11" s="24" t="str">
        <f>"HDSOF"&amp;$G$1&amp;" Curncy"</f>
        <v>HDSOF TRHK Curncy</v>
      </c>
      <c r="H11" s="25" t="s">
        <v>46</v>
      </c>
      <c r="I11" s="25"/>
      <c r="J11" s="187">
        <f>IF(G11="","",IF(StaticData.Today=TODAY(),_xll.BDP(G11,"BID"),_xll.BDH(G11,"BID",StaticData.Today,StaticData.Today)))</f>
        <v>0.1</v>
      </c>
      <c r="K11" s="187">
        <f>IF(G11="","",IF(StaticData.Today=TODAY(),_xll.BDP(G11,"ASK"),_xll.BDH(G11,"ASK",StaticData.Today,StaticData.Today)))</f>
        <v>0.3</v>
      </c>
      <c r="L11" s="26">
        <f>IF(G11="","",IF(StaticData.Today=TODAY(),_xll.BDP(G11,"LAST_PRICE"),_xll.BDH(G11,"LAST_PRICE",StaticData.Today,StaticData.Today)))</f>
        <v>0.2</v>
      </c>
      <c r="M11" s="27">
        <f t="shared" si="1"/>
        <v>2E-3</v>
      </c>
      <c r="O11" s="24" t="str">
        <f>"HDFR0CF"&amp;$O$2&amp;" Curncy"</f>
        <v>HDFR0CF CMPN Curncy</v>
      </c>
      <c r="P11" s="25"/>
      <c r="Q11" s="28"/>
      <c r="R11" s="182">
        <f>IF(O11="","",IF(StaticData.Today=TODAY(),_xll.BDP(O11,"BID"),_xll.BDH(O11,"BID",StaticData.Today,StaticData.Today)))</f>
        <v>0.54</v>
      </c>
      <c r="S11" s="182">
        <f>IF(O11="","",IF(StaticData.Today=TODAY(),_xll.BDP(O11,"ASK"),_xll.BDH(O11,"ASK",StaticData.Today,StaticData.Today)))</f>
        <v>0.64</v>
      </c>
      <c r="T11" s="30">
        <f>IF(O11="","",IF(StaticData.Today=TODAY(),_xll.BDP(O11,"LAST_PRICE"),_xll.BDH(O11,"LAST_PRICE",StaticData.Today,StaticData.Today)))</f>
        <v>0.59</v>
      </c>
      <c r="U11" s="183">
        <f t="shared" ref="U11:U12" si="6">T11/100</f>
        <v>5.8999999999999999E-3</v>
      </c>
      <c r="W11" s="14" t="str">
        <f>"HDBBF"&amp;$W$2&amp;" Curncy"</f>
        <v>HDBBF TPRA Curncy</v>
      </c>
      <c r="X11" s="15" t="s">
        <v>46</v>
      </c>
      <c r="Y11" s="190">
        <f>IF(W11="","",IF(StaticData.Today=TODAY(),_xll.BDP(W11,"LAST_PRICE"),_xll.BDH(W11,"LAST_PRICE",StaticData.Today,StaticData.Today)))</f>
        <v>-20</v>
      </c>
      <c r="Z11" s="337">
        <f>Y11/10000</f>
        <v>-2E-3</v>
      </c>
      <c r="AB11" s="24" t="str">
        <f>"HDBA3"&amp;$AB$2&amp;" Curncy"</f>
        <v>HDBA3  TPRA Curncy</v>
      </c>
      <c r="AC11" s="25" t="s">
        <v>316</v>
      </c>
      <c r="AD11" s="26">
        <f>IF(AB11="","",IF(StaticData.Today=TODAY(),_xll.BDP(AB11,"LAST_PRICE"),_xll.BDH(AB11,"LAST_PRICE",StaticData.Today,StaticData.Today)))</f>
        <v>10</v>
      </c>
      <c r="AE11" s="27">
        <f t="shared" ref="AE11:AE17" si="7">AD11/10000</f>
        <v>1E-3</v>
      </c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24" t="str">
        <f>"HDBS2"&amp;$AL$2&amp;" Curncy"</f>
        <v>HDBS2 ICHK Curncy</v>
      </c>
      <c r="AM11" s="355" t="s">
        <v>308</v>
      </c>
      <c r="AN11" s="31"/>
      <c r="AO11" s="29">
        <f>IF(AL11="","",IF(StaticData.Today=TODAY(),_xll.BDP(AL11,"BID"),_xll.BDH(AL11,"BID",StaticData.Today,StaticData.Today)))</f>
        <v>-16</v>
      </c>
      <c r="AP11" s="29">
        <f>IF(AL11="","",IF(StaticData.Today=TODAY(),_xll.BDP(AL11,"ASK"),_xll.BDH(AL11,"ASK",StaticData.Today,StaticData.Today)))</f>
        <v>-8</v>
      </c>
      <c r="AQ11" s="177">
        <f>IF(AL11="","",IF(StaticData.Today=TODAY(),_xll.BDP(AL11,"LAST_PRICE"),_xll.BDH(AL11,"LAST_PRICE",StaticData.Today,StaticData.Today)))</f>
        <v>-12</v>
      </c>
      <c r="AR11" s="27">
        <f t="shared" si="5"/>
        <v>-1.1999999999999999E-3</v>
      </c>
      <c r="AT11" s="24" t="str">
        <f t="shared" si="4"/>
        <v>HKD2W ICHK Curncy</v>
      </c>
      <c r="AU11" s="25" t="s">
        <v>313</v>
      </c>
      <c r="AV11" s="28"/>
      <c r="AW11" s="177">
        <f>IF(AT11="","",IF(StaticData.Today=TODAY(),_xll.BDP(AT11,"BID"),_xll.BDH(AT11,"BID",StaticData.Today,StaticData.Today)))</f>
        <v>-0.2</v>
      </c>
      <c r="AX11" s="177">
        <f>IF(AT11="","",IF(StaticData.Today=TODAY(),_xll.BDP(AT11,"ASK"),_xll.BDH(AT11,"ASK",StaticData.Today,StaticData.Today)))</f>
        <v>0.7</v>
      </c>
      <c r="AY11" s="177">
        <f>IF(AT11="","",IF(StaticData.Today=TODAY(),_xll.BDP(AT11,"PX_LAST"),_xll.BDH(AT11,"PX_LAST",StaticData.Today,StaticData.Today)))</f>
        <v>0.25</v>
      </c>
      <c r="AZ11" s="181">
        <f>AY11</f>
        <v>0.25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"HDSOI"&amp;$G$1&amp;" Curncy"</f>
        <v>HDSOI TRHK Curncy</v>
      </c>
      <c r="H12" s="25" t="s">
        <v>376</v>
      </c>
      <c r="I12" s="25"/>
      <c r="J12" s="187">
        <f>IF(G12="","",IF(StaticData.Today=TODAY(),_xll.BDP(G12,"BID"),_xll.BDH(G12,"BID",StaticData.Today,StaticData.Today)))</f>
        <v>0.12</v>
      </c>
      <c r="K12" s="187">
        <f>IF(G12="","",IF(StaticData.Today=TODAY(),_xll.BDP(G12,"ASK"),_xll.BDH(G12,"ASK",StaticData.Today,StaticData.Today)))</f>
        <v>0.32</v>
      </c>
      <c r="L12" s="26">
        <f>IF(G12="","",IF(StaticData.Today=TODAY(),_xll.BDP(G12,"LAST_PRICE"),_xll.BDH(G12,"LAST_PRICE",StaticData.Today,StaticData.Today)))</f>
        <v>0.22</v>
      </c>
      <c r="M12" s="27">
        <f t="shared" si="1"/>
        <v>2.2000000000000001E-3</v>
      </c>
      <c r="O12" s="24" t="str">
        <f>"HDFR0FI"&amp;$O$2&amp;" Curncy"</f>
        <v>HDFR0FI CMPN Curncy</v>
      </c>
      <c r="P12" s="25"/>
      <c r="Q12" s="28"/>
      <c r="R12" s="182">
        <f>IF(O12="","",IF(StaticData.Today=TODAY(),_xll.BDP(O12,"BID"),_xll.BDH(O12,"BID",StaticData.Today,StaticData.Today)))</f>
        <v>0.55000000000000004</v>
      </c>
      <c r="S12" s="182">
        <f>IF(O12="","",IF(StaticData.Today=TODAY(),_xll.BDP(O12,"ASK"),_xll.BDH(O12,"ASK",StaticData.Today,StaticData.Today)))</f>
        <v>0.65</v>
      </c>
      <c r="T12" s="30">
        <f>IF(O12="","",IF(StaticData.Today=TODAY(),_xll.BDP(O12,"LAST_PRICE"),_xll.BDH(O12,"LAST_PRICE",StaticData.Today,StaticData.Today)))</f>
        <v>0.6</v>
      </c>
      <c r="U12" s="183">
        <f t="shared" si="6"/>
        <v>6.0000000000000001E-3</v>
      </c>
      <c r="W12" s="14" t="str">
        <f>"HDBBI"&amp;$W$2&amp;" Curncy"</f>
        <v>HDBBI TPRA Curncy</v>
      </c>
      <c r="X12" s="15" t="s">
        <v>376</v>
      </c>
      <c r="Y12" s="190">
        <f>IF(W12="","",IF(StaticData.Today=TODAY(),_xll.BDP(W12,"LAST_PRICE"),_xll.BDH(W12,"LAST_PRICE",StaticData.Today,StaticData.Today)))</f>
        <v>-20</v>
      </c>
      <c r="Z12" s="337">
        <f>Y12/10000</f>
        <v>-2E-3</v>
      </c>
      <c r="AB12" s="24" t="str">
        <f>"HDBA4"&amp;$AB$2&amp;" Curncy"</f>
        <v>HDBA4  TPRA Curncy</v>
      </c>
      <c r="AC12" s="25" t="s">
        <v>324</v>
      </c>
      <c r="AD12" s="26">
        <f>IF(AB12="","",IF(StaticData.Today=TODAY(),_xll.BDP(AB12,"LAST_PRICE"),_xll.BDH(AB12,"LAST_PRICE",StaticData.Today,StaticData.Today)))</f>
        <v>7</v>
      </c>
      <c r="AE12" s="27">
        <f t="shared" si="7"/>
        <v>6.9999999999999999E-4</v>
      </c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24" t="str">
        <f>"HDBS3"&amp;$AL$2&amp;" Curncy"</f>
        <v>HDBS3 ICHK Curncy</v>
      </c>
      <c r="AM12" s="355" t="s">
        <v>316</v>
      </c>
      <c r="AN12" s="31"/>
      <c r="AO12" s="29">
        <f>IF(AL12="","",IF(StaticData.Today=TODAY(),_xll.BDP(AL12,"BID"),_xll.BDH(AL12,"BID",StaticData.Today,StaticData.Today)))</f>
        <v>-17</v>
      </c>
      <c r="AP12" s="29">
        <f>IF(AL12="","",IF(StaticData.Today=TODAY(),_xll.BDP(AL12,"ASK"),_xll.BDH(AL12,"ASK",StaticData.Today,StaticData.Today)))</f>
        <v>-9</v>
      </c>
      <c r="AQ12" s="177">
        <f>IF(AL12="","",IF(StaticData.Today=TODAY(),_xll.BDP(AL12,"LAST_PRICE"),_xll.BDH(AL12,"LAST_PRICE",StaticData.Today,StaticData.Today)))</f>
        <v>-13</v>
      </c>
      <c r="AR12" s="27">
        <f t="shared" si="5"/>
        <v>-1.2999999999999999E-3</v>
      </c>
      <c r="AT12" s="24" t="str">
        <f t="shared" si="4"/>
        <v>HKD1M ICHK Curncy</v>
      </c>
      <c r="AU12" s="25" t="s">
        <v>300</v>
      </c>
      <c r="AV12" s="31"/>
      <c r="AW12" s="177">
        <f>IF(AT12="","",IF(StaticData.Today=TODAY(),_xll.BDP(AT12,"BID"),_xll.BDH(AT12,"BID",StaticData.Today,StaticData.Today)))</f>
        <v>11</v>
      </c>
      <c r="AX12" s="177">
        <f>IF(AT12="","",IF(StaticData.Today=TODAY(),_xll.BDP(AT12,"ASK"),_xll.BDH(AT12,"ASK",StaticData.Today,StaticData.Today)))</f>
        <v>13</v>
      </c>
      <c r="AY12" s="177">
        <f>IF(AT12="","",IF(StaticData.Today=TODAY(),_xll.BDP(AT12,"LAST_PRICE"),_xll.BDH(AT12,"LAST_PRICE",StaticData.Today,StaticData.Today)))</f>
        <v>12</v>
      </c>
      <c r="AZ12" s="181">
        <f>AY12</f>
        <v>12</v>
      </c>
    </row>
    <row r="13" spans="1:52" x14ac:dyDescent="0.25">
      <c r="B13" s="21"/>
      <c r="C13" s="22"/>
      <c r="D13" s="22"/>
      <c r="E13" s="22"/>
      <c r="G13" s="24" t="str">
        <f>"HDSO1"&amp;$G$1&amp;" Curncy"</f>
        <v>HDSO1 TRHK Curncy</v>
      </c>
      <c r="H13" s="25" t="s">
        <v>47</v>
      </c>
      <c r="I13" s="25"/>
      <c r="J13" s="187">
        <f>IF(G13="","",IF(StaticData.Today=TODAY(),_xll.BDP(G13,"BID"),_xll.BDH(G13,"BID",StaticData.Today,StaticData.Today)))</f>
        <v>0.14000000000000001</v>
      </c>
      <c r="K13" s="187">
        <f>IF(G13="","",IF(StaticData.Today=TODAY(),_xll.BDP(G13,"ASK"),_xll.BDH(G13,"ASK",StaticData.Today,StaticData.Today)))</f>
        <v>0.34</v>
      </c>
      <c r="L13" s="26">
        <f>IF(G13="","",IF(StaticData.Today=TODAY(),_xll.BDP(G13,"LAST_PRICE"),_xll.BDH(G13,"LAST_PRICE",StaticData.Today,StaticData.Today)))</f>
        <v>0.24</v>
      </c>
      <c r="M13" s="27">
        <f>L13/100</f>
        <v>2.3999999999999998E-3</v>
      </c>
      <c r="O13" s="24" t="str">
        <f>"HDFR0I1"&amp;$O$2&amp;" Curncy"</f>
        <v>HDFR0I1 CMPN Curncy</v>
      </c>
      <c r="P13" s="25"/>
      <c r="Q13" s="28"/>
      <c r="R13" s="182">
        <f>IF(O13="","",IF(StaticData.Today=TODAY(),_xll.BDP(O13,"BID"),_xll.BDH(O13,"BID",StaticData.Today,StaticData.Today)))</f>
        <v>0.52</v>
      </c>
      <c r="S13" s="182">
        <f>IF(O13="","",IF(StaticData.Today=TODAY(),_xll.BDP(O13,"ASK"),_xll.BDH(O13,"ASK",StaticData.Today,StaticData.Today)))</f>
        <v>0.62</v>
      </c>
      <c r="T13" s="30">
        <f>IF(O13="","",IF(StaticData.Today=TODAY(),_xll.BDP(O13,"LAST_PRICE"),_xll.BDH(O13,"LAST_PRICE",StaticData.Today,StaticData.Today)))</f>
        <v>0.56999999999999995</v>
      </c>
      <c r="U13" s="183">
        <f t="shared" ref="U13" si="8">T13/100</f>
        <v>5.6999999999999993E-3</v>
      </c>
      <c r="W13" s="14" t="str">
        <f>"HDBB1"&amp;$W$2&amp;" Curncy"</f>
        <v>HDBB1 TPRA Curncy</v>
      </c>
      <c r="X13" s="15" t="s">
        <v>47</v>
      </c>
      <c r="Y13" s="190">
        <f>IF(W13="","",IF(StaticData.Today=TODAY(),_xll.BDP(W13,"LAST_PRICE"),_xll.BDH(W13,"LAST_PRICE",StaticData.Today,StaticData.Today)))</f>
        <v>-20</v>
      </c>
      <c r="Z13" s="337">
        <f>Y13/10000</f>
        <v>-2E-3</v>
      </c>
      <c r="AB13" s="24" t="str">
        <f>"HDBA5"&amp;$AB$2&amp;" Curncy"</f>
        <v>HDBA5  TPRA Curncy</v>
      </c>
      <c r="AC13" s="25" t="s">
        <v>331</v>
      </c>
      <c r="AD13" s="26">
        <f>IF(AB13="","",IF(StaticData.Today=TODAY(),_xll.BDP(AB13,"LAST_PRICE"),_xll.BDH(AB13,"LAST_PRICE",StaticData.Today,StaticData.Today)))</f>
        <v>7</v>
      </c>
      <c r="AE13" s="27">
        <f t="shared" si="7"/>
        <v>6.9999999999999999E-4</v>
      </c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24" t="str">
        <f>"HDBS4"&amp;$AL$2&amp;" Curncy"</f>
        <v>HDBS4 ICHK Curncy</v>
      </c>
      <c r="AM13" s="355" t="s">
        <v>324</v>
      </c>
      <c r="AN13" s="31"/>
      <c r="AO13" s="29">
        <f>IF(AL13="","",IF(StaticData.Today=TODAY(),_xll.BDP(AL13,"BID"),_xll.BDH(AL13,"BID",StaticData.Today,StaticData.Today)))</f>
        <v>-17</v>
      </c>
      <c r="AP13" s="29">
        <f>IF(AL13="","",IF(StaticData.Today=TODAY(),_xll.BDP(AL13,"ASK"),_xll.BDH(AL13,"ASK",StaticData.Today,StaticData.Today)))</f>
        <v>-9</v>
      </c>
      <c r="AQ13" s="177">
        <f>IF(AL13="","",IF(StaticData.Today=TODAY(),_xll.BDP(AL13,"LAST_PRICE"),_xll.BDH(AL13,"LAST_PRICE",StaticData.Today,StaticData.Today)))</f>
        <v>-13</v>
      </c>
      <c r="AR13" s="27">
        <f t="shared" si="5"/>
        <v>-1.2999999999999999E-3</v>
      </c>
      <c r="AT13" s="24" t="str">
        <f t="shared" si="4"/>
        <v>HKD2M ICHK Curncy</v>
      </c>
      <c r="AU13" s="25" t="s">
        <v>335</v>
      </c>
      <c r="AV13" s="31"/>
      <c r="AW13" s="177">
        <f>IF(AT13="","",IF(StaticData.Today=TODAY(),_xll.BDP(AT13,"BID"),_xll.BDH(AT13,"BID",StaticData.Today,StaticData.Today)))</f>
        <v>29</v>
      </c>
      <c r="AX13" s="177">
        <f>IF(AT13="","",IF(StaticData.Today=TODAY(),_xll.BDP(AT13,"ASK"),_xll.BDH(AT13,"ASK",StaticData.Today,StaticData.Today)))</f>
        <v>33</v>
      </c>
      <c r="AY13" s="177">
        <f>IF(AT13="","",IF(StaticData.Today=TODAY(),_xll.BDP(AT13,"LAST_PRICE"),_xll.BDH(AT13,"LAST_PRICE",StaticData.Today,StaticData.Today)))</f>
        <v>31</v>
      </c>
      <c r="AZ13" s="181">
        <f t="shared" ref="AZ13:AZ18" si="9">AY13</f>
        <v>31</v>
      </c>
    </row>
    <row r="14" spans="1:52" x14ac:dyDescent="0.25">
      <c r="B14" s="21"/>
      <c r="C14" s="22"/>
      <c r="D14" s="22"/>
      <c r="E14" s="22"/>
      <c r="G14" s="24" t="str">
        <f>"HDSQO1"&amp;$G$1&amp;" Curncy"</f>
        <v>HDSQO1 TRHK Curncy</v>
      </c>
      <c r="H14" s="345" t="s">
        <v>47</v>
      </c>
      <c r="I14" s="345"/>
      <c r="J14" s="187">
        <f>IF(G14="","",IF(StaticData.Today=TODAY(),_xll.BDP(G14,"BID"),_xll.BDH(G14,"BID",StaticData.Today,StaticData.Today)))</f>
        <v>0.13</v>
      </c>
      <c r="K14" s="187">
        <f>IF(G14="","",IF(StaticData.Today=TODAY(),_xll.BDP(G14,"ASK"),_xll.BDH(G14,"ASK",StaticData.Today,StaticData.Today)))</f>
        <v>0.33</v>
      </c>
      <c r="L14" s="26">
        <f>IF(G14="","",IF(StaticData.Today=TODAY(),_xll.BDP(G14,"LAST_PRICE"),_xll.BDH(G14,"LAST_PRICE",StaticData.Today,StaticData.Today)))</f>
        <v>0.23</v>
      </c>
      <c r="M14" s="27">
        <f t="shared" ref="M14:M20" si="10">L14/100</f>
        <v>2.3E-3</v>
      </c>
      <c r="O14" s="24" t="str">
        <f>"HDSWF"&amp;$O$2&amp;" Curncy"</f>
        <v>HDSWF CMPN Curncy</v>
      </c>
      <c r="P14" s="25" t="s">
        <v>46</v>
      </c>
      <c r="Q14" s="31"/>
      <c r="R14" s="182">
        <f>IF(O14="","",IF(StaticData.Today=TODAY(),_xll.BDP(O14,"BID"),_xll.BDH(O14,"BID",StaticData.Today,StaticData.Today)))</f>
        <v>0.53274999999999995</v>
      </c>
      <c r="S14" s="182">
        <f>IF(O14="","",IF(StaticData.Today=TODAY(),_xll.BDP(O14,"ASK"),_xll.BDH(O14,"ASK",StaticData.Today,StaticData.Today)))</f>
        <v>0.57945000000000002</v>
      </c>
      <c r="T14" s="30">
        <f>IF(O14="","",IF(StaticData.Today=TODAY(),_xll.BDP(O14,"LAST_PRICE"),_xll.BDH(O14,"LAST_PRICE",StaticData.Today,StaticData.Today)))</f>
        <v>0.55610000000000004</v>
      </c>
      <c r="U14" s="183">
        <f t="shared" ref="U14:U25" si="11">T14/100</f>
        <v>5.561E-3</v>
      </c>
      <c r="W14" s="24" t="str">
        <f>"HDBB2"&amp;$W$2&amp;" Curncy"</f>
        <v>HDBB2 TPRA Curncy</v>
      </c>
      <c r="X14" s="25" t="s">
        <v>308</v>
      </c>
      <c r="Y14" s="191">
        <f>IF(W14="","",IF(StaticData.Today=TODAY(),_xll.BDP(W14,"LAST_PRICE"),_xll.BDH(W14,"LAST_PRICE",StaticData.Today,StaticData.Today)))</f>
        <v>-20</v>
      </c>
      <c r="Z14" s="338">
        <f>Y14/10000</f>
        <v>-2E-3</v>
      </c>
      <c r="AB14" s="24" t="str">
        <f>"HDBA7"&amp;$AB$2&amp;" Curncy"</f>
        <v>HDBA7  TPRA Curncy</v>
      </c>
      <c r="AC14" s="25" t="s">
        <v>342</v>
      </c>
      <c r="AD14" s="26">
        <f>IF(AB14="","",IF(StaticData.Today=TODAY(),_xll.BDP(AB14,"LAST_PRICE"),_xll.BDH(AB14,"LAST_PRICE",StaticData.Today,StaticData.Today)))</f>
        <v>6</v>
      </c>
      <c r="AE14" s="27">
        <f t="shared" si="7"/>
        <v>5.9999999999999995E-4</v>
      </c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24" t="str">
        <f>"HDBS5"&amp;$AL$2&amp;" Curncy"</f>
        <v>HDBS5 ICHK Curncy</v>
      </c>
      <c r="AM14" s="355" t="s">
        <v>331</v>
      </c>
      <c r="AN14" s="31"/>
      <c r="AO14" s="29">
        <f>IF(AL14="","",IF(StaticData.Today=TODAY(),_xll.BDP(AL14,"BID"),_xll.BDH(AL14,"BID",StaticData.Today,StaticData.Today)))</f>
        <v>-19</v>
      </c>
      <c r="AP14" s="29">
        <f>IF(AL14="","",IF(StaticData.Today=TODAY(),_xll.BDP(AL14,"ASK"),_xll.BDH(AL14,"ASK",StaticData.Today,StaticData.Today)))</f>
        <v>-11</v>
      </c>
      <c r="AQ14" s="177">
        <f>IF(AL14="","",IF(StaticData.Today=TODAY(),_xll.BDP(AL14,"LAST_PRICE"),_xll.BDH(AL14,"LAST_PRICE",StaticData.Today,StaticData.Today)))</f>
        <v>-15</v>
      </c>
      <c r="AR14" s="27">
        <f t="shared" si="5"/>
        <v>-1.5E-3</v>
      </c>
      <c r="AT14" s="24" t="str">
        <f t="shared" si="4"/>
        <v>HKD3M ICHK Curncy</v>
      </c>
      <c r="AU14" s="25" t="s">
        <v>49</v>
      </c>
      <c r="AV14" s="31"/>
      <c r="AW14" s="177">
        <f>IF(AT14="","",IF(StaticData.Today=TODAY(),_xll.BDP(AT14,"BID"),_xll.BDH(AT14,"BID",StaticData.Today,StaticData.Today)))</f>
        <v>39</v>
      </c>
      <c r="AX14" s="177">
        <f>IF(AT14="","",IF(StaticData.Today=TODAY(),_xll.BDP(AT14,"ASK"),_xll.BDH(AT14,"ASK",StaticData.Today,StaticData.Today)))</f>
        <v>44</v>
      </c>
      <c r="AY14" s="177">
        <f>IF(AT14="","",IF(StaticData.Today=TODAY(),_xll.BDP(AT14,"LAST_PRICE"),_xll.BDH(AT14,"LAST_PRICE",StaticData.Today,StaticData.Today)))</f>
        <v>41.5</v>
      </c>
      <c r="AZ14" s="181">
        <f t="shared" si="9"/>
        <v>41.5</v>
      </c>
    </row>
    <row r="15" spans="1:52" x14ac:dyDescent="0.25">
      <c r="B15" s="21"/>
      <c r="C15" s="22"/>
      <c r="D15" s="22"/>
      <c r="E15" s="22"/>
      <c r="G15" s="24" t="str">
        <f>"HDSQO2"&amp;$G$1&amp;" Curncy"</f>
        <v>HDSQO2 TRHK Curncy</v>
      </c>
      <c r="H15" s="25" t="s">
        <v>308</v>
      </c>
      <c r="I15" s="25"/>
      <c r="J15" s="187">
        <f>IF(G15="","",IF(StaticData.Today=TODAY(),_xll.BDP(G15,"BID"),_xll.BDH(G15,"BID",StaticData.Today,StaticData.Today)))</f>
        <v>0.16</v>
      </c>
      <c r="K15" s="187">
        <f>IF(G15="","",IF(StaticData.Today=TODAY(),_xll.BDP(G15,"ASK"),_xll.BDH(G15,"ASK",StaticData.Today,StaticData.Today)))</f>
        <v>0.36</v>
      </c>
      <c r="L15" s="26">
        <f>IF(G15="","",IF(StaticData.Today=TODAY(),_xll.BDP(G15,"LAST_PRICE"),_xll.BDH(G15,"LAST_PRICE",StaticData.Today,StaticData.Today)))</f>
        <v>0.26</v>
      </c>
      <c r="M15" s="27">
        <f t="shared" si="10"/>
        <v>2.5999999999999999E-3</v>
      </c>
      <c r="O15" s="24" t="str">
        <f>"HDSWI"&amp;$O$2&amp;" Curncy"</f>
        <v>HDSWI CMPN Curncy</v>
      </c>
      <c r="P15" s="25" t="s">
        <v>376</v>
      </c>
      <c r="Q15" s="31"/>
      <c r="R15" s="182">
        <f>IF(O15="","",IF(StaticData.Today=TODAY(),_xll.BDP(O15,"BID"),_xll.BDH(O15,"BID",StaticData.Today,StaticData.Today)))</f>
        <v>0.53951000000000005</v>
      </c>
      <c r="S15" s="182">
        <f>IF(O15="","",IF(StaticData.Today=TODAY(),_xll.BDP(O15,"ASK"),_xll.BDH(O15,"ASK",StaticData.Today,StaticData.Today)))</f>
        <v>0.6</v>
      </c>
      <c r="T15" s="30">
        <f>IF(O15="","",IF(StaticData.Today=TODAY(),_xll.BDP(O15,"LAST_PRICE"),_xll.BDH(O15,"LAST_PRICE",StaticData.Today,StaticData.Today)))</f>
        <v>0.56974999999999998</v>
      </c>
      <c r="U15" s="183">
        <f t="shared" si="11"/>
        <v>5.6974999999999994E-3</v>
      </c>
      <c r="W15" s="24" t="str">
        <f>"HDBB3"&amp;$W$2&amp;" Curncy"</f>
        <v>HDBB3 TPRA Curncy</v>
      </c>
      <c r="X15" s="25" t="s">
        <v>316</v>
      </c>
      <c r="Y15" s="191">
        <f>IF(W15="","",IF(StaticData.Today=TODAY(),_xll.BDP(W15,"LAST_PRICE"),_xll.BDH(W15,"LAST_PRICE",StaticData.Today,StaticData.Today)))</f>
        <v>-20</v>
      </c>
      <c r="Z15" s="338">
        <f t="shared" ref="Z15:Z21" si="12">Y15/10000</f>
        <v>-2E-3</v>
      </c>
      <c r="AB15" s="24" t="str">
        <f>"HDBA10"&amp;$AB$2&amp;" Curncy"</f>
        <v>HDBA10  TPRA Curncy</v>
      </c>
      <c r="AC15" s="25" t="s">
        <v>349</v>
      </c>
      <c r="AD15" s="26">
        <f>IF(AB15="","",IF(StaticData.Today=TODAY(),_xll.BDP(AB15,"LAST_PRICE"),_xll.BDH(AB15,"LAST_PRICE",StaticData.Today,StaticData.Today)))</f>
        <v>6</v>
      </c>
      <c r="AE15" s="27">
        <f t="shared" si="7"/>
        <v>5.9999999999999995E-4</v>
      </c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24" t="str">
        <f>"HDBS7"&amp;$AL$2&amp;" Curncy"</f>
        <v>HDBS7 ICHK Curncy</v>
      </c>
      <c r="AM15" s="355" t="s">
        <v>342</v>
      </c>
      <c r="AN15" s="31"/>
      <c r="AO15" s="29">
        <f>IF(AL15="","",IF(StaticData.Today=TODAY(),_xll.BDP(AL15,"BID"),_xll.BDH(AL15,"BID",StaticData.Today,StaticData.Today)))</f>
        <v>-18</v>
      </c>
      <c r="AP15" s="29">
        <f>IF(AL15="","",IF(StaticData.Today=TODAY(),_xll.BDP(AL15,"ASK"),_xll.BDH(AL15,"ASK",StaticData.Today,StaticData.Today)))</f>
        <v>-10</v>
      </c>
      <c r="AQ15" s="177">
        <f>IF(AL15="","",IF(StaticData.Today=TODAY(),_xll.BDP(AL15,"LAST_PRICE"),_xll.BDH(AL15,"LAST_PRICE",StaticData.Today,StaticData.Today)))</f>
        <v>-14</v>
      </c>
      <c r="AR15" s="27">
        <f t="shared" si="5"/>
        <v>-1.4E-3</v>
      </c>
      <c r="AT15" s="24" t="str">
        <f t="shared" si="4"/>
        <v>HKD6M ICHK Curncy</v>
      </c>
      <c r="AU15" s="25" t="s">
        <v>46</v>
      </c>
      <c r="AV15" s="31"/>
      <c r="AW15" s="177">
        <f>IF(AT15="","",IF(StaticData.Today=TODAY(),_xll.BDP(AT15,"BID"),_xll.BDH(AT15,"BID",StaticData.Today,StaticData.Today)))</f>
        <v>65</v>
      </c>
      <c r="AX15" s="177">
        <f>IF(AT15="","",IF(StaticData.Today=TODAY(),_xll.BDP(AT15,"ASK"),_xll.BDH(AT15,"ASK",StaticData.Today,StaticData.Today)))</f>
        <v>75</v>
      </c>
      <c r="AY15" s="177">
        <f>IF(AT15="","",IF(StaticData.Today=TODAY(),_xll.BDP(AT15,"LAST_PRICE"),_xll.BDH(AT15,"LAST_PRICE",StaticData.Today,StaticData.Today)))</f>
        <v>70</v>
      </c>
      <c r="AZ15" s="181">
        <f t="shared" si="9"/>
        <v>70</v>
      </c>
    </row>
    <row r="16" spans="1:52" x14ac:dyDescent="0.25">
      <c r="B16" s="21"/>
      <c r="C16" s="22"/>
      <c r="D16" s="22"/>
      <c r="E16" s="22"/>
      <c r="G16" s="24" t="str">
        <f>"HDSQO3"&amp;$G$1&amp;" Curncy"</f>
        <v>HDSQO3 TRHK Curncy</v>
      </c>
      <c r="H16" s="25" t="s">
        <v>316</v>
      </c>
      <c r="I16" s="25"/>
      <c r="J16" s="187">
        <f>IF(G16="","",IF(StaticData.Today=TODAY(),_xll.BDP(G16,"BID"),_xll.BDH(G16,"BID",StaticData.Today,StaticData.Today)))</f>
        <v>0.18</v>
      </c>
      <c r="K16" s="187">
        <f>IF(G16="","",IF(StaticData.Today=TODAY(),_xll.BDP(G16,"ASK"),_xll.BDH(G16,"ASK",StaticData.Today,StaticData.Today)))</f>
        <v>0.38</v>
      </c>
      <c r="L16" s="26">
        <f>IF(G16="","",IF(StaticData.Today=TODAY(),_xll.BDP(G16,"LAST_PRICE"),_xll.BDH(G16,"LAST_PRICE",StaticData.Today,StaticData.Today)))</f>
        <v>0.28000000000000003</v>
      </c>
      <c r="M16" s="27">
        <f t="shared" si="10"/>
        <v>2.8000000000000004E-3</v>
      </c>
      <c r="N16" t="s">
        <v>567</v>
      </c>
      <c r="O16" s="24" t="str">
        <f t="shared" ref="O16" si="13">"HDSW1"&amp;$O$2&amp;" Curncy"</f>
        <v>HDSW1 CMPN Curncy</v>
      </c>
      <c r="P16" s="25" t="s">
        <v>47</v>
      </c>
      <c r="Q16" s="31"/>
      <c r="R16" s="182">
        <f>IF(O16="","",IF(StaticData.Today=TODAY(),_xll.BDP(O16,"BID"),_xll.BDH(O16,"BID",StaticData.Today,StaticData.Today)))</f>
        <v>0.505</v>
      </c>
      <c r="S16" s="182">
        <f>IF(O16="","",IF(StaticData.Today=TODAY(),_xll.BDP(O16,"ASK"),_xll.BDH(O16,"ASK",StaticData.Today,StaticData.Today)))</f>
        <v>0.60499999999999998</v>
      </c>
      <c r="T16" s="30">
        <f>IF(O16="","",IF(StaticData.Today=TODAY(),_xll.BDP(O16,"LAST_PRICE"),_xll.BDH(O16,"LAST_PRICE",StaticData.Today,StaticData.Today)))</f>
        <v>0.55500000000000005</v>
      </c>
      <c r="U16" s="183">
        <f t="shared" si="11"/>
        <v>5.5500000000000002E-3</v>
      </c>
      <c r="W16" s="24" t="str">
        <f>"HDBB4"&amp;$W$2&amp;" Curncy"</f>
        <v>HDBB4 TPRA Curncy</v>
      </c>
      <c r="X16" s="25" t="s">
        <v>324</v>
      </c>
      <c r="Y16" s="191">
        <f>IF(W16="","",IF(StaticData.Today=TODAY(),_xll.BDP(W16,"LAST_PRICE"),_xll.BDH(W16,"LAST_PRICE",StaticData.Today,StaticData.Today)))</f>
        <v>-20</v>
      </c>
      <c r="Z16" s="338">
        <f t="shared" si="12"/>
        <v>-2E-3</v>
      </c>
      <c r="AB16" s="24" t="str">
        <f>"HDBA12"&amp;$AB$2&amp;" Curncy"</f>
        <v>HDBA12  TPRA Curncy</v>
      </c>
      <c r="AC16" s="25" t="s">
        <v>358</v>
      </c>
      <c r="AD16" s="26">
        <f>IF(AB16="","",IF(StaticData.Today=TODAY(),_xll.BDP(AB16,"LAST_PRICE"),_xll.BDH(AB16,"LAST_PRICE",StaticData.Today,StaticData.Today)))</f>
        <v>6</v>
      </c>
      <c r="AE16" s="27">
        <f t="shared" si="7"/>
        <v>5.9999999999999995E-4</v>
      </c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24" t="str">
        <f>"HDBS10"&amp;$AL$2&amp;" Curncy"</f>
        <v>HDBS10 ICHK Curncy</v>
      </c>
      <c r="AM16" s="355" t="s">
        <v>349</v>
      </c>
      <c r="AN16" s="31"/>
      <c r="AO16" s="29">
        <f>IF(AL16="","",IF(StaticData.Today=TODAY(),_xll.BDP(AL16,"BID"),_xll.BDH(AL16,"BID",StaticData.Today,StaticData.Today)))</f>
        <v>-16</v>
      </c>
      <c r="AP16" s="29">
        <f>IF(AL16="","",IF(StaticData.Today=TODAY(),_xll.BDP(AL16,"ASK"),_xll.BDH(AL16,"ASK",StaticData.Today,StaticData.Today)))</f>
        <v>-8</v>
      </c>
      <c r="AQ16" s="177">
        <f>IF(AL16="","",IF(StaticData.Today=TODAY(),_xll.BDP(AL16,"LAST_PRICE"),_xll.BDH(AL16,"LAST_PRICE",StaticData.Today,StaticData.Today)))</f>
        <v>-12</v>
      </c>
      <c r="AR16" s="27">
        <f t="shared" si="5"/>
        <v>-1.1999999999999999E-3</v>
      </c>
      <c r="AT16" s="24" t="str">
        <f t="shared" si="4"/>
        <v>HKD9M ICHK Curncy</v>
      </c>
      <c r="AU16" s="25" t="s">
        <v>376</v>
      </c>
      <c r="AV16" s="31"/>
      <c r="AW16" s="177">
        <f>IF(AT16="","",IF(StaticData.Today=TODAY(),_xll.BDP(AT16,"BID"),_xll.BDH(AT16,"BID",StaticData.Today,StaticData.Today)))</f>
        <v>100</v>
      </c>
      <c r="AX16" s="177">
        <f>IF(AT16="","",IF(StaticData.Today=TODAY(),_xll.BDP(AT16,"ASK"),_xll.BDH(AT16,"ASK",StaticData.Today,StaticData.Today)))</f>
        <v>120</v>
      </c>
      <c r="AY16" s="177">
        <f>IF(AT16="","",IF(StaticData.Today=TODAY(),_xll.BDP(AT16,"LAST_PRICE"),_xll.BDH(AT16,"LAST_PRICE",StaticData.Today,StaticData.Today)))</f>
        <v>110</v>
      </c>
      <c r="AZ16" s="181">
        <f t="shared" si="9"/>
        <v>110</v>
      </c>
    </row>
    <row r="17" spans="2:52" x14ac:dyDescent="0.25">
      <c r="B17" s="34"/>
      <c r="C17" s="35"/>
      <c r="D17" s="35"/>
      <c r="E17" s="35"/>
      <c r="G17" s="24" t="str">
        <f>"HDSQO4"&amp;$G$1&amp;" Curncy"</f>
        <v>HDSQO4 TRHK Curncy</v>
      </c>
      <c r="H17" s="25" t="s">
        <v>324</v>
      </c>
      <c r="I17" s="25"/>
      <c r="J17" s="187">
        <f>IF(G17="","",IF(StaticData.Today=TODAY(),_xll.BDP(G17,"BID"),_xll.BDH(G17,"BID",StaticData.Today,StaticData.Today)))</f>
        <v>0.21</v>
      </c>
      <c r="K17" s="187">
        <f>IF(G17="","",IF(StaticData.Today=TODAY(),_xll.BDP(G17,"ASK"),_xll.BDH(G17,"ASK",StaticData.Today,StaticData.Today)))</f>
        <v>0.41</v>
      </c>
      <c r="L17" s="26">
        <f>IF(G17="","",IF(StaticData.Today=TODAY(),_xll.BDP(G17,"LAST_PRICE"),_xll.BDH(G17,"LAST_PRICE",StaticData.Today,StaticData.Today)))</f>
        <v>0.31</v>
      </c>
      <c r="M17" s="27">
        <f t="shared" si="10"/>
        <v>3.0999999999999999E-3</v>
      </c>
      <c r="O17" s="24" t="str">
        <f>"HDSW1F"&amp;$O$2&amp;" Curncy"</f>
        <v>HDSW1F CMPN Curncy</v>
      </c>
      <c r="P17" s="25" t="s">
        <v>501</v>
      </c>
      <c r="Q17" s="31"/>
      <c r="R17" s="182">
        <f>IF(O17="","",IF(StaticData.Today=TODAY(),_xll.BDP(O17,"BID"),_xll.BDH(O17,"BID",StaticData.Today,StaticData.Today)))</f>
        <v>0.51</v>
      </c>
      <c r="S17" s="182">
        <f>IF(O17="","",IF(StaticData.Today=TODAY(),_xll.BDP(O17,"ASK"),_xll.BDH(O17,"ASK",StaticData.Today,StaticData.Today)))</f>
        <v>0.61</v>
      </c>
      <c r="T17" s="30">
        <f>IF(O17="","",IF(StaticData.Today=TODAY(),_xll.BDP(O17,"LAST_PRICE"),_xll.BDH(O17,"LAST_PRICE",StaticData.Today,StaticData.Today)))</f>
        <v>0.56000000000000005</v>
      </c>
      <c r="U17" s="183">
        <f t="shared" si="11"/>
        <v>5.6000000000000008E-3</v>
      </c>
      <c r="W17" s="24" t="str">
        <f>"HDBB5"&amp;$W$2&amp;" Curncy"</f>
        <v>HDBB5 TPRA Curncy</v>
      </c>
      <c r="X17" s="25" t="s">
        <v>331</v>
      </c>
      <c r="Y17" s="191">
        <f>IF(W17="","",IF(StaticData.Today=TODAY(),_xll.BDP(W17,"LAST_PRICE"),_xll.BDH(W17,"LAST_PRICE",StaticData.Today,StaticData.Today)))</f>
        <v>-20</v>
      </c>
      <c r="Z17" s="338">
        <f t="shared" si="12"/>
        <v>-2E-3</v>
      </c>
      <c r="AB17" s="24" t="str">
        <f>"HDBA15"&amp;$AB$2&amp;" Curncy"</f>
        <v>HDBA15  TPRA Curncy</v>
      </c>
      <c r="AC17" s="25" t="s">
        <v>367</v>
      </c>
      <c r="AD17" s="26">
        <f>IF(AB17="","",IF(StaticData.Today=TODAY(),_xll.BDP(AB17,"LAST_PRICE"),_xll.BDH(AB17,"LAST_PRICE",StaticData.Today,StaticData.Today)))</f>
        <v>6</v>
      </c>
      <c r="AE17" s="27">
        <f t="shared" si="7"/>
        <v>5.9999999999999995E-4</v>
      </c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24" t="str">
        <f>"HDBS12"&amp;$AL$2&amp;" Curncy"</f>
        <v>HDBS12 ICHK Curncy</v>
      </c>
      <c r="AM17" s="355" t="s">
        <v>358</v>
      </c>
      <c r="AN17" s="31"/>
      <c r="AO17" s="29">
        <f>IF(AL17="","",IF(StaticData.Today=TODAY(),_xll.BDP(AL17,"BID"),_xll.BDH(AL17,"BID",StaticData.Today,StaticData.Today)))</f>
        <v>-16</v>
      </c>
      <c r="AP17" s="29">
        <f>IF(AL17="","",IF(StaticData.Today=TODAY(),_xll.BDP(AL17,"ASK"),_xll.BDH(AL17,"ASK",StaticData.Today,StaticData.Today)))</f>
        <v>-8</v>
      </c>
      <c r="AQ17" s="177">
        <f>IF(AL17="","",IF(StaticData.Today=TODAY(),_xll.BDP(AL17,"LAST_PRICE"),_xll.BDH(AL17,"LAST_PRICE",StaticData.Today,StaticData.Today)))</f>
        <v>-12</v>
      </c>
      <c r="AR17" s="27">
        <f t="shared" si="5"/>
        <v>-1.1999999999999999E-3</v>
      </c>
      <c r="AT17" s="24" t="str">
        <f t="shared" si="4"/>
        <v>HKD12M ICHK Curncy</v>
      </c>
      <c r="AU17" s="25" t="s">
        <v>322</v>
      </c>
      <c r="AV17" s="31"/>
      <c r="AW17" s="177">
        <f>IF(AT17="","",IF(StaticData.Today=TODAY(),_xll.BDP(AT17,"BID"),_xll.BDH(AT17,"BID",StaticData.Today,StaticData.Today)))</f>
        <v>135</v>
      </c>
      <c r="AX17" s="177">
        <f>IF(AT17="","",IF(StaticData.Today=TODAY(),_xll.BDP(AT17,"ASK"),_xll.BDH(AT17,"ASK",StaticData.Today,StaticData.Today)))</f>
        <v>165</v>
      </c>
      <c r="AY17" s="177">
        <f>IF(AT17="","",IF(StaticData.Today=TODAY(),_xll.BDP(AT17,"LAST_PRICE"),_xll.BDH(AT17,"LAST_PRICE",StaticData.Today,StaticData.Today)))</f>
        <v>150</v>
      </c>
      <c r="AZ17" s="181">
        <f t="shared" si="9"/>
        <v>150</v>
      </c>
    </row>
    <row r="18" spans="2:52" x14ac:dyDescent="0.25">
      <c r="B18" s="36"/>
      <c r="C18" s="36"/>
      <c r="D18" s="36"/>
      <c r="E18" s="36"/>
      <c r="G18" s="24" t="str">
        <f>"HDSQO5"&amp;$G$1&amp;" Curncy"</f>
        <v>HDSQO5 TRHK Curncy</v>
      </c>
      <c r="H18" s="25" t="s">
        <v>331</v>
      </c>
      <c r="I18" s="25"/>
      <c r="J18" s="187">
        <f>IF(G18="","",IF(StaticData.Today=TODAY(),_xll.BDP(G18,"BID"),_xll.BDH(G18,"BID",StaticData.Today,StaticData.Today)))</f>
        <v>0.25</v>
      </c>
      <c r="K18" s="187">
        <f>IF(G18="","",IF(StaticData.Today=TODAY(),_xll.BDP(G18,"ASK"),_xll.BDH(G18,"ASK",StaticData.Today,StaticData.Today)))</f>
        <v>0.45</v>
      </c>
      <c r="L18" s="26">
        <f>IF(G18="","",IF(StaticData.Today=TODAY(),_xll.BDP(G18,"LAST_PRICE"),_xll.BDH(G18,"LAST_PRICE",StaticData.Today,StaticData.Today)))</f>
        <v>0.35</v>
      </c>
      <c r="M18" s="27">
        <f t="shared" si="10"/>
        <v>3.4999999999999996E-3</v>
      </c>
      <c r="O18" s="24" t="str">
        <f>"HDSW2"&amp;$O$2&amp;" Curncy"</f>
        <v>HDSW2 CMPN Curncy</v>
      </c>
      <c r="P18" s="25" t="s">
        <v>308</v>
      </c>
      <c r="Q18" s="31"/>
      <c r="R18" s="182">
        <f>IF(O18="","",IF(StaticData.Today=TODAY(),_xll.BDP(O18,"BID"),_xll.BDH(O18,"BID",StaticData.Today,StaticData.Today)))</f>
        <v>0.51500000000000001</v>
      </c>
      <c r="S18" s="182">
        <f>IF(O18="","",IF(StaticData.Today=TODAY(),_xll.BDP(O18,"ASK"),_xll.BDH(O18,"ASK",StaticData.Today,StaticData.Today)))</f>
        <v>0.61499999999999999</v>
      </c>
      <c r="T18" s="30">
        <f>IF(O18="","",IF(StaticData.Today=TODAY(),_xll.BDP(O18,"LAST_PRICE"),_xll.BDH(O18,"LAST_PRICE",StaticData.Today,StaticData.Today)))</f>
        <v>0.56499999999999995</v>
      </c>
      <c r="U18" s="183">
        <f t="shared" si="11"/>
        <v>5.6499999999999996E-3</v>
      </c>
      <c r="W18" s="24" t="str">
        <f>"HDBB7"&amp;$W$2&amp;" Curncy"</f>
        <v>HDBB7 TPRA Curncy</v>
      </c>
      <c r="X18" s="25" t="s">
        <v>342</v>
      </c>
      <c r="Y18" s="191">
        <f>IF(W18="","",IF(StaticData.Today=TODAY(),_xll.BDP(W18,"LAST_PRICE"),_xll.BDH(W18,"LAST_PRICE",StaticData.Today,StaticData.Today)))</f>
        <v>-20</v>
      </c>
      <c r="Z18" s="338">
        <f t="shared" si="12"/>
        <v>-2E-3</v>
      </c>
      <c r="AB18" s="24"/>
      <c r="AC18" s="25"/>
      <c r="AD18" s="26"/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24" t="str">
        <f>"HDBS15"&amp;$AL$2&amp;" Curncy"</f>
        <v>HDBS15 ICHK Curncy</v>
      </c>
      <c r="AM18" s="355" t="s">
        <v>367</v>
      </c>
      <c r="AN18" s="31"/>
      <c r="AO18" s="29">
        <f>IF(AL18="","",IF(StaticData.Today=TODAY(),_xll.BDP(AL18,"BID"),_xll.BDH(AL18,"BID",StaticData.Today,StaticData.Today)))</f>
        <v>-16</v>
      </c>
      <c r="AP18" s="29">
        <f>IF(AL18="","",IF(StaticData.Today=TODAY(),_xll.BDP(AL18,"ASK"),_xll.BDH(AL18,"ASK",StaticData.Today,StaticData.Today)))</f>
        <v>-8</v>
      </c>
      <c r="AQ18" s="177">
        <f>IF(AL18="","",IF(StaticData.Today=TODAY(),_xll.BDP(AL18,"LAST_PRICE"),_xll.BDH(AL18,"LAST_PRICE",StaticData.Today,StaticData.Today)))</f>
        <v>-12</v>
      </c>
      <c r="AR18" s="27">
        <f t="shared" si="5"/>
        <v>-1.1999999999999999E-3</v>
      </c>
      <c r="AT18" s="24" t="str">
        <f t="shared" si="4"/>
        <v>HKD2Y ICHK Curncy</v>
      </c>
      <c r="AU18" s="25" t="s">
        <v>308</v>
      </c>
      <c r="AV18" s="31"/>
      <c r="AW18" s="178">
        <f>IF(AT18="","",IF(StaticData.Today=TODAY(),_xll.BDP(AT18,"BID"),_xll.BDH(AT18,"BID",StaticData.Today,StaticData.Today)))</f>
        <v>300</v>
      </c>
      <c r="AX18" s="178">
        <f>IF(AT18="","",IF(StaticData.Today=TODAY(),_xll.BDP(AT18,"ASK"),_xll.BDH(AT18,"ASK",StaticData.Today,StaticData.Today)))</f>
        <v>400</v>
      </c>
      <c r="AY18" s="30">
        <f>IF(AT18="","",IF(StaticData.Today=TODAY(),_xll.BDP(AT18,"LAST_PRICE"),_xll.BDH(AT18,"LAST_PRICE",StaticData.Today,StaticData.Today)))</f>
        <v>350</v>
      </c>
      <c r="AZ18" s="181">
        <f t="shared" si="9"/>
        <v>350</v>
      </c>
    </row>
    <row r="19" spans="2:52" x14ac:dyDescent="0.25">
      <c r="B19" s="36"/>
      <c r="C19" s="36"/>
      <c r="D19" s="36"/>
      <c r="E19" s="36"/>
      <c r="G19" s="24" t="str">
        <f>"HDSQO7"&amp;$G$1&amp;" Curncy"</f>
        <v>HDSQO7 TRHK Curncy</v>
      </c>
      <c r="H19" s="25" t="s">
        <v>342</v>
      </c>
      <c r="I19" s="25"/>
      <c r="J19" s="187">
        <f>IF(G19="","",IF(StaticData.Today=TODAY(),_xll.BDP(G19,"BID"),_xll.BDH(G19,"BID",StaticData.Today,StaticData.Today)))</f>
        <v>0.37</v>
      </c>
      <c r="K19" s="187">
        <f>IF(G19="","",IF(StaticData.Today=TODAY(),_xll.BDP(G19,"ASK"),_xll.BDH(G19,"ASK",StaticData.Today,StaticData.Today)))</f>
        <v>0.56999999999999995</v>
      </c>
      <c r="L19" s="26">
        <f>IF(G19="","",IF(StaticData.Today=TODAY(),_xll.BDP(G19,"LAST_PRICE"),_xll.BDH(G19,"LAST_PRICE",StaticData.Today,StaticData.Today)))</f>
        <v>0.47</v>
      </c>
      <c r="M19" s="27">
        <f t="shared" si="10"/>
        <v>4.6999999999999993E-3</v>
      </c>
      <c r="O19" s="24" t="str">
        <f>"HDSW3"&amp;$O$2&amp;" Curncy"</f>
        <v>HDSW3 CMPN Curncy</v>
      </c>
      <c r="P19" s="25" t="s">
        <v>316</v>
      </c>
      <c r="Q19" s="31"/>
      <c r="R19" s="182">
        <f>IF(O19="","",IF(StaticData.Today=TODAY(),_xll.BDP(O19,"BID"),_xll.BDH(O19,"BID",StaticData.Today,StaticData.Today)))</f>
        <v>0.54500000000000004</v>
      </c>
      <c r="S19" s="182">
        <f>IF(O19="","",IF(StaticData.Today=TODAY(),_xll.BDP(O19,"ASK"),_xll.BDH(O19,"ASK",StaticData.Today,StaticData.Today)))</f>
        <v>0.64500000000000002</v>
      </c>
      <c r="T19" s="30">
        <f>IF(O19="","",IF(StaticData.Today=TODAY(),_xll.BDP(O19,"LAST_PRICE"),_xll.BDH(O19,"LAST_PRICE",StaticData.Today,StaticData.Today)))</f>
        <v>0.59499999999999997</v>
      </c>
      <c r="U19" s="183">
        <f t="shared" si="11"/>
        <v>5.9499999999999996E-3</v>
      </c>
      <c r="W19" s="24" t="str">
        <f>"HDBB10"&amp;$W$2&amp;" Curncy"</f>
        <v>HDBB10 TPRA Curncy</v>
      </c>
      <c r="X19" s="25" t="s">
        <v>349</v>
      </c>
      <c r="Y19" s="191">
        <f>IF(W19="","",IF(StaticData.Today=TODAY(),_xll.BDP(W19,"LAST_PRICE"),_xll.BDH(W19,"LAST_PRICE",StaticData.Today,StaticData.Today)))</f>
        <v>-20</v>
      </c>
      <c r="Z19" s="338">
        <f t="shared" si="12"/>
        <v>-2E-3</v>
      </c>
      <c r="AB19" s="24"/>
      <c r="AC19" s="25"/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355"/>
      <c r="AN19" s="28"/>
      <c r="AO19" s="29" t="str">
        <f>IF(AL19="","",IF(StaticData.Today=TODAY(),_xll.BDP(AL19,"BID"),_xll.BDH(AL19,"BID",StaticData.Today,StaticData.Today)))</f>
        <v/>
      </c>
      <c r="AP19" s="29" t="str">
        <f>IF(AL19="","",IF(StaticData.Today=TODAY(),_xll.BDP(AL19,"ASK"),_xll.BDH(AL19,"ASK",StaticData.Today,StaticData.Today)))</f>
        <v/>
      </c>
      <c r="AQ19" s="177" t="str">
        <f>IF(AL19="","",IF(StaticData.Today=TODAY(),_xll.BDP(AL19,"LAST_PRICE"),_xll.BDH(AL19,"LAST_PRICE",StaticData.Today,StaticData.Today)))</f>
        <v/>
      </c>
      <c r="AR19" s="181" t="str">
        <f t="shared" ref="AR19" si="14">AQ19</f>
        <v/>
      </c>
      <c r="AT19" s="24"/>
      <c r="AU19" s="25"/>
      <c r="AV19" s="28"/>
      <c r="AW19" s="178"/>
      <c r="AX19" s="178"/>
      <c r="AY19" s="30"/>
      <c r="AZ19" s="181"/>
    </row>
    <row r="20" spans="2:52" x14ac:dyDescent="0.25">
      <c r="B20" s="36"/>
      <c r="C20" s="36"/>
      <c r="D20" s="36"/>
      <c r="E20" s="36"/>
      <c r="G20" s="24" t="str">
        <f>"HDSQO10"&amp;$G$1&amp;" Curncy"</f>
        <v>HDSQO10 TRHK Curncy</v>
      </c>
      <c r="H20" s="25" t="s">
        <v>349</v>
      </c>
      <c r="I20" s="25"/>
      <c r="J20" s="187">
        <f>IF(G20="","",IF(StaticData.Today=TODAY(),_xll.BDP(G20,"BID"),_xll.BDH(G20,"BID",StaticData.Today,StaticData.Today)))</f>
        <v>0.52</v>
      </c>
      <c r="K20" s="187">
        <f>IF(G20="","",IF(StaticData.Today=TODAY(),_xll.BDP(G20,"ASK"),_xll.BDH(G20,"ASK",StaticData.Today,StaticData.Today)))</f>
        <v>0.72</v>
      </c>
      <c r="L20" s="26">
        <f>IF(G20="","",IF(StaticData.Today=TODAY(),_xll.BDP(G20,"LAST_PRICE"),_xll.BDH(G20,"LAST_PRICE",StaticData.Today,StaticData.Today)))</f>
        <v>0.62</v>
      </c>
      <c r="M20" s="27">
        <f t="shared" si="10"/>
        <v>6.1999999999999998E-3</v>
      </c>
      <c r="O20" s="24" t="str">
        <f>"HDSW4"&amp;$O$2&amp;" Curncy"</f>
        <v>HDSW4 CMPN Curncy</v>
      </c>
      <c r="P20" s="25" t="s">
        <v>324</v>
      </c>
      <c r="Q20" s="28"/>
      <c r="R20" s="29">
        <f>IF(O20="","",IF(StaticData.Today=TODAY(),_xll.BDP(O20,"BID"),_xll.BDH(O20,"BID",StaticData.Today,StaticData.Today)))</f>
        <v>0.57499999999999996</v>
      </c>
      <c r="S20" s="29">
        <f>IF(O20="","",IF(StaticData.Today=TODAY(),_xll.BDP(O20,"ASK"),_xll.BDH(O20,"ASK",StaticData.Today,StaticData.Today)))</f>
        <v>0.67500000000000004</v>
      </c>
      <c r="T20" s="30">
        <f>IF(O20="","",IF(StaticData.Today=TODAY(),_xll.BDP(O20,"LAST_PRICE"),_xll.BDH(O20,"LAST_PRICE",StaticData.Today,StaticData.Today)))</f>
        <v>0.625</v>
      </c>
      <c r="U20" s="183">
        <f t="shared" si="11"/>
        <v>6.2500000000000003E-3</v>
      </c>
      <c r="W20" s="24" t="str">
        <f>"HDBB12"&amp;$W$2&amp;" Curncy"</f>
        <v>HDBB12 TPRA Curncy</v>
      </c>
      <c r="X20" s="25" t="s">
        <v>358</v>
      </c>
      <c r="Y20" s="191">
        <f>IF(W20="","",IF(StaticData.Today=TODAY(),_xll.BDP(W20,"LAST_PRICE"),_xll.BDH(W20,"LAST_PRICE",StaticData.Today,StaticData.Today)))</f>
        <v>-20</v>
      </c>
      <c r="Z20" s="338">
        <f t="shared" si="12"/>
        <v>-2E-3</v>
      </c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355"/>
      <c r="AN20" s="28"/>
      <c r="AO20" s="29"/>
      <c r="AP20" s="29"/>
      <c r="AQ20" s="177"/>
      <c r="AR20" s="181"/>
      <c r="AT20" s="24"/>
      <c r="AU20" s="25"/>
      <c r="AV20" s="28"/>
      <c r="AW20" s="178"/>
      <c r="AX20" s="178"/>
      <c r="AY20" s="30"/>
      <c r="AZ20" s="27"/>
    </row>
    <row r="21" spans="2:52" x14ac:dyDescent="0.25">
      <c r="B21" s="36"/>
      <c r="C21" s="36"/>
      <c r="D21" s="36"/>
      <c r="E21" s="36"/>
      <c r="G21" s="24"/>
      <c r="H21" s="25"/>
      <c r="I21" s="25"/>
      <c r="J21" s="187"/>
      <c r="K21" s="187"/>
      <c r="L21" s="26"/>
      <c r="M21" s="27"/>
      <c r="O21" s="24" t="str">
        <f>"HDSW5"&amp;$O$2&amp;" Curncy"</f>
        <v>HDSW5 CMPN Curncy</v>
      </c>
      <c r="P21" s="25" t="s">
        <v>331</v>
      </c>
      <c r="Q21" s="28"/>
      <c r="R21" s="29">
        <f>IF(O21="","",IF(StaticData.Today=TODAY(),_xll.BDP(O21,"BID"),_xll.BDH(O21,"BID",StaticData.Today,StaticData.Today)))</f>
        <v>0.61499999999999999</v>
      </c>
      <c r="S21" s="29">
        <f>IF(O21="","",IF(StaticData.Today=TODAY(),_xll.BDP(O21,"ASK"),_xll.BDH(O21,"ASK",StaticData.Today,StaticData.Today)))</f>
        <v>0.71499999999999997</v>
      </c>
      <c r="T21" s="30">
        <f>IF(O21="","",IF(StaticData.Today=TODAY(),_xll.BDP(O21,"LAST_PRICE"),_xll.BDH(O21,"LAST_PRICE",StaticData.Today,StaticData.Today)))</f>
        <v>0.66500000000000004</v>
      </c>
      <c r="U21" s="183">
        <f t="shared" si="11"/>
        <v>6.6500000000000005E-3</v>
      </c>
      <c r="W21" s="24" t="str">
        <f>"HDBB15"&amp;$W$2&amp;" Curncy"</f>
        <v>HDBB15 TPRA Curncy</v>
      </c>
      <c r="X21" s="25" t="s">
        <v>367</v>
      </c>
      <c r="Y21" s="191">
        <f>IF(W21="","",IF(StaticData.Today=TODAY(),_xll.BDP(W21,"LAST_PRICE"),_xll.BDH(W21,"LAST_PRICE",StaticData.Today,StaticData.Today)))</f>
        <v>-20</v>
      </c>
      <c r="Z21" s="338">
        <f t="shared" si="12"/>
        <v>-2E-3</v>
      </c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355"/>
      <c r="AN21" s="28"/>
      <c r="AO21" s="29"/>
      <c r="AP21" s="29"/>
      <c r="AQ21" s="30"/>
      <c r="AR21" s="27"/>
      <c r="AT21" s="24"/>
      <c r="AU21" s="25"/>
      <c r="AV21" s="28"/>
      <c r="AW21" s="178"/>
      <c r="AX21" s="178"/>
      <c r="AY21" s="30"/>
      <c r="AZ21" s="27"/>
    </row>
    <row r="22" spans="2:52" x14ac:dyDescent="0.25">
      <c r="B22" s="36"/>
      <c r="C22" s="36"/>
      <c r="D22" s="36"/>
      <c r="E22" s="36"/>
      <c r="G22" s="24"/>
      <c r="H22" s="25"/>
      <c r="I22" s="25"/>
      <c r="J22" s="187"/>
      <c r="K22" s="187"/>
      <c r="L22" s="26"/>
      <c r="M22" s="27"/>
      <c r="O22" s="24" t="str">
        <f>"HDSW7"&amp;$O$2&amp;" Curncy"</f>
        <v>HDSW7 CMPN Curncy</v>
      </c>
      <c r="P22" s="25" t="s">
        <v>342</v>
      </c>
      <c r="Q22" s="28"/>
      <c r="R22" s="29">
        <f>IF(O22="","",IF(StaticData.Today=TODAY(),_xll.BDP(O22,"BID"),_xll.BDH(O22,"BID",StaticData.Today,StaticData.Today)))</f>
        <v>0.72</v>
      </c>
      <c r="S22" s="29">
        <f>IF(O22="","",IF(StaticData.Today=TODAY(),_xll.BDP(O22,"ASK"),_xll.BDH(O22,"ASK",StaticData.Today,StaticData.Today)))</f>
        <v>0.82</v>
      </c>
      <c r="T22" s="30">
        <f>IF(O22="","",IF(StaticData.Today=TODAY(),_xll.BDP(O22,"LAST_PRICE"),_xll.BDH(O22,"LAST_PRICE",StaticData.Today,StaticData.Today)))</f>
        <v>0.77</v>
      </c>
      <c r="U22" s="183">
        <f t="shared" si="11"/>
        <v>7.7000000000000002E-3</v>
      </c>
      <c r="W22" s="24"/>
      <c r="X22" s="25"/>
      <c r="Y22" s="191"/>
      <c r="Z22" s="338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355"/>
      <c r="AN22" s="28"/>
      <c r="AO22" s="29"/>
      <c r="AP22" s="29"/>
      <c r="AQ22" s="30"/>
      <c r="AR22" s="27"/>
      <c r="AT22" s="24"/>
      <c r="AU22" s="25"/>
      <c r="AV22" s="28"/>
      <c r="AW22" s="178"/>
      <c r="AX22" s="178"/>
      <c r="AY22" s="30"/>
      <c r="AZ22" s="27"/>
    </row>
    <row r="23" spans="2:52" x14ac:dyDescent="0.25">
      <c r="B23" s="36"/>
      <c r="C23" s="36"/>
      <c r="D23" s="36"/>
      <c r="E23" s="36"/>
      <c r="G23" s="349"/>
      <c r="H23" s="25"/>
      <c r="I23" s="25"/>
      <c r="J23" s="187"/>
      <c r="K23" s="187"/>
      <c r="L23" s="26"/>
      <c r="M23" s="27"/>
      <c r="O23" s="24" t="str">
        <f>"HDSW10"&amp;$O$2&amp;" Curncy"</f>
        <v>HDSW10 CMPN Curncy</v>
      </c>
      <c r="P23" s="25" t="s">
        <v>349</v>
      </c>
      <c r="Q23" s="28"/>
      <c r="R23" s="29">
        <f>IF(O23="","",IF(StaticData.Today=TODAY(),_xll.BDP(O23,"BID"),_xll.BDH(O23,"BID",StaticData.Today,StaticData.Today)))</f>
        <v>0.86</v>
      </c>
      <c r="S23" s="29">
        <f>IF(O23="","",IF(StaticData.Today=TODAY(),_xll.BDP(O23,"ASK"),_xll.BDH(O23,"ASK",StaticData.Today,StaticData.Today)))</f>
        <v>0.96</v>
      </c>
      <c r="T23" s="30">
        <f>IF(O23="","",IF(StaticData.Today=TODAY(),_xll.BDP(O23,"LAST_PRICE"),_xll.BDH(O23,"LAST_PRICE",StaticData.Today,StaticData.Today)))</f>
        <v>0.91</v>
      </c>
      <c r="U23" s="183">
        <f t="shared" si="11"/>
        <v>9.1000000000000004E-3</v>
      </c>
      <c r="W23" s="24"/>
      <c r="X23" s="25"/>
      <c r="Y23" s="191"/>
      <c r="Z23" s="338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355"/>
      <c r="AN23" s="28"/>
      <c r="AO23" s="29"/>
      <c r="AP23" s="29"/>
      <c r="AQ23" s="30"/>
      <c r="AR23" s="27"/>
      <c r="AT23" s="24"/>
      <c r="AU23" s="25"/>
      <c r="AV23" s="28"/>
      <c r="AW23" s="178"/>
      <c r="AX23" s="178"/>
      <c r="AY23" s="30"/>
      <c r="AZ23" s="27"/>
    </row>
    <row r="24" spans="2:52" x14ac:dyDescent="0.25">
      <c r="G24" s="349"/>
      <c r="H24" s="25"/>
      <c r="I24" s="25"/>
      <c r="J24" s="187"/>
      <c r="K24" s="187"/>
      <c r="L24" s="26"/>
      <c r="M24" s="27"/>
      <c r="O24" s="24" t="str">
        <f>"HDSW12"&amp;$O$2&amp;" Curncy"</f>
        <v>HDSW12 CMPN Curncy</v>
      </c>
      <c r="P24" s="25" t="s">
        <v>358</v>
      </c>
      <c r="Q24" s="28"/>
      <c r="R24" s="29">
        <f>IF(O24="","",IF(StaticData.Today=TODAY(),_xll.BDP(O24,"BID"),_xll.BDH(O24,"BID",StaticData.Today,StaticData.Today)))</f>
        <v>0.94499999999999995</v>
      </c>
      <c r="S24" s="29">
        <f>IF(O24="","",IF(StaticData.Today=TODAY(),_xll.BDP(O24,"ASK"),_xll.BDH(O24,"ASK",StaticData.Today,StaticData.Today)))</f>
        <v>1.0449999999999999</v>
      </c>
      <c r="T24" s="30">
        <f>IF(O24="","",IF(StaticData.Today=TODAY(),_xll.BDP(O24,"LAST_PRICE"),_xll.BDH(O24,"LAST_PRICE",StaticData.Today,StaticData.Today)))</f>
        <v>0.995</v>
      </c>
      <c r="U24" s="183">
        <f t="shared" si="11"/>
        <v>9.9500000000000005E-3</v>
      </c>
      <c r="W24" s="24"/>
      <c r="X24" s="25"/>
      <c r="Y24" s="191"/>
      <c r="Z24" s="338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355"/>
      <c r="AN24" s="28"/>
      <c r="AO24" s="29"/>
      <c r="AP24" s="29"/>
      <c r="AQ24" s="30"/>
      <c r="AR24" s="27"/>
      <c r="AT24" s="24"/>
      <c r="AU24" s="25"/>
      <c r="AV24" s="28"/>
      <c r="AW24" s="178"/>
      <c r="AX24" s="178"/>
      <c r="AY24" s="30"/>
      <c r="AZ24" s="27"/>
    </row>
    <row r="25" spans="2:52" x14ac:dyDescent="0.25">
      <c r="G25" s="349"/>
      <c r="H25" s="25"/>
      <c r="I25" s="25"/>
      <c r="J25" s="187"/>
      <c r="K25" s="187"/>
      <c r="L25" s="26"/>
      <c r="M25" s="27"/>
      <c r="O25" s="24" t="str">
        <f>"HDSW15"&amp;$O$2&amp;" Curncy"</f>
        <v>HDSW15 CMPN Curncy</v>
      </c>
      <c r="P25" s="25" t="s">
        <v>367</v>
      </c>
      <c r="Q25" s="28"/>
      <c r="R25" s="29">
        <f>IF(O25="","",IF(StaticData.Today=TODAY(),_xll.BDP(O25,"BID"),_xll.BDH(O25,"BID",StaticData.Today,StaticData.Today)))</f>
        <v>1.04</v>
      </c>
      <c r="S25" s="29">
        <f>IF(O25="","",IF(StaticData.Today=TODAY(),_xll.BDP(O25,"ASK"),_xll.BDH(O25,"ASK",StaticData.Today,StaticData.Today)))</f>
        <v>1.1399999999999999</v>
      </c>
      <c r="T25" s="30">
        <f>IF(O25="","",IF(StaticData.Today=TODAY(),_xll.BDP(O25,"LAST_PRICE"),_xll.BDH(O25,"LAST_PRICE",StaticData.Today,StaticData.Today)))</f>
        <v>1.0900000000000001</v>
      </c>
      <c r="U25" s="183">
        <f t="shared" si="11"/>
        <v>1.09E-2</v>
      </c>
      <c r="W25" s="24"/>
      <c r="X25" s="25"/>
      <c r="Y25" s="191"/>
      <c r="Z25" s="338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355"/>
      <c r="AN25" s="28"/>
      <c r="AO25" s="29"/>
      <c r="AP25" s="29"/>
      <c r="AQ25" s="30"/>
      <c r="AR25" s="27"/>
      <c r="AT25" s="24"/>
      <c r="AU25" s="25"/>
      <c r="AV25" s="28"/>
      <c r="AW25" s="178"/>
      <c r="AX25" s="178"/>
      <c r="AY25" s="30"/>
      <c r="AZ25" s="27"/>
    </row>
    <row r="26" spans="2:52" x14ac:dyDescent="0.25">
      <c r="G26" s="349"/>
      <c r="H26" s="25"/>
      <c r="I26" s="25"/>
      <c r="J26" s="187"/>
      <c r="K26" s="187"/>
      <c r="L26" s="26"/>
      <c r="M26" s="27"/>
      <c r="O26" s="24" t="str">
        <f>"HDSW20"&amp;$O$2&amp;" Curncy"</f>
        <v>HDSW20 CMPN Curncy</v>
      </c>
      <c r="P26" s="25" t="s">
        <v>374</v>
      </c>
      <c r="Q26" s="28"/>
      <c r="R26" s="29">
        <f>IF(O26="","",IF(StaticData.Today=TODAY(),_xll.BDP(O26,"BID"),_xll.BDH(O26,"BID",StaticData.Today,StaticData.Today)))</f>
        <v>1.0649999999999999</v>
      </c>
      <c r="S26" s="29">
        <f>IF(O26="","",IF(StaticData.Today=TODAY(),_xll.BDP(O26,"ASK"),_xll.BDH(O26,"ASK",StaticData.Today,StaticData.Today)))</f>
        <v>1.2649999999999999</v>
      </c>
      <c r="T26" s="30">
        <f>IF(O26="","",IF(StaticData.Today=TODAY(),_xll.BDP(O26,"LAST_PRICE"),_xll.BDH(O26,"LAST_PRICE",StaticData.Today,StaticData.Today)))</f>
        <v>1.165</v>
      </c>
      <c r="U26" s="183">
        <f t="shared" ref="U26:U28" si="15">T26/100</f>
        <v>1.1650000000000001E-2</v>
      </c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78"/>
      <c r="AX26" s="178"/>
      <c r="AY26" s="30"/>
      <c r="AZ26" s="27"/>
    </row>
    <row r="27" spans="2:52" x14ac:dyDescent="0.25">
      <c r="G27" s="349"/>
      <c r="H27" s="25"/>
      <c r="I27" s="25"/>
      <c r="J27" s="187"/>
      <c r="K27" s="187"/>
      <c r="L27" s="26"/>
      <c r="M27" s="27"/>
      <c r="O27" s="24" t="str">
        <f t="shared" ref="O27:O28" si="16">"HDSW15"&amp;$O$2&amp;" Curncy"</f>
        <v>HDSW15 CMPN Curncy</v>
      </c>
      <c r="P27" s="25" t="s">
        <v>367</v>
      </c>
      <c r="Q27" s="28"/>
      <c r="R27" s="29">
        <f>IF(O27="","",IF(StaticData.Today=TODAY(),_xll.BDP(O27,"BID"),_xll.BDH(O27,"BID",StaticData.Today,StaticData.Today)))</f>
        <v>1.04</v>
      </c>
      <c r="S27" s="29">
        <f>IF(O27="","",IF(StaticData.Today=TODAY(),_xll.BDP(O27,"ASK"),_xll.BDH(O27,"ASK",StaticData.Today,StaticData.Today)))</f>
        <v>1.1399999999999999</v>
      </c>
      <c r="T27" s="30">
        <f>IF(O27="","",IF(StaticData.Today=TODAY(),_xll.BDP(O27,"LAST_PRICE"),_xll.BDH(O27,"LAST_PRICE",StaticData.Today,StaticData.Today)))</f>
        <v>1.0900000000000001</v>
      </c>
      <c r="U27" s="183">
        <f t="shared" si="15"/>
        <v>1.09E-2</v>
      </c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178"/>
      <c r="AX27" s="178"/>
      <c r="AY27" s="30"/>
      <c r="AZ27" s="27"/>
    </row>
    <row r="28" spans="2:52" x14ac:dyDescent="0.25">
      <c r="G28" s="349"/>
      <c r="H28" s="25"/>
      <c r="I28" s="25"/>
      <c r="J28" s="187"/>
      <c r="K28" s="187"/>
      <c r="L28" s="26"/>
      <c r="M28" s="27"/>
      <c r="O28" s="24" t="str">
        <f t="shared" si="16"/>
        <v>HDSW15 CMPN Curncy</v>
      </c>
      <c r="P28" s="25" t="s">
        <v>367</v>
      </c>
      <c r="Q28" s="28"/>
      <c r="R28" s="29">
        <f>IF(O28="","",IF(StaticData.Today=TODAY(),_xll.BDP(O28,"BID"),_xll.BDH(O28,"BID",StaticData.Today,StaticData.Today)))</f>
        <v>1.04</v>
      </c>
      <c r="S28" s="29">
        <f>IF(O28="","",IF(StaticData.Today=TODAY(),_xll.BDP(O28,"ASK"),_xll.BDH(O28,"ASK",StaticData.Today,StaticData.Today)))</f>
        <v>1.1399999999999999</v>
      </c>
      <c r="T28" s="30">
        <f>IF(O28="","",IF(StaticData.Today=TODAY(),_xll.BDP(O28,"LAST_PRICE"),_xll.BDH(O28,"LAST_PRICE",StaticData.Today,StaticData.Today)))</f>
        <v>1.0900000000000001</v>
      </c>
      <c r="U28" s="183">
        <f t="shared" si="15"/>
        <v>1.09E-2</v>
      </c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178"/>
      <c r="AX28" s="178"/>
      <c r="AY28" s="30"/>
      <c r="AZ28" s="27"/>
    </row>
    <row r="29" spans="2:52" x14ac:dyDescent="0.25">
      <c r="G29" s="349"/>
      <c r="H29" s="25"/>
      <c r="I29" s="25"/>
      <c r="J29" s="187"/>
      <c r="K29" s="187"/>
      <c r="L29" s="26"/>
      <c r="M29" s="27"/>
      <c r="O29" s="24"/>
      <c r="P29" s="25"/>
      <c r="Q29" s="28"/>
      <c r="R29" s="29"/>
      <c r="S29" s="29"/>
      <c r="T29" s="30"/>
      <c r="U29" s="27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29"/>
      <c r="AX29" s="29"/>
      <c r="AY29" s="30" t="str">
        <f>IF(AT29="","",IF(StaticData.Today=TODAY(),_xll.BDP(AT29,"LAST_PRICE"),_xll.BDH(AT29,"LAST_PRICE",StaticData.Today,StaticData.Today)))</f>
        <v/>
      </c>
      <c r="AZ29" s="27"/>
    </row>
    <row r="30" spans="2:52" x14ac:dyDescent="0.25">
      <c r="G30" s="349"/>
      <c r="H30" s="25"/>
      <c r="I30" s="25"/>
      <c r="J30" s="187"/>
      <c r="K30" s="187"/>
      <c r="L30" s="26"/>
      <c r="M30" s="27"/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29"/>
      <c r="AX30" s="29"/>
      <c r="AY30" s="30" t="str">
        <f>IF(AT30="","",IF(StaticData.Today=TODAY(),_xll.BDP(AT30,"LAST_PRICE"),_xll.BDH(AT30,"LAST_PRICE",StaticData.Today,StaticData.Today)))</f>
        <v/>
      </c>
      <c r="AZ30" s="27"/>
    </row>
    <row r="31" spans="2:52" x14ac:dyDescent="0.25">
      <c r="G31" s="24"/>
      <c r="H31" s="25"/>
      <c r="I31" s="25"/>
      <c r="J31" s="187"/>
      <c r="K31" s="187"/>
      <c r="L31" s="26"/>
      <c r="M31" s="27"/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/>
      <c r="AZ31" s="27"/>
    </row>
    <row r="32" spans="2:52" x14ac:dyDescent="0.25">
      <c r="G32" s="24"/>
      <c r="H32" s="25"/>
      <c r="I32" s="25"/>
      <c r="J32" s="187"/>
      <c r="K32" s="187"/>
      <c r="L32" s="26"/>
      <c r="M32" s="27"/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7:52" x14ac:dyDescent="0.25">
      <c r="G33" s="24"/>
      <c r="H33" s="25"/>
      <c r="I33" s="25"/>
      <c r="J33" s="187"/>
      <c r="K33" s="187"/>
      <c r="L33" s="26"/>
      <c r="M33" s="27"/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7:52" x14ac:dyDescent="0.25">
      <c r="G34" s="24"/>
      <c r="H34" s="25"/>
      <c r="I34" s="25"/>
      <c r="J34" s="187"/>
      <c r="K34" s="187"/>
      <c r="L34" s="26"/>
      <c r="M34" s="27"/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7:52" x14ac:dyDescent="0.25">
      <c r="G35" s="24"/>
      <c r="H35" s="25"/>
      <c r="I35" s="25"/>
      <c r="J35" s="187"/>
      <c r="K35" s="187"/>
      <c r="L35" s="26"/>
      <c r="M35" s="27"/>
      <c r="O35" s="24"/>
      <c r="P35" s="25"/>
      <c r="Q35" s="28"/>
      <c r="R35" s="29"/>
      <c r="S35" s="29"/>
      <c r="T35" s="30" t="str">
        <f>IF(O35="","",IF(StaticData.Today=TODAY(),_xll.BDP(O35,"LAST_PRICE"),_xll.BDH(O35,"LAST_PRICE",StaticData.Today,StaticData.Today)))</f>
        <v/>
      </c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7:52" x14ac:dyDescent="0.25">
      <c r="G36" s="24"/>
      <c r="H36" s="25"/>
      <c r="I36" s="25"/>
      <c r="J36" s="187"/>
      <c r="K36" s="187"/>
      <c r="L36" s="26"/>
      <c r="M36" s="27"/>
      <c r="O36" s="24"/>
      <c r="P36" s="25"/>
      <c r="Q36" s="28"/>
      <c r="R36" s="29"/>
      <c r="S36" s="29"/>
      <c r="T36" s="30" t="str">
        <f>IF(O36="","",IF(StaticData.Today=TODAY(),_xll.BDP(O36,"LAST_PRICE"),_xll.BDH(O36,"LAST_PRICE",StaticData.Today,StaticData.Today)))</f>
        <v/>
      </c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7:52" x14ac:dyDescent="0.25">
      <c r="G37" s="24"/>
      <c r="H37" s="25"/>
      <c r="I37" s="25"/>
      <c r="J37" s="187"/>
      <c r="K37" s="187"/>
      <c r="L37" s="26"/>
      <c r="M37" s="27"/>
      <c r="O37" s="24"/>
      <c r="P37" s="25"/>
      <c r="Q37" s="28"/>
      <c r="R37" s="29"/>
      <c r="S37" s="29"/>
      <c r="T37" s="30" t="str">
        <f>IF(O37="","",IF(StaticData.Today=TODAY(),_xll.BDP(O37,"LAST_PRICE"),_xll.BDH(O37,"LAST_PRICE",StaticData.Today,StaticData.Today)))</f>
        <v/>
      </c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7:52" x14ac:dyDescent="0.25">
      <c r="G38" s="24"/>
      <c r="H38" s="25"/>
      <c r="I38" s="25"/>
      <c r="J38" s="187"/>
      <c r="K38" s="187"/>
      <c r="L38" s="26"/>
      <c r="M38" s="27"/>
      <c r="O38" s="24"/>
      <c r="P38" s="25"/>
      <c r="Q38" s="28"/>
      <c r="R38" s="29"/>
      <c r="S38" s="29"/>
      <c r="T38" s="30" t="str">
        <f>IF(O38="","",IF(StaticData.Today=TODAY(),_xll.BDP(O38,"LAST_PRICE"),_xll.BDH(O38,"LAST_PRICE",StaticData.Today,StaticData.Today)))</f>
        <v/>
      </c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</row>
    <row r="39" spans="7:52" x14ac:dyDescent="0.25">
      <c r="G39" s="24"/>
      <c r="H39" s="25"/>
      <c r="I39" s="25"/>
      <c r="J39" s="187"/>
      <c r="K39" s="187"/>
      <c r="L39" s="26"/>
      <c r="M39" s="27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7:52" x14ac:dyDescent="0.25">
      <c r="G40" s="24"/>
      <c r="H40" s="25"/>
      <c r="I40" s="25"/>
      <c r="J40" s="187"/>
      <c r="K40" s="187"/>
      <c r="L40" s="26"/>
      <c r="M40" s="27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7:52" x14ac:dyDescent="0.25">
      <c r="G41" s="24"/>
      <c r="H41" s="25"/>
      <c r="I41" s="25"/>
      <c r="J41" s="187"/>
      <c r="K41" s="187"/>
      <c r="L41" s="26"/>
      <c r="M41" s="27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7:52" x14ac:dyDescent="0.25">
      <c r="G42" s="24"/>
      <c r="H42" s="25"/>
      <c r="I42" s="25"/>
      <c r="J42" s="187"/>
      <c r="K42" s="187"/>
      <c r="L42" s="26"/>
      <c r="M42" s="27"/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7:52" x14ac:dyDescent="0.25">
      <c r="G43" s="24"/>
      <c r="H43" s="25"/>
      <c r="I43" s="25"/>
      <c r="J43" s="187"/>
      <c r="K43" s="187"/>
      <c r="L43" s="26"/>
      <c r="M43" s="27"/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7:52" x14ac:dyDescent="0.25">
      <c r="G44" s="24"/>
      <c r="H44" s="25"/>
      <c r="I44" s="25"/>
      <c r="J44" s="25"/>
      <c r="K44" s="25"/>
      <c r="L44" s="26"/>
      <c r="M44" s="27"/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7:52" x14ac:dyDescent="0.25">
      <c r="G45" s="38"/>
      <c r="H45" s="39"/>
      <c r="I45" s="39"/>
      <c r="J45" s="39"/>
      <c r="K45" s="39"/>
      <c r="L45" s="40"/>
      <c r="M45" s="41"/>
      <c r="O45" s="38"/>
      <c r="P45" s="39"/>
      <c r="Q45" s="42"/>
      <c r="R45" s="43"/>
      <c r="S45" s="43"/>
      <c r="T45" s="44" t="str">
        <f>IF(O45="","",IF(StaticData.Today=TODAY(),_xll.BDP(O45,"LAST_PRICE"),_xll.BDH(O45,"LAST_PRICE",StaticData.Today,StaticData.Today)))</f>
        <v/>
      </c>
      <c r="U45" s="41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7:52" x14ac:dyDescent="0.25"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7:52" x14ac:dyDescent="0.25"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7:52" x14ac:dyDescent="0.25">
      <c r="W48" s="24"/>
      <c r="X48" s="25"/>
      <c r="Y48" s="191"/>
      <c r="Z48" s="27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38"/>
      <c r="AU48" s="39"/>
      <c r="AV48" s="42"/>
      <c r="AW48" s="43"/>
      <c r="AX48" s="43"/>
      <c r="AY48" s="44" t="str">
        <f>IF(AT48="","",IF(StaticData.Today=TODAY(),_xll.BDP(AT48,"LAST_PRICE"),_xll.BDH(AT48,"LAST_PRICE",StaticData.Today,StaticData.Today)))</f>
        <v/>
      </c>
      <c r="AZ48" s="41"/>
    </row>
    <row r="49" spans="23:31" x14ac:dyDescent="0.25">
      <c r="W49" s="24"/>
      <c r="X49" s="25"/>
      <c r="Y49" s="191"/>
      <c r="Z49" s="27"/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</row>
    <row r="50" spans="23:31" x14ac:dyDescent="0.25">
      <c r="W50" s="24"/>
      <c r="X50" s="25"/>
      <c r="Y50" s="191"/>
      <c r="Z50" s="27"/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41"/>
    </row>
    <row r="51" spans="23:31" x14ac:dyDescent="0.25">
      <c r="W51" s="24"/>
      <c r="X51" s="25"/>
      <c r="Y51" s="191"/>
      <c r="Z51" s="27"/>
    </row>
    <row r="52" spans="23:31" x14ac:dyDescent="0.25">
      <c r="W52" s="24"/>
      <c r="X52" s="25"/>
      <c r="Y52" s="191"/>
      <c r="Z52" s="27"/>
    </row>
    <row r="53" spans="23:31" x14ac:dyDescent="0.25">
      <c r="W53" s="24"/>
      <c r="X53" s="25"/>
      <c r="Y53" s="191"/>
      <c r="Z53" s="27"/>
    </row>
    <row r="54" spans="23:31" x14ac:dyDescent="0.25">
      <c r="W54" s="38"/>
      <c r="X54" s="39"/>
      <c r="Y54" s="192"/>
      <c r="Z54" s="41"/>
    </row>
  </sheetData>
  <dataValidations count="5">
    <dataValidation type="list" allowBlank="1" showInputMessage="1" showErrorMessage="1" sqref="O1">
      <formula1>$Q$87:$Q$90</formula1>
    </dataValidation>
    <dataValidation type="list" allowBlank="1" showInputMessage="1" showErrorMessage="1" sqref="AT1">
      <formula1>$AF$100:$AF$103</formula1>
    </dataValidation>
    <dataValidation type="list" allowBlank="1" showInputMessage="1" showErrorMessage="1" sqref="AL2">
      <formula1>$AF$100:$AF$103</formula1>
    </dataValidation>
    <dataValidation type="list" allowBlank="1" showInputMessage="1" showErrorMessage="1" sqref="W2">
      <formula1>$AF$100:$AF$103</formula1>
    </dataValidation>
    <dataValidation type="list" allowBlank="1" showInputMessage="1" showErrorMessage="1" sqref="AB2">
      <formula1>$AF$100:$AF$103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'STATIC DATA'!$Q$97:$Q$100</xm:f>
          </x14:formula1>
          <xm:sqref>AT2</xm:sqref>
        </x14:dataValidation>
        <x14:dataValidation type="list" allowBlank="1" showInputMessage="1" showErrorMessage="1">
          <x14:formula1>
            <xm:f>'STATIC DATA'!$AF$92:$AF$95</xm:f>
          </x14:formula1>
          <xm:sqref>G1</xm:sqref>
        </x14:dataValidation>
        <x14:dataValidation type="list" allowBlank="1" showInputMessage="1" showErrorMessage="1">
          <x14:formula1>
            <xm:f>'STATIC DATA'!$AF$97:$AF$100</xm:f>
          </x14:formula1>
          <xm:sqref>O2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79998168889431442"/>
  </sheetPr>
  <dimension ref="A1:BM56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9.5703125" style="188" bestFit="1" customWidth="1"/>
    <col min="26" max="26" width="8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4.710937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6" max="56" width="12.28515625" bestFit="1" customWidth="1"/>
    <col min="60" max="60" width="10.5703125" bestFit="1" customWidth="1"/>
    <col min="63" max="63" width="12.7109375" bestFit="1" customWidth="1"/>
    <col min="65" max="65" width="10.7109375" style="335" bestFit="1" customWidth="1"/>
  </cols>
  <sheetData>
    <row r="1" spans="1:65" x14ac:dyDescent="0.25">
      <c r="A1" t="s">
        <v>160</v>
      </c>
      <c r="G1" s="6" t="s">
        <v>545</v>
      </c>
      <c r="O1" s="6" t="s">
        <v>528</v>
      </c>
      <c r="AT1" s="6" t="s">
        <v>508</v>
      </c>
      <c r="BC1" s="510"/>
      <c r="BD1" s="536">
        <f>WORKDAY(TODAY(),2)</f>
        <v>44085</v>
      </c>
      <c r="BE1" s="323"/>
      <c r="BF1" s="299"/>
      <c r="BG1" s="299"/>
      <c r="BH1" s="299"/>
    </row>
    <row r="2" spans="1:65" x14ac:dyDescent="0.25">
      <c r="G2" s="7"/>
      <c r="O2" s="6" t="s">
        <v>529</v>
      </c>
      <c r="W2" s="6" t="s">
        <v>528</v>
      </c>
      <c r="AL2" s="6" t="s">
        <v>528</v>
      </c>
      <c r="AT2" s="6" t="s">
        <v>528</v>
      </c>
      <c r="BC2" s="416"/>
      <c r="BD2" s="416"/>
      <c r="BE2" s="511"/>
      <c r="BF2" s="332"/>
      <c r="BG2" s="332" t="s">
        <v>993</v>
      </c>
      <c r="BH2" s="332" t="s">
        <v>929</v>
      </c>
    </row>
    <row r="3" spans="1:65" x14ac:dyDescent="0.25">
      <c r="B3" s="7" t="s">
        <v>278</v>
      </c>
      <c r="C3" s="7"/>
      <c r="D3" s="7"/>
      <c r="E3" s="8" t="s">
        <v>279</v>
      </c>
      <c r="G3" s="2" t="s">
        <v>559</v>
      </c>
      <c r="L3" s="8"/>
      <c r="O3" s="2" t="str">
        <f>$A$1&amp;"_6M"</f>
        <v>HUF_6M</v>
      </c>
      <c r="T3" s="8" t="s">
        <v>282</v>
      </c>
      <c r="W3" s="2" t="str">
        <f>$A$1&amp;"_BASIS_3M"</f>
        <v>HUF_BASIS_3M</v>
      </c>
      <c r="AB3" s="2" t="str">
        <f>$A$1&amp;"_BASIS_1M"</f>
        <v>HUF_BASIS_1M</v>
      </c>
      <c r="AG3" s="2" t="str">
        <f>$A$1&amp;"_BASIS_12M"</f>
        <v>HUF_BASIS_12M</v>
      </c>
      <c r="AL3" s="2" t="str">
        <f>'STATIC DATA'!$C$4&amp;'STATIC DATA'!$R$4&amp;"_BASIS"</f>
        <v>USDHUF_BASIS</v>
      </c>
      <c r="AQ3" s="8" t="s">
        <v>282</v>
      </c>
      <c r="AT3" s="2" t="str">
        <f>$A$1&amp;"_"&amp;'STATIC DATA'!S67</f>
        <v>HUF_USD_1D</v>
      </c>
      <c r="AY3" s="8" t="s">
        <v>282</v>
      </c>
      <c r="BC3" s="416"/>
      <c r="BD3" s="416"/>
      <c r="BE3" s="313"/>
      <c r="BF3" s="512"/>
      <c r="BG3" s="316" t="s">
        <v>1386</v>
      </c>
      <c r="BH3" s="316" t="s">
        <v>437</v>
      </c>
    </row>
    <row r="4" spans="1:65" x14ac:dyDescent="0.25">
      <c r="B4" s="9" t="b">
        <f>SUM(C7:C17)=SUM(D7:D17)</f>
        <v>0</v>
      </c>
      <c r="E4" s="10">
        <f>SUM(E7:E17)</f>
        <v>1</v>
      </c>
      <c r="BC4" s="416"/>
      <c r="BD4" s="416"/>
      <c r="BE4" s="313"/>
      <c r="BF4" s="512"/>
      <c r="BG4" s="316" t="s">
        <v>994</v>
      </c>
      <c r="BH4" s="316">
        <f>FX!B3</f>
        <v>1.1763999999999999</v>
      </c>
    </row>
    <row r="5" spans="1:65" x14ac:dyDescent="0.25">
      <c r="BC5" s="416"/>
      <c r="BD5" s="416"/>
      <c r="BE5" s="514"/>
      <c r="BF5" s="515"/>
      <c r="BG5" s="529">
        <v>360</v>
      </c>
      <c r="BH5" s="321"/>
      <c r="BJ5">
        <v>360</v>
      </c>
      <c r="BM5" s="438" t="s">
        <v>1399</v>
      </c>
    </row>
    <row r="6" spans="1:65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  <c r="BC6" s="416"/>
      <c r="BD6" s="438" t="s">
        <v>1444</v>
      </c>
      <c r="BE6" s="313"/>
      <c r="BF6" s="512" t="s">
        <v>1388</v>
      </c>
      <c r="BG6" s="316" t="s">
        <v>1387</v>
      </c>
      <c r="BH6" s="527" t="s">
        <v>1393</v>
      </c>
      <c r="BI6" t="s">
        <v>1395</v>
      </c>
      <c r="BJ6" t="s">
        <v>1396</v>
      </c>
      <c r="BK6" s="445" t="s">
        <v>1397</v>
      </c>
      <c r="BL6" s="445" t="s">
        <v>1398</v>
      </c>
      <c r="BM6" s="335" t="s">
        <v>1400</v>
      </c>
    </row>
    <row r="7" spans="1:65" x14ac:dyDescent="0.25">
      <c r="B7" s="11" t="str">
        <f>G3</f>
        <v>HUFONIA</v>
      </c>
      <c r="C7" s="12">
        <f>COUNTA(G7:G19)</f>
        <v>10</v>
      </c>
      <c r="D7" s="12">
        <f>COUNT(L7:L19)</f>
        <v>9</v>
      </c>
      <c r="E7" s="13">
        <f t="shared" ref="E7:E12" si="0">C7-D7</f>
        <v>1</v>
      </c>
      <c r="G7" s="14" t="s">
        <v>560</v>
      </c>
      <c r="H7" s="15" t="s">
        <v>298</v>
      </c>
      <c r="I7" s="15"/>
      <c r="J7" s="186"/>
      <c r="K7" s="352"/>
      <c r="L7" s="20">
        <f>IF(G7="","",IF(StaticData.Today=TODAY(),_xll.BDP(G7,"PX_LAST"),_xll.BDH(G7,"MID",StaticData.Today,StaticData.Today)))</f>
        <v>0.16900000000000001</v>
      </c>
      <c r="M7" s="17">
        <f>L7/100</f>
        <v>1.6900000000000001E-3</v>
      </c>
      <c r="O7" s="14" t="s">
        <v>561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0.38</v>
      </c>
      <c r="U7" s="184">
        <f>T7/100</f>
        <v>3.8E-3</v>
      </c>
      <c r="W7" s="8" t="str">
        <f>O7</f>
        <v>BUBORON Index</v>
      </c>
      <c r="X7" s="8"/>
      <c r="Y7" s="189">
        <f>T7</f>
        <v>0.38</v>
      </c>
      <c r="Z7" s="449">
        <f>U7</f>
        <v>3.8E-3</v>
      </c>
      <c r="AB7" s="14"/>
      <c r="AC7" s="15" t="s">
        <v>298</v>
      </c>
      <c r="AD7" s="16" t="str">
        <f>IF(AB7="","",IF(StaticData.Today=TODAY(),_xll.BDP(AB7,"LAST_PRICE"),_xll.BDH(AB7,"LAST_PRICE",StaticData.Today,StaticData.Today)))</f>
        <v/>
      </c>
      <c r="AE7" s="17">
        <f>U7</f>
        <v>3.8E-3</v>
      </c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 t="str">
        <f>"HFEBS1"&amp;$AL$2&amp;" Curncy"</f>
        <v>HFEBS1 ICPL Curncy</v>
      </c>
      <c r="AM7" s="15" t="s">
        <v>47</v>
      </c>
      <c r="AN7" s="18"/>
      <c r="AO7" s="19">
        <f>IF(AL7="","",IF(StaticData.Today=TODAY(),_xll.BDP(AL7,"BID"),_xll.BDH(AL7,"BID",StaticData.Today,StaticData.Today)))</f>
        <v>4</v>
      </c>
      <c r="AP7" s="19">
        <f>IF(AL7="","",IF(StaticData.Today=TODAY(),_xll.BDP(AL7,"ASK"),_xll.BDH(AL7,"ASK",StaticData.Today,StaticData.Today)))</f>
        <v>14</v>
      </c>
      <c r="AQ7" s="179">
        <f>IF(AL7="","",IF(StaticData.Today=TODAY(),_xll.BDP(AL7,"PX_LAST"),_xll.BDH(AL7,"PX_LAST",StaticData.Today,StaticData.Today)))</f>
        <v>9</v>
      </c>
      <c r="AR7" s="337">
        <f>AQ7/10000</f>
        <v>8.9999999999999998E-4</v>
      </c>
      <c r="AT7" s="24" t="s">
        <v>1446</v>
      </c>
      <c r="AU7" s="15" t="s">
        <v>298</v>
      </c>
      <c r="AV7" s="18"/>
      <c r="AW7" s="177">
        <f>IF(AT7="","",IF(StaticData.Today=TODAY(),_xll.BDP(AT7,"BID"),_xll.BDH(AT7,"BID",StaticData.Today,StaticData.Today)))</f>
        <v>304.14</v>
      </c>
      <c r="AX7" s="177">
        <f>IF(AT7="","",IF(StaticData.Today=TODAY(),_xll.BDP(AT7,"ASK"),_xll.BDH(AT7,"ASK",StaticData.Today,StaticData.Today)))</f>
        <v>304.26</v>
      </c>
      <c r="AY7" s="177">
        <f>IF(AT7="","",IF(StaticData.Today=TODAY(),_xll.BDP(AT7,"PX_LAST"),_xll.BDH(AT7,"PX_LAST",StaticData.Today,StaticData.Today)))</f>
        <v>304.06</v>
      </c>
      <c r="AZ7" s="180">
        <f t="shared" ref="AZ7:AZ12" si="1">AY7</f>
        <v>304.06</v>
      </c>
      <c r="BC7" s="519" t="s">
        <v>1348</v>
      </c>
      <c r="BD7" s="516">
        <f>BD1</f>
        <v>44085</v>
      </c>
      <c r="BE7" s="313">
        <v>0</v>
      </c>
      <c r="BF7" s="518">
        <f>_xll.meCurveDiscountFactorsForwardStarting($BD$7,BD7,"EURYC","EUR6ML")</f>
        <v>1</v>
      </c>
      <c r="BG7" s="316">
        <f>BF7*BE7</f>
        <v>0</v>
      </c>
      <c r="BH7" s="527">
        <f>BH8</f>
        <v>-12.874999999997044</v>
      </c>
      <c r="BI7" s="316">
        <f>_xll.meCurveDiscountFactorsForwardStarting($BD$7,CZK_DATA!BD7,"HUFYC","BUB6M")</f>
        <v>1</v>
      </c>
      <c r="BJ7" s="316">
        <f>BI7*CZK_DATA!BE7</f>
        <v>0</v>
      </c>
      <c r="BK7" s="530">
        <f>BK8</f>
        <v>-12.955163870297342</v>
      </c>
      <c r="BL7" s="535">
        <f>BL9</f>
        <v>9</v>
      </c>
      <c r="BM7" s="335">
        <f>BL7+BK7</f>
        <v>-3.9551638702973424</v>
      </c>
    </row>
    <row r="8" spans="1:65" x14ac:dyDescent="0.25">
      <c r="B8" s="21" t="str">
        <f>O3</f>
        <v>HUF_6M</v>
      </c>
      <c r="C8" s="22">
        <f>COUNTA(O7:O49)</f>
        <v>23</v>
      </c>
      <c r="D8" s="22">
        <f>COUNT(T7:T49)</f>
        <v>23</v>
      </c>
      <c r="E8" s="23">
        <f t="shared" si="0"/>
        <v>0</v>
      </c>
      <c r="G8" s="24" t="str">
        <f>"HUFO01WK"&amp;G$1&amp;" Curncy"</f>
        <v>HUFO01WK BLC3 Curncy</v>
      </c>
      <c r="H8" s="25" t="s">
        <v>305</v>
      </c>
      <c r="I8" s="25"/>
      <c r="J8" s="187">
        <f>IF(G8="","",IF(StaticData.Today=TODAY(),_xll.BDP(G8,"BID"),_xll.BDH(G8,"BID",StaticData.Today,StaticData.Today)))</f>
        <v>0.46</v>
      </c>
      <c r="K8" s="353">
        <f>IF(G8="","",IF(StaticData.Today=TODAY(),_xll.BDP(G8,"ASK"),_xll.BDH(G8,"ASK",StaticData.Today,StaticData.Today)))</f>
        <v>0.65</v>
      </c>
      <c r="L8" s="30">
        <f>IF(G8="","",IF(StaticData.Today=TODAY(),_xll.BDP(G8,"LAST_PRICE"),_xll.BDH(G8,"LAST_PRICE",StaticData.Today,StaticData.Today)))</f>
        <v>0.46</v>
      </c>
      <c r="M8" s="27">
        <f t="shared" ref="M8:M14" si="2">L8/100</f>
        <v>4.5999999999999999E-3</v>
      </c>
      <c r="O8" s="24" t="s">
        <v>562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0.6</v>
      </c>
      <c r="U8" s="183">
        <f>T8/100</f>
        <v>6.0000000000000001E-3</v>
      </c>
      <c r="W8" s="8" t="str">
        <f t="shared" ref="W8:W9" si="3">O8</f>
        <v>BUBOR01M Index</v>
      </c>
      <c r="X8" s="8"/>
      <c r="Y8" s="189">
        <f t="shared" ref="Y8:Y9" si="4">T8</f>
        <v>0.6</v>
      </c>
      <c r="Z8" s="449">
        <f t="shared" ref="Z8:Z9" si="5">U8</f>
        <v>6.0000000000000001E-3</v>
      </c>
      <c r="AB8" s="24"/>
      <c r="AC8" s="25" t="s">
        <v>1002</v>
      </c>
      <c r="AD8" s="26"/>
      <c r="AE8" s="17">
        <f>U8</f>
        <v>6.0000000000000001E-3</v>
      </c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14" t="str">
        <f>"HFEBS2"&amp;$AL$2&amp;" Curncy"</f>
        <v>HFEBS2 ICPL Curncy</v>
      </c>
      <c r="AM8" s="25" t="s">
        <v>308</v>
      </c>
      <c r="AN8" s="28"/>
      <c r="AO8" s="29">
        <f>IF(AL8="","",IF(StaticData.Today=TODAY(),_xll.BDP(AL8,"BID"),_xll.BDH(AL8,"BID",StaticData.Today,StaticData.Today)))</f>
        <v>4.25</v>
      </c>
      <c r="AP8" s="29">
        <f>IF(AL8="","",IF(StaticData.Today=TODAY(),_xll.BDP(AL8,"ASK"),_xll.BDH(AL8,"ASK",StaticData.Today,StaticData.Today)))</f>
        <v>14.25</v>
      </c>
      <c r="AQ8" s="177">
        <f>IF(AL8="","",IF(StaticData.Today=TODAY(),_xll.BDP(AL8,"PX_LAST"),_xll.BDH(AL8,"PX_LAST",StaticData.Today,StaticData.Today)))</f>
        <v>9.25</v>
      </c>
      <c r="AR8" s="338">
        <f>AQ8/10000</f>
        <v>9.2500000000000004E-4</v>
      </c>
      <c r="AT8" s="24" t="str">
        <f t="shared" ref="AT8:AT21" si="6">"USDHUF"&amp;AU8&amp;$AT$1&amp;" Curncy"</f>
        <v>USDHUFON BGN Curncy</v>
      </c>
      <c r="AU8" s="25" t="s">
        <v>298</v>
      </c>
      <c r="AV8" s="28"/>
      <c r="AW8" s="177">
        <f>IF(AT8="","",IF(StaticData.Today=TODAY(),_xll.BDP(AT8,"BID"),_xll.BDH(AT8,"BID",StaticData.Today,StaticData.Today)))</f>
        <v>-0.05</v>
      </c>
      <c r="AX8" s="177">
        <f>IF(AT8="","",IF(StaticData.Today=TODAY(),_xll.BDP(AT8,"ASK"),_xll.BDH(AT8,"ASK",StaticData.Today,StaticData.Today)))</f>
        <v>0.3</v>
      </c>
      <c r="AY8" s="177">
        <f>IF(AT8="","",IF(StaticData.Today=TODAY(),_xll.BDP(AT8,"PX_LAST"),_xll.BDH(AT8,"PX_LAST",StaticData.Today,StaticData.Today)))</f>
        <v>0.13</v>
      </c>
      <c r="AZ8" s="181">
        <f t="shared" si="1"/>
        <v>0.13</v>
      </c>
      <c r="BC8" s="519" t="s">
        <v>46</v>
      </c>
      <c r="BD8" s="516">
        <f>_xll.meDateFromTenor($BD$7,BC8,"MF",$BD$6)</f>
        <v>44266</v>
      </c>
      <c r="BE8" s="517">
        <f t="shared" ref="BE8:BE47" si="7">BD8-BD7</f>
        <v>181</v>
      </c>
      <c r="BF8" s="518">
        <f>_xll.meCurveDiscountFactorsForwardStarting($BD$7,BD8,"EURYC","EUR6ML")</f>
        <v>1.0025086528686968</v>
      </c>
      <c r="BG8" s="316">
        <f>BG7+(BE8*BF8)/$BJ$5</f>
        <v>0.50403907269231696</v>
      </c>
      <c r="BH8" s="527">
        <f>_xll.meLWOSwapParSpread(_xll.meLWOXccySwapCreateFromGenerator("TEST","EUR_XCCY","PAy",$BD$7,BD8,1,1,"Float","Float",,,,,"USD",TRUE,"LEG2:FLOAT"),$BG$2:$BH$4)</f>
        <v>-12.874999999997044</v>
      </c>
      <c r="BI8" s="316">
        <f>_xll.meCurveDiscountFactorsForwardStarting($BD$7,HUF_DATA!BD8,"HUFYC","BUB6M")</f>
        <v>0.99630533699959012</v>
      </c>
      <c r="BJ8" s="316">
        <f>BJ7+(BE8*BI8)/$BJ$5</f>
        <v>0.50092018332479393</v>
      </c>
      <c r="BK8" s="530">
        <f>BH8*BG8/BJ8</f>
        <v>-12.955163870297342</v>
      </c>
      <c r="BL8" s="535"/>
    </row>
    <row r="9" spans="1:65" x14ac:dyDescent="0.25">
      <c r="B9" s="21" t="s">
        <v>511</v>
      </c>
      <c r="C9" s="22">
        <f>COUNTA(O11:O19)*2</f>
        <v>18</v>
      </c>
      <c r="D9" s="22">
        <f>COUNT(R11:S19)</f>
        <v>18</v>
      </c>
      <c r="E9" s="23">
        <f t="shared" si="0"/>
        <v>0</v>
      </c>
      <c r="G9" s="24" t="str">
        <f>"HUFO02WK"&amp;G$1&amp;" Curncy"</f>
        <v>HUFO02WK BLC3 Curncy</v>
      </c>
      <c r="H9" s="25" t="s">
        <v>313</v>
      </c>
      <c r="I9" s="25"/>
      <c r="J9" s="187">
        <f>IF(G9="","",IF(StaticData.Today=TODAY(),_xll.BDP(G9,"BID"),_xll.BDH(G9,"BID",StaticData.Today,StaticData.Today)))</f>
        <v>0.46</v>
      </c>
      <c r="K9" s="353">
        <f>IF(G9="","",IF(StaticData.Today=TODAY(),_xll.BDP(G9,"ASK"),_xll.BDH(G9,"ASK",StaticData.Today,StaticData.Today)))</f>
        <v>0.65</v>
      </c>
      <c r="L9" s="30">
        <f>IF(G9="","",IF(StaticData.Today=TODAY(),_xll.BDP(G9,"LAST_PRICE"),_xll.BDH(G9,"LAST_PRICE",StaticData.Today,StaticData.Today)))</f>
        <v>0.46</v>
      </c>
      <c r="M9" s="27">
        <f t="shared" si="2"/>
        <v>4.5999999999999999E-3</v>
      </c>
      <c r="O9" s="24" t="s">
        <v>563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0.63</v>
      </c>
      <c r="U9" s="183">
        <f>T9/100</f>
        <v>6.3E-3</v>
      </c>
      <c r="W9" s="8" t="str">
        <f t="shared" si="3"/>
        <v>BUBOR03M Index</v>
      </c>
      <c r="X9" s="8"/>
      <c r="Y9" s="189">
        <f t="shared" si="4"/>
        <v>0.63</v>
      </c>
      <c r="Z9" s="449">
        <f t="shared" si="5"/>
        <v>6.3E-3</v>
      </c>
      <c r="AB9" s="24"/>
      <c r="AC9" s="25" t="s">
        <v>47</v>
      </c>
      <c r="AD9" s="26"/>
      <c r="AE9" s="17">
        <v>2.9999999999999997E-4</v>
      </c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14" t="str">
        <f>"HFEBS3"&amp;$AL$2&amp;" Curncy"</f>
        <v>HFEBS3 ICPL Curncy</v>
      </c>
      <c r="AM9" s="25" t="s">
        <v>316</v>
      </c>
      <c r="AN9" s="28"/>
      <c r="AO9" s="29">
        <f>IF(AL9="","",IF(StaticData.Today=TODAY(),_xll.BDP(AL9,"BID"),_xll.BDH(AL9,"BID",StaticData.Today,StaticData.Today)))</f>
        <v>4.5</v>
      </c>
      <c r="AP9" s="29">
        <f>IF(AL9="","",IF(StaticData.Today=TODAY(),_xll.BDP(AL9,"ASK"),_xll.BDH(AL9,"ASK",StaticData.Today,StaticData.Today)))</f>
        <v>14.5</v>
      </c>
      <c r="AQ9" s="177">
        <f>IF(AL9="","",IF(StaticData.Today=TODAY(),_xll.BDP(AL9,"PX_LAST"),_xll.BDH(AL9,"PX_LAST",StaticData.Today,StaticData.Today)))</f>
        <v>9.5</v>
      </c>
      <c r="AR9" s="338">
        <f t="shared" ref="AR9:AR19" si="8">AQ9/10000</f>
        <v>9.5E-4</v>
      </c>
      <c r="AT9" s="24" t="str">
        <f t="shared" si="6"/>
        <v>USDHUFTN BGN Curncy</v>
      </c>
      <c r="AU9" s="25" t="s">
        <v>506</v>
      </c>
      <c r="AV9" s="28"/>
      <c r="AW9" s="177">
        <f>IF(AT9="","",IF(StaticData.Today=TODAY(),_xll.BDP(AT9,"BID"),_xll.BDH(AT9,"BID",StaticData.Today,StaticData.Today)))</f>
        <v>0.1</v>
      </c>
      <c r="AX9" s="177">
        <f>IF(AT9="","",IF(StaticData.Today=TODAY(),_xll.BDP(AT9,"ASK"),_xll.BDH(AT9,"ASK",StaticData.Today,StaticData.Today)))</f>
        <v>0.2</v>
      </c>
      <c r="AY9" s="177">
        <f>IF(AT9="","",IF(StaticData.Today=TODAY(),_xll.BDP(AT9,"PX_LAST"),_xll.BDH(AT9,"PX_LAST",StaticData.Today,StaticData.Today)))</f>
        <v>0.15</v>
      </c>
      <c r="AZ9" s="181">
        <f t="shared" si="1"/>
        <v>0.15</v>
      </c>
      <c r="BC9" s="519" t="s">
        <v>322</v>
      </c>
      <c r="BD9" s="516">
        <f>_xll.meDateFromTenor($BD$7,BC9,"MF",$BD$6)</f>
        <v>44452</v>
      </c>
      <c r="BE9" s="517">
        <f t="shared" si="7"/>
        <v>186</v>
      </c>
      <c r="BF9" s="518">
        <f>_xll.meCurveDiscountFactorsForwardStarting($BD$7,BD9,"EURYC","EUR6ML")</f>
        <v>1.0049021623356866</v>
      </c>
      <c r="BG9" s="316">
        <f t="shared" ref="BG9:BG47" si="9">BG8+(BE9*BF9)/$BJ$5</f>
        <v>1.0232385232324217</v>
      </c>
      <c r="BH9" s="527">
        <f>_xll.meLWOSwapParSpread(_xll.meLWOXccySwapCreateFromGenerator("TEST","EUR_XCCY","PAy",$BD$7,BD9,1,1,"Float","Float",,,,,"USD",TRUE,"LEG2:FLOAT"),$BG$2:$BH$4)</f>
        <v>-11.535505471114858</v>
      </c>
      <c r="BI9" s="316">
        <f>_xll.meCurveDiscountFactorsForwardStarting($BD$7,HUF_DATA!BD9,"HUFYC","BUB6M")</f>
        <v>0.99211588373813819</v>
      </c>
      <c r="BJ9" s="316">
        <f t="shared" ref="BJ9:BJ47" si="10">BJ8+(BE9*BI9)/$BJ$5</f>
        <v>1.0135133899228319</v>
      </c>
      <c r="BK9" s="530">
        <f t="shared" ref="BK9:BK47" si="11">BH9*BG9/BJ9</f>
        <v>-11.646194022065956</v>
      </c>
      <c r="BL9" s="535">
        <f>HUF_DATA!AQ7</f>
        <v>9</v>
      </c>
      <c r="BM9" s="335">
        <f>BL9+BK9</f>
        <v>-2.6461940220659557</v>
      </c>
    </row>
    <row r="10" spans="1:65" x14ac:dyDescent="0.25">
      <c r="B10" s="21" t="s">
        <v>283</v>
      </c>
      <c r="C10" s="22">
        <f>COUNTA(W15:W56)</f>
        <v>13</v>
      </c>
      <c r="D10" s="22">
        <f>COUNT(Y15:Y56)</f>
        <v>13</v>
      </c>
      <c r="E10" s="23">
        <f t="shared" si="0"/>
        <v>0</v>
      </c>
      <c r="G10" s="24" t="str">
        <f t="shared" ref="G10" si="12">"HUFO01MO"&amp;G$1&amp;" Curncy"</f>
        <v>HUFO01MO BLC3 Curncy</v>
      </c>
      <c r="H10" s="25" t="s">
        <v>300</v>
      </c>
      <c r="I10" s="25"/>
      <c r="J10" s="187">
        <f>IF(G10="","",IF(StaticData.Today=TODAY(),_xll.BDP(G10,"BID"),_xll.BDH(G10,"BID",StaticData.Today,StaticData.Today)))</f>
        <v>0.46</v>
      </c>
      <c r="K10" s="353">
        <f>IF(G10="","",IF(StaticData.Today=TODAY(),_xll.BDP(G10,"ASK"),_xll.BDH(G10,"ASK",StaticData.Today,StaticData.Today)))</f>
        <v>0.66</v>
      </c>
      <c r="L10" s="30">
        <f>IF(G10="","",IF(StaticData.Today=TODAY(),_xll.BDP(G10,"LAST_PRICE"),_xll.BDH(G10,"LAST_PRICE",StaticData.Today,StaticData.Today)))</f>
        <v>0.46</v>
      </c>
      <c r="M10" s="27">
        <f t="shared" si="2"/>
        <v>4.5999999999999999E-3</v>
      </c>
      <c r="O10" s="24" t="s">
        <v>564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0.64</v>
      </c>
      <c r="U10" s="183">
        <f>T10/100</f>
        <v>6.4000000000000003E-3</v>
      </c>
      <c r="W10" s="24" t="str">
        <f>"HFFR0AD"&amp;$O$1&amp;" Curncy"</f>
        <v>HFFR0AD ICPL Curncy</v>
      </c>
      <c r="X10" s="8" t="s">
        <v>494</v>
      </c>
      <c r="Y10" s="30">
        <f>IF(T10="","",IF(StaticData.Today=TODAY(),_xll.BDP(W10,"LAST_PRICE"),_xll.BDH(W10,"LAST_PRICE",StaticData.Today,StaticData.Today)))</f>
        <v>0.67</v>
      </c>
      <c r="Z10" s="454">
        <f>Y10/100</f>
        <v>6.7000000000000002E-3</v>
      </c>
      <c r="AB10" s="24"/>
      <c r="AC10" s="25" t="s">
        <v>308</v>
      </c>
      <c r="AD10" s="26" t="str">
        <f>IF(AB10="","",IF(StaticData.Today=TODAY(),_xll.BDP(AB10,"LAST_PRICE"),_xll.BDH(AB10,"LAST_PRICE",StaticData.Today,StaticData.Today)))</f>
        <v/>
      </c>
      <c r="AE10" s="17">
        <v>2.9999999999999997E-4</v>
      </c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14" t="str">
        <f>"HFEBS4"&amp;$AL$2&amp;" Curncy"</f>
        <v>HFEBS4 ICPL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4.75</v>
      </c>
      <c r="AP10" s="29">
        <f>IF(AL10="","",IF(StaticData.Today=TODAY(),_xll.BDP(AL10,"ASK"),_xll.BDH(AL10,"ASK",StaticData.Today,StaticData.Today)))</f>
        <v>14.75</v>
      </c>
      <c r="AQ10" s="177">
        <f>IF(AL10="","",IF(StaticData.Today=TODAY(),_xll.BDP(AL10,"PX_LAST"),_xll.BDH(AL10,"PX_LAST",StaticData.Today,StaticData.Today)))</f>
        <v>9.75</v>
      </c>
      <c r="AR10" s="338">
        <f t="shared" si="8"/>
        <v>9.7499999999999996E-4</v>
      </c>
      <c r="AT10" s="24" t="str">
        <f t="shared" si="6"/>
        <v>USDHUF1W BGN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0.2</v>
      </c>
      <c r="AX10" s="177">
        <f>IF(AT10="","",IF(StaticData.Today=TODAY(),_xll.BDP(AT10,"ASK"),_xll.BDH(AT10,"ASK",StaticData.Today,StaticData.Today)))</f>
        <v>2.14</v>
      </c>
      <c r="AY10" s="177">
        <f>IF(AT10="","",IF(StaticData.Today=TODAY(),_xll.BDP(AT10,"PX_LAST"),_xll.BDH(AT10,"PX_LAST",StaticData.Today,StaticData.Today)))</f>
        <v>1.18</v>
      </c>
      <c r="AZ10" s="181">
        <f t="shared" si="1"/>
        <v>1.18</v>
      </c>
      <c r="BC10" s="519" t="s">
        <v>501</v>
      </c>
      <c r="BD10" s="516">
        <f>_xll.meDateFromTenor($BD$7,BC10,"MF",$BD$6)</f>
        <v>44631</v>
      </c>
      <c r="BE10" s="517">
        <f t="shared" si="7"/>
        <v>179</v>
      </c>
      <c r="BF10" s="518">
        <f>_xll.meCurveDiscountFactorsForwardStarting($BD$7,BD10,"EURYC","EUR6ML")</f>
        <v>1.0072467912107272</v>
      </c>
      <c r="BG10" s="316">
        <f t="shared" si="9"/>
        <v>1.5240640110844224</v>
      </c>
      <c r="BH10" s="527">
        <f>_xll.meLWOSwapParSpread(_xll.meLWOXccySwapCreateFromGenerator("TEST","EUR_XCCY","PAy",$BD$7,BD10,1,1,"Float","Float",,,,,"USD",TRUE,"LEG2:FLOAT"),$BG$2:$BH$4)</f>
        <v>-12.000000000024459</v>
      </c>
      <c r="BI10" s="316">
        <f>_xll.meCurveDiscountFactorsForwardStarting($BD$7,HUF_DATA!BD10,"HUFYC","BUB6M")</f>
        <v>0.98765479745900797</v>
      </c>
      <c r="BJ10" s="316">
        <f t="shared" si="10"/>
        <v>1.5045973031038387</v>
      </c>
      <c r="BK10" s="530">
        <f t="shared" si="11"/>
        <v>-12.15525781903396</v>
      </c>
      <c r="BL10" s="535"/>
    </row>
    <row r="11" spans="1:65" x14ac:dyDescent="0.25">
      <c r="B11" s="21" t="s">
        <v>284</v>
      </c>
      <c r="C11" s="22">
        <f>COUNTA(AB7:AB50)</f>
        <v>0</v>
      </c>
      <c r="D11" s="22">
        <f>COUNT(AD7:AD50)</f>
        <v>0</v>
      </c>
      <c r="E11" s="23">
        <f t="shared" si="0"/>
        <v>0</v>
      </c>
      <c r="G11" s="24" t="str">
        <f>"HUFO02MO"&amp;G$1&amp;" Curncy"</f>
        <v>HUFO02MO BLC3 Curncy</v>
      </c>
      <c r="H11" s="25" t="s">
        <v>335</v>
      </c>
      <c r="I11" s="25"/>
      <c r="J11" s="187">
        <f>IF(G11="","",IF(StaticData.Today=TODAY(),_xll.BDP(G11,"BID"),_xll.BDH(G11,"BID",StaticData.Today,StaticData.Today)))</f>
        <v>0.47</v>
      </c>
      <c r="K11" s="353">
        <f>IF(G11="","",IF(StaticData.Today=TODAY(),_xll.BDP(G11,"ASK"),_xll.BDH(G11,"ASK",StaticData.Today,StaticData.Today)))</f>
        <v>0.66</v>
      </c>
      <c r="L11" s="30">
        <f>IF(G11="","",IF(StaticData.Today=TODAY(),_xll.BDP(G11,"LAST_PRICE"),_xll.BDH(G11,"LAST_PRICE",StaticData.Today,StaticData.Today)))</f>
        <v>0.47</v>
      </c>
      <c r="M11" s="27">
        <f t="shared" si="2"/>
        <v>4.6999999999999993E-3</v>
      </c>
      <c r="O11" s="24" t="str">
        <f>"HFFR0AG"&amp;$O$1&amp;" Curncy"</f>
        <v>HFFR0AG ICPL Curncy</v>
      </c>
      <c r="P11" s="25" t="s">
        <v>1155</v>
      </c>
      <c r="Q11" s="31" t="s">
        <v>1070</v>
      </c>
      <c r="R11" s="182">
        <f>IF(O11="","",IF(StaticData.Today=TODAY(),_xll.BDP(O11,"BID"),_xll.BDH(O11,"BID",StaticData.Today,StaticData.Today)))</f>
        <v>0.65500000000000003</v>
      </c>
      <c r="S11" s="182">
        <f>IF(O11="","",IF(StaticData.Today=TODAY(),_xll.BDP(O11,"ASK"),_xll.BDH(O11,"ASK",StaticData.Today,StaticData.Today)))</f>
        <v>0.755</v>
      </c>
      <c r="T11" s="30">
        <f>IF(O11="","",IF(StaticData.Today=TODAY(),_xll.BDP(O11,"LAST_PRICE"),_xll.BDH(O11,"LAST_PRICE",StaticData.Today,StaticData.Today)))</f>
        <v>0.70499999999999996</v>
      </c>
      <c r="U11" s="183">
        <f>T11/100</f>
        <v>7.0499999999999998E-3</v>
      </c>
      <c r="W11" s="24" t="str">
        <f>"HFFR0BE"&amp;$O$1&amp;" Curncy"</f>
        <v>HFFR0BE ICPL Curncy</v>
      </c>
      <c r="X11" s="8" t="s">
        <v>495</v>
      </c>
      <c r="Y11" s="30">
        <f>IF(T11="","",IF(StaticData.Today=TODAY(),_xll.BDP(W11,"LAST_PRICE"),_xll.BDH(W11,"LAST_PRICE",StaticData.Today,StaticData.Today)))</f>
        <v>0.73</v>
      </c>
      <c r="Z11" s="454">
        <f t="shared" ref="Z11:Z14" si="13">Y11/100</f>
        <v>7.3000000000000001E-3</v>
      </c>
      <c r="AB11" s="24"/>
      <c r="AC11" s="25" t="s">
        <v>316</v>
      </c>
      <c r="AD11" s="26" t="str">
        <f>IF(AB11="","",IF(StaticData.Today=TODAY(),_xll.BDP(AB11,"LAST_PRICE"),_xll.BDH(AB11,"LAST_PRICE",StaticData.Today,StaticData.Today)))</f>
        <v/>
      </c>
      <c r="AE11" s="17">
        <v>2.9999999999999997E-4</v>
      </c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14" t="str">
        <f>"HFEBS5"&amp;$AL$2&amp;" Curncy"</f>
        <v>HFEBS5 ICPL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5</v>
      </c>
      <c r="AP11" s="29">
        <f>IF(AL11="","",IF(StaticData.Today=TODAY(),_xll.BDP(AL11,"ASK"),_xll.BDH(AL11,"ASK",StaticData.Today,StaticData.Today)))</f>
        <v>15</v>
      </c>
      <c r="AQ11" s="177">
        <f>IF(AL11="","",IF(StaticData.Today=TODAY(),_xll.BDP(AL11,"LAST_PRICE"),_xll.BDH(AL11,"LAST_PRICE",StaticData.Today,StaticData.Today)))</f>
        <v>10</v>
      </c>
      <c r="AR11" s="338">
        <f t="shared" si="8"/>
        <v>1E-3</v>
      </c>
      <c r="AT11" s="24" t="str">
        <f t="shared" si="6"/>
        <v>USDHUF2W BGN Curncy</v>
      </c>
      <c r="AU11" s="25" t="s">
        <v>313</v>
      </c>
      <c r="AV11" s="28"/>
      <c r="AW11" s="177">
        <f>IF(AT11="","",IF(StaticData.Today=TODAY(),_xll.BDP(AT11,"BID"),_xll.BDH(AT11,"BID",StaticData.Today,StaticData.Today)))</f>
        <v>1.76</v>
      </c>
      <c r="AX11" s="177">
        <f>IF(AT11="","",IF(StaticData.Today=TODAY(),_xll.BDP(AT11,"ASK"),_xll.BDH(AT11,"ASK",StaticData.Today,StaticData.Today)))</f>
        <v>3.61</v>
      </c>
      <c r="AY11" s="177">
        <f>IF(AT11="","",IF(StaticData.Today=TODAY(),_xll.BDP(AT11,"PX_LAST"),_xll.BDH(AT11,"PX_LAST",StaticData.Today,StaticData.Today)))</f>
        <v>2.5</v>
      </c>
      <c r="AZ11" s="181">
        <f t="shared" si="1"/>
        <v>2.5</v>
      </c>
      <c r="BC11" s="552" t="s">
        <v>1349</v>
      </c>
      <c r="BD11" s="553">
        <f>_xll.meDateFromTenor($BD$7,BC11,"MF",$BD$6)</f>
        <v>44816</v>
      </c>
      <c r="BE11" s="554">
        <f t="shared" si="7"/>
        <v>185</v>
      </c>
      <c r="BF11" s="555">
        <f>_xll.meCurveDiscountFactorsForwardStarting($BD$7,BD11,"EURYC","EUR6ML")</f>
        <v>1.0095463412067018</v>
      </c>
      <c r="BG11" s="316">
        <f t="shared" si="9"/>
        <v>2.0428586586489774</v>
      </c>
      <c r="BH11" s="527">
        <f>_xll.meLWOSwapParSpread(_xll.meLWOXccySwapCreateFromGenerator("TEST","EUR_XCCY","PAy",$BD$7,BD11,1,1,"Float","Float",,,,,"USD",TRUE,"LEG2:FLOAT"),$BG$2:$BH$4)</f>
        <v>-11.899269076252644</v>
      </c>
      <c r="BI11" s="316">
        <f>_xll.meCurveDiscountFactorsForwardStarting($BD$7,HUF_DATA!BD11,"HUFYC","BUB6M")</f>
        <v>0.98142727607336522</v>
      </c>
      <c r="BJ11" s="316">
        <f t="shared" si="10"/>
        <v>2.0089418755304291</v>
      </c>
      <c r="BK11" s="530">
        <f t="shared" si="11"/>
        <v>-12.10016335470057</v>
      </c>
      <c r="BL11" s="560">
        <f>HUF_DATA!AQ8</f>
        <v>9.25</v>
      </c>
      <c r="BM11" s="561">
        <f>BL11+BK11</f>
        <v>-2.8501633547005696</v>
      </c>
    </row>
    <row r="12" spans="1:65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"HUFO03MO"&amp;G$1&amp;" Curncy"</f>
        <v>HUFO03MO BLC3 Curncy</v>
      </c>
      <c r="H12" s="25" t="s">
        <v>49</v>
      </c>
      <c r="I12" s="25"/>
      <c r="J12" s="187">
        <f>IF(G12="","",IF(StaticData.Today=TODAY(),_xll.BDP(G12,"BID"),_xll.BDH(G12,"BID",StaticData.Today,StaticData.Today)))</f>
        <v>0.48</v>
      </c>
      <c r="K12" s="353">
        <f>IF(G12="","",IF(StaticData.Today=TODAY(),_xll.BDP(G12,"ASK"),_xll.BDH(G12,"ASK",StaticData.Today,StaticData.Today)))</f>
        <v>0.67</v>
      </c>
      <c r="L12" s="30">
        <f>IF(G12="","",IF(StaticData.Today=TODAY(),_xll.BDP(G12,"LAST_PRICE"),_xll.BDH(G12,"LAST_PRICE",StaticData.Today,StaticData.Today)))</f>
        <v>0.48</v>
      </c>
      <c r="M12" s="27">
        <f t="shared" si="2"/>
        <v>4.7999999999999996E-3</v>
      </c>
      <c r="O12" s="24" t="str">
        <f>"HFFR0BH"&amp;$O$1&amp;" Curncy"</f>
        <v>HFFR0BH ICPL Curncy</v>
      </c>
      <c r="P12" s="25" t="s">
        <v>1156</v>
      </c>
      <c r="Q12" s="31" t="s">
        <v>1071</v>
      </c>
      <c r="R12" s="182">
        <f>IF(O12="","",IF(StaticData.Today=TODAY(),_xll.BDP(O12,"BID"),_xll.BDH(O12,"BID",StaticData.Today,StaticData.Today)))</f>
        <v>0.73</v>
      </c>
      <c r="S12" s="182">
        <f>IF(O12="","",IF(StaticData.Today=TODAY(),_xll.BDP(O12,"ASK"),_xll.BDH(O12,"ASK",StaticData.Today,StaticData.Today)))</f>
        <v>0.83</v>
      </c>
      <c r="T12" s="30">
        <f>IF(O12="","",IF(StaticData.Today=TODAY(),_xll.BDP(O12,"LAST_PRICE"),_xll.BDH(O12,"LAST_PRICE",StaticData.Today,StaticData.Today)))</f>
        <v>0.78</v>
      </c>
      <c r="U12" s="183">
        <f t="shared" ref="U12:U29" si="14">T12/100</f>
        <v>7.8000000000000005E-3</v>
      </c>
      <c r="W12" s="24" t="str">
        <f>"HFFR0CF"&amp;$O$1&amp;" Curncy"</f>
        <v>HFFR0CF ICPL Curncy</v>
      </c>
      <c r="X12" s="8" t="s">
        <v>496</v>
      </c>
      <c r="Y12" s="30">
        <f>IF(T12="","",IF(StaticData.Today=TODAY(),_xll.BDP(W12,"LAST_PRICE"),_xll.BDH(W12,"LAST_PRICE",StaticData.Today,StaticData.Today)))</f>
        <v>0.79</v>
      </c>
      <c r="Z12" s="454">
        <f t="shared" si="13"/>
        <v>7.9000000000000008E-3</v>
      </c>
      <c r="AB12" s="24"/>
      <c r="AC12" s="25" t="s">
        <v>324</v>
      </c>
      <c r="AD12" s="26" t="str">
        <f>IF(AB12="","",IF(StaticData.Today=TODAY(),_xll.BDP(AB12,"LAST_PRICE"),_xll.BDH(AB12,"LAST_PRICE",StaticData.Today,StaticData.Today)))</f>
        <v/>
      </c>
      <c r="AE12" s="17">
        <v>2.9999999999999997E-4</v>
      </c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14" t="str">
        <f>"HFEBS6"&amp;$AL$2&amp;" Curncy"</f>
        <v>HFEBS6 ICPL Curncy</v>
      </c>
      <c r="AM12" s="25" t="s">
        <v>339</v>
      </c>
      <c r="AN12" s="31"/>
      <c r="AO12" s="29">
        <f>IF(AL12="","",IF(StaticData.Today=TODAY(),_xll.BDP(AL12,"BID"),_xll.BDH(AL12,"BID",StaticData.Today,StaticData.Today)))</f>
        <v>4.75</v>
      </c>
      <c r="AP12" s="29">
        <f>IF(AL12="","",IF(StaticData.Today=TODAY(),_xll.BDP(AL12,"ASK"),_xll.BDH(AL12,"ASK",StaticData.Today,StaticData.Today)))</f>
        <v>14.75</v>
      </c>
      <c r="AQ12" s="177">
        <f>IF(AL12="","",IF(StaticData.Today=TODAY(),_xll.BDP(AL12,"LAST_PRICE"),_xll.BDH(AL12,"LAST_PRICE",StaticData.Today,StaticData.Today)))</f>
        <v>9.75</v>
      </c>
      <c r="AR12" s="338">
        <f t="shared" si="8"/>
        <v>9.7499999999999996E-4</v>
      </c>
      <c r="AT12" s="24" t="str">
        <f t="shared" si="6"/>
        <v>USDHUF1M BGN Curncy</v>
      </c>
      <c r="AU12" s="25" t="s">
        <v>300</v>
      </c>
      <c r="AV12" s="31"/>
      <c r="AW12" s="177">
        <f>IF(AT12="","",IF(StaticData.Today=TODAY(),_xll.BDP(AT12,"BID"),_xll.BDH(AT12,"BID",StaticData.Today,StaticData.Today)))</f>
        <v>4.99</v>
      </c>
      <c r="AX12" s="177">
        <f>IF(AT12="","",IF(StaticData.Today=TODAY(),_xll.BDP(AT12,"ASK"),_xll.BDH(AT12,"ASK",StaticData.Today,StaticData.Today)))</f>
        <v>9.01</v>
      </c>
      <c r="AY12" s="177">
        <f>IF(AT12="","",IF(StaticData.Today=TODAY(),_xll.BDP(AT12,"LAST_PRICE"),_xll.BDH(AT12,"LAST_PRICE",StaticData.Today,StaticData.Today)))</f>
        <v>7</v>
      </c>
      <c r="AZ12" s="181">
        <f t="shared" si="1"/>
        <v>7</v>
      </c>
      <c r="BC12" s="390" t="s">
        <v>1350</v>
      </c>
      <c r="BD12" s="516">
        <f>_xll.meDateFromTenor($BD$7,BC12,"MF",$BD$6)</f>
        <v>44998</v>
      </c>
      <c r="BE12" s="517">
        <f t="shared" si="7"/>
        <v>182</v>
      </c>
      <c r="BF12" s="518">
        <f>_xll.meCurveDiscountFactorsForwardStarting($BD$7,BD12,"EURYC","EUR6ML")</f>
        <v>1.0118916715674875</v>
      </c>
      <c r="BG12" s="316">
        <f t="shared" si="9"/>
        <v>2.5544261148303185</v>
      </c>
      <c r="BH12" s="527">
        <f>_xll.meLWOSwapParSpread(_xll.meLWOXccySwapCreateFromGenerator("TEST","EUR_XCCY","PAy",$BD$7,BD12,1,1,"Float","Float",,,,,"USD",TRUE,"LEG2:FLOAT"),$BG$2:$BH$4)</f>
        <v>-12.66495057442733</v>
      </c>
      <c r="BI12" s="316">
        <f>_xll.meCurveDiscountFactorsForwardStarting($BD$7,HUF_DATA!BD12,"HUFYC","BUB6M")</f>
        <v>0.97505422425645216</v>
      </c>
      <c r="BJ12" s="316">
        <f t="shared" si="10"/>
        <v>2.5018859555711912</v>
      </c>
      <c r="BK12" s="530">
        <f t="shared" si="11"/>
        <v>-12.930917341900338</v>
      </c>
      <c r="BL12" s="535"/>
    </row>
    <row r="13" spans="1:65" x14ac:dyDescent="0.25">
      <c r="B13" s="21"/>
      <c r="C13" s="22"/>
      <c r="D13" s="22"/>
      <c r="E13" s="22"/>
      <c r="G13" s="24" t="str">
        <f>"HUFO06MO"&amp;G$1&amp;" Curncy"</f>
        <v>HUFO06MO BLC3 Curncy</v>
      </c>
      <c r="H13" s="25" t="s">
        <v>46</v>
      </c>
      <c r="I13" s="25"/>
      <c r="J13" s="187">
        <f>IF(G13="","",IF(StaticData.Today=TODAY(),_xll.BDP(G13,"BID"),_xll.BDH(G13,"BID",StaticData.Today,StaticData.Today)))</f>
        <v>0.52</v>
      </c>
      <c r="K13" s="353">
        <f>IF(G13="","",IF(StaticData.Today=TODAY(),_xll.BDP(G13,"ASK"),_xll.BDH(G13,"ASK",StaticData.Today,StaticData.Today)))</f>
        <v>0.71</v>
      </c>
      <c r="L13" s="30">
        <f>IF(G13="","",IF(StaticData.Today=TODAY(),_xll.BDP(G13,"LAST_PRICE"),_xll.BDH(G13,"LAST_PRICE",StaticData.Today,StaticData.Today)))</f>
        <v>0.52</v>
      </c>
      <c r="M13" s="27">
        <f t="shared" si="2"/>
        <v>5.1999999999999998E-3</v>
      </c>
      <c r="O13" s="24" t="str">
        <f>"HFFR0CI"&amp;$O$1&amp;" Curncy"</f>
        <v>HFFR0CI ICPL Curncy</v>
      </c>
      <c r="P13" s="25" t="s">
        <v>1157</v>
      </c>
      <c r="Q13" s="31" t="s">
        <v>1072</v>
      </c>
      <c r="R13" s="182">
        <f>IF(O13="","",IF(StaticData.Today=TODAY(),_xll.BDP(O13,"BID"),_xll.BDH(O13,"BID",StaticData.Today,StaticData.Today)))</f>
        <v>0.79500000000000004</v>
      </c>
      <c r="S13" s="182">
        <f>IF(O13="","",IF(StaticData.Today=TODAY(),_xll.BDP(O13,"ASK"),_xll.BDH(O13,"ASK",StaticData.Today,StaticData.Today)))</f>
        <v>0.89500000000000002</v>
      </c>
      <c r="T13" s="30">
        <f>IF(O13="","",IF(StaticData.Today=TODAY(),_xll.BDP(O13,"LAST_PRICE"),_xll.BDH(O13,"LAST_PRICE",StaticData.Today,StaticData.Today)))</f>
        <v>0.84499999999999997</v>
      </c>
      <c r="U13" s="183">
        <f t="shared" si="14"/>
        <v>8.4499999999999992E-3</v>
      </c>
      <c r="W13" s="24" t="str">
        <f>"HFFR0FI"&amp;$O$1&amp;" Curncy"</f>
        <v>HFFR0FI ICPL Curncy</v>
      </c>
      <c r="X13" s="8" t="s">
        <v>497</v>
      </c>
      <c r="Y13" s="30">
        <f>IF(T13="","",IF(StaticData.Today=TODAY(),_xll.BDP(W13,"LAST_PRICE"),_xll.BDH(W13,"LAST_PRICE",StaticData.Today,StaticData.Today)))</f>
        <v>0.89500000000000002</v>
      </c>
      <c r="Z13" s="454">
        <f t="shared" si="13"/>
        <v>8.9499999999999996E-3</v>
      </c>
      <c r="AB13" s="24"/>
      <c r="AC13" s="25" t="s">
        <v>331</v>
      </c>
      <c r="AD13" s="26" t="str">
        <f>IF(AB13="","",IF(StaticData.Today=TODAY(),_xll.BDP(AB13,"LAST_PRICE"),_xll.BDH(AB13,"LAST_PRICE",StaticData.Today,StaticData.Today)))</f>
        <v/>
      </c>
      <c r="AE13" s="17">
        <v>2.9999999999999997E-4</v>
      </c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14" t="str">
        <f>"HFEBS7"&amp;$AL$2&amp;" Curncy"</f>
        <v>HFEBS7 ICPL Curncy</v>
      </c>
      <c r="AM13" s="25" t="s">
        <v>342</v>
      </c>
      <c r="AN13" s="31"/>
      <c r="AO13" s="29">
        <f>IF(AL13="","",IF(StaticData.Today=TODAY(),_xll.BDP(AL13,"BID"),_xll.BDH(AL13,"BID",StaticData.Today,StaticData.Today)))</f>
        <v>4.5</v>
      </c>
      <c r="AP13" s="29">
        <f>IF(AL13="","",IF(StaticData.Today=TODAY(),_xll.BDP(AL13,"ASK"),_xll.BDH(AL13,"ASK",StaticData.Today,StaticData.Today)))</f>
        <v>14.5</v>
      </c>
      <c r="AQ13" s="177">
        <f>IF(AL13="","",IF(StaticData.Today=TODAY(),_xll.BDP(AL13,"LAST_PRICE"),_xll.BDH(AL13,"LAST_PRICE",StaticData.Today,StaticData.Today)))</f>
        <v>9.5</v>
      </c>
      <c r="AR13" s="338">
        <f t="shared" si="8"/>
        <v>9.5E-4</v>
      </c>
      <c r="AT13" s="24" t="str">
        <f t="shared" si="6"/>
        <v>USDHUF2M BGN Curncy</v>
      </c>
      <c r="AU13" s="25" t="s">
        <v>335</v>
      </c>
      <c r="AV13" s="31"/>
      <c r="AW13" s="177">
        <f>IF(AT13="","",IF(StaticData.Today=TODAY(),_xll.BDP(AT13,"BID"),_xll.BDH(AT13,"BID",StaticData.Today,StaticData.Today)))</f>
        <v>12.6</v>
      </c>
      <c r="AX13" s="177">
        <f>IF(AT13="","",IF(StaticData.Today=TODAY(),_xll.BDP(AT13,"ASK"),_xll.BDH(AT13,"ASK",StaticData.Today,StaticData.Today)))</f>
        <v>19.170000000000002</v>
      </c>
      <c r="AY13" s="177">
        <f>IF(AT13="","",IF(StaticData.Today=TODAY(),_xll.BDP(AT13,"LAST_PRICE"),_xll.BDH(AT13,"LAST_PRICE",StaticData.Today,StaticData.Today)))</f>
        <v>15.89</v>
      </c>
      <c r="AZ13" s="181">
        <f t="shared" ref="AZ13:AZ18" si="15">AY13</f>
        <v>15.89</v>
      </c>
      <c r="BC13" s="390" t="s">
        <v>1351</v>
      </c>
      <c r="BD13" s="516">
        <f>_xll.meDateFromTenor($BD$7,BC13,"MF",$BD$6)</f>
        <v>45180</v>
      </c>
      <c r="BE13" s="517">
        <f t="shared" si="7"/>
        <v>182</v>
      </c>
      <c r="BF13" s="518">
        <f>_xll.meCurveDiscountFactorsForwardStarting($BD$7,BD13,"EURYC","EUR6ML")</f>
        <v>1.0141812205868401</v>
      </c>
      <c r="BG13" s="316">
        <f t="shared" si="9"/>
        <v>3.06715106523811</v>
      </c>
      <c r="BH13" s="527">
        <f>_xll.meLWOSwapParSpread(_xll.meLWOXccySwapCreateFromGenerator("TEST","EUR_XCCY","PAy",$BD$7,BD13,1,1,"Float","Float",,,,,"USD",TRUE,"LEG2:FLOAT"),$BG$2:$BH$4)</f>
        <v>-12.750000000101478</v>
      </c>
      <c r="BI13" s="316">
        <f>_xll.meCurveDiscountFactorsForwardStarting($BD$7,HUF_DATA!BD13,"HUFYC","BUB6M")</f>
        <v>0.96840051172121722</v>
      </c>
      <c r="BJ13" s="316">
        <f t="shared" si="10"/>
        <v>2.9914662142746953</v>
      </c>
      <c r="BK13" s="530">
        <f t="shared" si="11"/>
        <v>-13.072578221171304</v>
      </c>
      <c r="BL13" s="535">
        <f>HUF_DATA!AQ9</f>
        <v>9.5</v>
      </c>
      <c r="BM13" s="335">
        <f>BL13+BK13</f>
        <v>-3.5725782211713035</v>
      </c>
    </row>
    <row r="14" spans="1:65" x14ac:dyDescent="0.25">
      <c r="B14" s="21"/>
      <c r="C14" s="22"/>
      <c r="D14" s="22"/>
      <c r="E14" s="22"/>
      <c r="G14" s="24" t="str">
        <f>"HUFO09MO"&amp;G$1&amp;" Curncy"</f>
        <v>HUFO09MO BLC3 Curncy</v>
      </c>
      <c r="H14" s="25" t="s">
        <v>376</v>
      </c>
      <c r="I14" s="25"/>
      <c r="J14" s="187">
        <f>IF(G14="","",IF(StaticData.Today=TODAY(),_xll.BDP(G14,"BID"),_xll.BDH(G14,"BID",StaticData.Today,StaticData.Today)))</f>
        <v>0.56999999999999995</v>
      </c>
      <c r="K14" s="353">
        <f>IF(G14="","",IF(StaticData.Today=TODAY(),_xll.BDP(G14,"ASK"),_xll.BDH(G14,"ASK",StaticData.Today,StaticData.Today)))</f>
        <v>0.75</v>
      </c>
      <c r="L14" s="30">
        <f>IF(G14="","",IF(StaticData.Today=TODAY(),_xll.BDP(G14,"LAST_PRICE"),_xll.BDH(G14,"LAST_PRICE",StaticData.Today,StaticData.Today)))</f>
        <v>0.56999999999999995</v>
      </c>
      <c r="M14" s="27">
        <f t="shared" si="2"/>
        <v>5.6999999999999993E-3</v>
      </c>
      <c r="O14" s="24" t="str">
        <f>"HFFR0DJ"&amp;$O$1&amp;" Curncy"</f>
        <v>HFFR0DJ ICPL Curncy</v>
      </c>
      <c r="P14" s="25" t="s">
        <v>1158</v>
      </c>
      <c r="Q14" s="31" t="s">
        <v>1073</v>
      </c>
      <c r="R14" s="182">
        <f>IF(O14="","",IF(StaticData.Today=TODAY(),_xll.BDP(O14,"BID"),_xll.BDH(O14,"BID",StaticData.Today,StaticData.Today)))</f>
        <v>0.84</v>
      </c>
      <c r="S14" s="182">
        <f>IF(O14="","",IF(StaticData.Today=TODAY(),_xll.BDP(O14,"ASK"),_xll.BDH(O14,"ASK",StaticData.Today,StaticData.Today)))</f>
        <v>0.94</v>
      </c>
      <c r="T14" s="30">
        <f>IF(O14="","",IF(StaticData.Today=TODAY(),_xll.BDP(O14,"LAST_PRICE"),_xll.BDH(O14,"LAST_PRICE",StaticData.Today,StaticData.Today)))</f>
        <v>0.89</v>
      </c>
      <c r="U14" s="183">
        <f t="shared" si="14"/>
        <v>8.8999999999999999E-3</v>
      </c>
      <c r="W14" s="24" t="str">
        <f>"HFFR0I1"&amp;$O$1&amp;" Curncy"</f>
        <v>HFFR0I1 ICPL Curncy</v>
      </c>
      <c r="X14" s="8" t="s">
        <v>498</v>
      </c>
      <c r="Y14" s="30">
        <f>IF(T14="","",IF(StaticData.Today=TODAY(),_xll.BDP(W14,"LAST_PRICE"),_xll.BDH(W14,"LAST_PRICE",StaticData.Today,StaticData.Today)))</f>
        <v>0.96</v>
      </c>
      <c r="Z14" s="454">
        <f t="shared" si="13"/>
        <v>9.5999999999999992E-3</v>
      </c>
      <c r="AB14" s="24"/>
      <c r="AC14" s="25" t="s">
        <v>339</v>
      </c>
      <c r="AD14" s="26" t="str">
        <f>IF(AB14="","",IF(StaticData.Today=TODAY(),_xll.BDP(AB14,"LAST_PRICE"),_xll.BDH(AB14,"LAST_PRICE",StaticData.Today,StaticData.Today)))</f>
        <v/>
      </c>
      <c r="AE14" s="17">
        <v>2.9999999999999997E-4</v>
      </c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14" t="str">
        <f>"HFEBS8"&amp;$AL$2&amp;" Curncy"</f>
        <v>HFEBS8 ICPL Curncy</v>
      </c>
      <c r="AM14" s="25" t="s">
        <v>355</v>
      </c>
      <c r="AN14" s="31"/>
      <c r="AO14" s="29">
        <f>IF(AL14="","",IF(StaticData.Today=TODAY(),_xll.BDP(AL14,"BID"),_xll.BDH(AL14,"BID",StaticData.Today,StaticData.Today)))</f>
        <v>4.25</v>
      </c>
      <c r="AP14" s="29">
        <f>IF(AL14="","",IF(StaticData.Today=TODAY(),_xll.BDP(AL14,"ASK"),_xll.BDH(AL14,"ASK",StaticData.Today,StaticData.Today)))</f>
        <v>14.25</v>
      </c>
      <c r="AQ14" s="177">
        <f>IF(AL14="","",IF(StaticData.Today=TODAY(),_xll.BDP(AL14,"LAST_PRICE"),_xll.BDH(AL14,"LAST_PRICE",StaticData.Today,StaticData.Today)))</f>
        <v>9.25</v>
      </c>
      <c r="AR14" s="338">
        <f t="shared" si="8"/>
        <v>9.2500000000000004E-4</v>
      </c>
      <c r="AT14" s="24" t="str">
        <f t="shared" si="6"/>
        <v>USDHUF3M BGN Curncy</v>
      </c>
      <c r="AU14" s="25" t="s">
        <v>49</v>
      </c>
      <c r="AV14" s="31"/>
      <c r="AW14" s="177">
        <f>IF(AT14="","",IF(StaticData.Today=TODAY(),_xll.BDP(AT14,"BID"),_xll.BDH(AT14,"BID",StaticData.Today,StaticData.Today)))</f>
        <v>26.01</v>
      </c>
      <c r="AX14" s="177">
        <f>IF(AT14="","",IF(StaticData.Today=TODAY(),_xll.BDP(AT14,"ASK"),_xll.BDH(AT14,"ASK",StaticData.Today,StaticData.Today)))</f>
        <v>37.56</v>
      </c>
      <c r="AY14" s="177">
        <f>IF(AT14="","",IF(StaticData.Today=TODAY(),_xll.BDP(AT14,"LAST_PRICE"),_xll.BDH(AT14,"LAST_PRICE",StaticData.Today,StaticData.Today)))</f>
        <v>31.79</v>
      </c>
      <c r="AZ14" s="181">
        <f t="shared" si="15"/>
        <v>31.79</v>
      </c>
      <c r="BC14" s="390" t="s">
        <v>1352</v>
      </c>
      <c r="BD14" s="516">
        <f>_xll.meDateFromTenor($BD$7,BC14,"MF",$BD$6)</f>
        <v>45362</v>
      </c>
      <c r="BE14" s="517">
        <f t="shared" si="7"/>
        <v>182</v>
      </c>
      <c r="BF14" s="518">
        <f>_xll.meCurveDiscountFactorsForwardStarting($BD$7,BD14,"EURYC","EUR6ML")</f>
        <v>1.0162663913577592</v>
      </c>
      <c r="BG14" s="316">
        <f t="shared" si="9"/>
        <v>3.5809301853134214</v>
      </c>
      <c r="BH14" s="527">
        <f>_xll.meLWOSwapParSpread(_xll.meLWOXccySwapCreateFromGenerator("TEST","EUR_XCCY","PAy",$BD$7,BD14,1,1,"Float","Float",,,,,"USD",TRUE,"LEG2:FLOAT"),$BG$2:$BH$4)</f>
        <v>-13.245152633141624</v>
      </c>
      <c r="BI14" s="316">
        <f>_xll.meCurveDiscountFactorsForwardStarting($BD$7,HUF_DATA!BD14,"HUFYC","BUB6M")</f>
        <v>0.96116923325699877</v>
      </c>
      <c r="BJ14" s="316">
        <f t="shared" si="10"/>
        <v>3.4773906599768445</v>
      </c>
      <c r="BK14" s="530">
        <f t="shared" si="11"/>
        <v>-13.639527884800902</v>
      </c>
      <c r="BL14" s="535"/>
    </row>
    <row r="15" spans="1:65" x14ac:dyDescent="0.25">
      <c r="B15" s="21"/>
      <c r="C15" s="22"/>
      <c r="D15" s="22"/>
      <c r="E15" s="22"/>
      <c r="G15" s="24" t="str">
        <f>"HUFO01YR"&amp;G$1&amp;" Curncy"</f>
        <v>HUFO01YR BLC3 Curncy</v>
      </c>
      <c r="H15" s="25" t="s">
        <v>47</v>
      </c>
      <c r="I15" s="25"/>
      <c r="J15" s="187">
        <f>IF(G15="","",IF(StaticData.Today=TODAY(),_xll.BDP(G15,"BID"),_xll.BDH(G15,"BID",StaticData.Today,StaticData.Today)))</f>
        <v>0.57999999999999996</v>
      </c>
      <c r="K15" s="353">
        <f>IF(G15="","",IF(StaticData.Today=TODAY(),_xll.BDP(G15,"ASK"),_xll.BDH(G15,"ASK",StaticData.Today,StaticData.Today)))</f>
        <v>0.76</v>
      </c>
      <c r="L15" s="30">
        <f>IF(G15="","",IF(StaticData.Today=TODAY(),_xll.BDP(G15,"LAST_PRICE"),_xll.BDH(G15,"LAST_PRICE",StaticData.Today,StaticData.Today)))</f>
        <v>0.57999999999999996</v>
      </c>
      <c r="M15" s="27">
        <f>L15/100</f>
        <v>5.7999999999999996E-3</v>
      </c>
      <c r="O15" s="24" t="str">
        <f>"HFFR0EK"&amp;$O$1&amp;" Curncy"</f>
        <v>HFFR0EK ICPL Curncy</v>
      </c>
      <c r="P15" s="25" t="s">
        <v>1159</v>
      </c>
      <c r="Q15" s="31" t="s">
        <v>1074</v>
      </c>
      <c r="R15" s="182">
        <f>IF(O15="","",IF(StaticData.Today=TODAY(),_xll.BDP(O15,"BID"),_xll.BDH(O15,"BID",StaticData.Today,StaticData.Today)))</f>
        <v>0.88</v>
      </c>
      <c r="S15" s="182">
        <f>IF(O15="","",IF(StaticData.Today=TODAY(),_xll.BDP(O15,"ASK"),_xll.BDH(O15,"ASK",StaticData.Today,StaticData.Today)))</f>
        <v>0.98</v>
      </c>
      <c r="T15" s="30">
        <f>IF(O15="","",IF(StaticData.Today=TODAY(),_xll.BDP(O15,"LAST_PRICE"),_xll.BDH(O15,"LAST_PRICE",StaticData.Today,StaticData.Today)))</f>
        <v>0.93</v>
      </c>
      <c r="U15" s="183">
        <f t="shared" si="14"/>
        <v>9.300000000000001E-3</v>
      </c>
      <c r="W15" s="14" t="str">
        <f>"HFBSV1"&amp;$W$2&amp;" Curncy"</f>
        <v>HFBSV1 ICPL Curncy</v>
      </c>
      <c r="X15" s="15" t="s">
        <v>47</v>
      </c>
      <c r="Y15" s="190">
        <f>IF(W15="","",IF(StaticData.Today=TODAY(),_xll.BDP(W15,"LAST_PRICE"),_xll.BDH(W15,"LAST_PRICE",StaticData.Today,StaticData.Today)))</f>
        <v>0</v>
      </c>
      <c r="Z15" s="17">
        <f>Y15/10000</f>
        <v>0</v>
      </c>
      <c r="AB15" s="24"/>
      <c r="AC15" s="25" t="s">
        <v>342</v>
      </c>
      <c r="AD15" s="26" t="str">
        <f>IF(AB15="","",IF(StaticData.Today=TODAY(),_xll.BDP(AB15,"LAST_PRICE"),_xll.BDH(AB15,"LAST_PRICE",StaticData.Today,StaticData.Today)))</f>
        <v/>
      </c>
      <c r="AE15" s="17">
        <v>2.9999999999999997E-4</v>
      </c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14" t="str">
        <f>"HFEBS9"&amp;$AL$2&amp;" Curncy"</f>
        <v>HFEBS9 ICPL Curncy</v>
      </c>
      <c r="AM15" s="25" t="s">
        <v>364</v>
      </c>
      <c r="AN15" s="31"/>
      <c r="AO15" s="29">
        <f>IF(AL15="","",IF(StaticData.Today=TODAY(),_xll.BDP(AL15,"BID"),_xll.BDH(AL15,"BID",StaticData.Today,StaticData.Today)))</f>
        <v>4</v>
      </c>
      <c r="AP15" s="29">
        <f>IF(AL15="","",IF(StaticData.Today=TODAY(),_xll.BDP(AL15,"ASK"),_xll.BDH(AL15,"ASK",StaticData.Today,StaticData.Today)))</f>
        <v>14</v>
      </c>
      <c r="AQ15" s="177">
        <f>IF(AL15="","",IF(StaticData.Today=TODAY(),_xll.BDP(AL15,"LAST_PRICE"),_xll.BDH(AL15,"LAST_PRICE",StaticData.Today,StaticData.Today)))</f>
        <v>9</v>
      </c>
      <c r="AR15" s="338">
        <f t="shared" si="8"/>
        <v>8.9999999999999998E-4</v>
      </c>
      <c r="AT15" s="24" t="str">
        <f t="shared" si="6"/>
        <v>USDHUF6M BGN Curncy</v>
      </c>
      <c r="AU15" s="25" t="s">
        <v>46</v>
      </c>
      <c r="AV15" s="31"/>
      <c r="AW15" s="177">
        <f>IF(AT15="","",IF(StaticData.Today=TODAY(),_xll.BDP(AT15,"BID"),_xll.BDH(AT15,"BID",StaticData.Today,StaticData.Today)))</f>
        <v>35.14</v>
      </c>
      <c r="AX15" s="177">
        <f>IF(AT15="","",IF(StaticData.Today=TODAY(),_xll.BDP(AT15,"ASK"),_xll.BDH(AT15,"ASK",StaticData.Today,StaticData.Today)))</f>
        <v>82.39</v>
      </c>
      <c r="AY15" s="177">
        <f>IF(AT15="","",IF(StaticData.Today=TODAY(),_xll.BDP(AT15,"LAST_PRICE"),_xll.BDH(AT15,"LAST_PRICE",StaticData.Today,StaticData.Today)))</f>
        <v>58.76</v>
      </c>
      <c r="AZ15" s="181">
        <f t="shared" si="15"/>
        <v>58.76</v>
      </c>
      <c r="BC15" s="390" t="s">
        <v>1353</v>
      </c>
      <c r="BD15" s="516">
        <f>_xll.meDateFromTenor($BD$7,BC15,"MF",$BD$6)</f>
        <v>45546</v>
      </c>
      <c r="BE15" s="517">
        <f t="shared" si="7"/>
        <v>184</v>
      </c>
      <c r="BF15" s="518">
        <f>_xll.meCurveDiscountFactorsForwardStarting($BD$7,BD15,"EURYC","EUR6ML")</f>
        <v>1.0181802256229373</v>
      </c>
      <c r="BG15" s="316">
        <f t="shared" si="9"/>
        <v>4.1013334117429228</v>
      </c>
      <c r="BH15" s="527">
        <f>_xll.meLWOSwapParSpread(_xll.meLWOXccySwapCreateFromGenerator("TEST","EUR_XCCY","PAy",$BD$7,BD15,1,1,"Float","Float",,,,,"USD",TRUE,"LEG2:FLOAT"),$BG$2:$BH$4)</f>
        <v>-13.874999998609798</v>
      </c>
      <c r="BI15" s="316">
        <f>_xll.meCurveDiscountFactorsForwardStarting($BD$7,HUF_DATA!BD15,"HUFYC","BUB6M")</f>
        <v>0.95330234648644008</v>
      </c>
      <c r="BJ15" s="316">
        <f t="shared" si="10"/>
        <v>3.9646340815143581</v>
      </c>
      <c r="BK15" s="530">
        <f t="shared" si="11"/>
        <v>-14.353405613790006</v>
      </c>
      <c r="BL15" s="535">
        <f>HUF_DATA!AQ10</f>
        <v>9.75</v>
      </c>
      <c r="BM15" s="335">
        <f>BL15+BK15</f>
        <v>-4.6034056137900059</v>
      </c>
    </row>
    <row r="16" spans="1:65" x14ac:dyDescent="0.25">
      <c r="B16" s="21"/>
      <c r="C16" s="22"/>
      <c r="D16" s="22"/>
      <c r="E16" s="22"/>
      <c r="G16" s="344" t="s">
        <v>927</v>
      </c>
      <c r="H16" s="345" t="s">
        <v>47</v>
      </c>
      <c r="I16" s="345"/>
      <c r="J16" s="346"/>
      <c r="K16" s="354"/>
      <c r="L16" s="350"/>
      <c r="M16" s="348">
        <f>M15-EUR_DATA!M15</f>
        <v>1.09E-2</v>
      </c>
      <c r="N16" t="s">
        <v>567</v>
      </c>
      <c r="O16" s="24" t="str">
        <f>"HFFR0F1"&amp;$O$1&amp;" Curncy"</f>
        <v>HFFR0F1 ICPL Curncy</v>
      </c>
      <c r="P16" s="25" t="s">
        <v>1160</v>
      </c>
      <c r="Q16" s="31" t="s">
        <v>1075</v>
      </c>
      <c r="R16" s="182">
        <f>IF(O16="","",IF(StaticData.Today=TODAY(),_xll.BDP(O16,"BID"),_xll.BDH(O16,"BID",StaticData.Today,StaticData.Today)))</f>
        <v>0.91</v>
      </c>
      <c r="S16" s="182">
        <f>IF(O16="","",IF(StaticData.Today=TODAY(),_xll.BDP(O16,"ASK"),_xll.BDH(O16,"ASK",StaticData.Today,StaticData.Today)))</f>
        <v>1.01</v>
      </c>
      <c r="T16" s="30">
        <f>IF(O16="","",IF(StaticData.Today=TODAY(),_xll.BDP(O16,"LAST_PRICE"),_xll.BDH(O16,"LAST_PRICE",StaticData.Today,StaticData.Today)))</f>
        <v>0.96</v>
      </c>
      <c r="U16" s="183">
        <f t="shared" si="14"/>
        <v>9.5999999999999992E-3</v>
      </c>
      <c r="W16" s="24" t="str">
        <f>"HFBSV2"&amp;$W$2&amp;" Curncy"</f>
        <v>HFBSV2 ICPL Curncy</v>
      </c>
      <c r="X16" s="25" t="s">
        <v>308</v>
      </c>
      <c r="Y16" s="191">
        <f>IF(W16="","",IF(StaticData.Today=TODAY(),_xll.BDP(W16,"LAST_PRICE"),_xll.BDH(W16,"LAST_PRICE",StaticData.Today,StaticData.Today)))</f>
        <v>1.5</v>
      </c>
      <c r="Z16" s="27">
        <f>Y16/10000</f>
        <v>1.4999999999999999E-4</v>
      </c>
      <c r="AB16" s="24"/>
      <c r="AC16" s="25" t="s">
        <v>355</v>
      </c>
      <c r="AD16" s="26" t="str">
        <f>IF(AB16="","",IF(StaticData.Today=TODAY(),_xll.BDP(AB16,"LAST_PRICE"),_xll.BDH(AB16,"LAST_PRICE",StaticData.Today,StaticData.Today)))</f>
        <v/>
      </c>
      <c r="AE16" s="17">
        <v>2.9999999999999997E-4</v>
      </c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14" t="str">
        <f>"HFEBS10"&amp;$AL$2&amp;" Curncy"</f>
        <v>HFEBS10 ICPL Curncy</v>
      </c>
      <c r="AM16" s="25" t="s">
        <v>349</v>
      </c>
      <c r="AN16" s="31"/>
      <c r="AO16" s="29">
        <f>IF(AL16="","",IF(StaticData.Today=TODAY(),_xll.BDP(AL16,"BID"),_xll.BDH(AL16,"BID",StaticData.Today,StaticData.Today)))</f>
        <v>3.75</v>
      </c>
      <c r="AP16" s="29">
        <f>IF(AL16="","",IF(StaticData.Today=TODAY(),_xll.BDP(AL16,"ASK"),_xll.BDH(AL16,"ASK",StaticData.Today,StaticData.Today)))</f>
        <v>13.75</v>
      </c>
      <c r="AQ16" s="177">
        <f>IF(AL16="","",IF(StaticData.Today=TODAY(),_xll.BDP(AL16,"LAST_PRICE"),_xll.BDH(AL16,"LAST_PRICE",StaticData.Today,StaticData.Today)))</f>
        <v>8.75</v>
      </c>
      <c r="AR16" s="338">
        <f t="shared" si="8"/>
        <v>8.7500000000000002E-4</v>
      </c>
      <c r="AT16" s="24" t="str">
        <f t="shared" si="6"/>
        <v>USDHUF9M BGN Curncy</v>
      </c>
      <c r="AU16" s="25" t="s">
        <v>376</v>
      </c>
      <c r="AV16" s="31"/>
      <c r="AW16" s="177">
        <f>IF(AT16="","",IF(StaticData.Today=TODAY(),_xll.BDP(AT16,"BID"),_xll.BDH(AT16,"BID",StaticData.Today,StaticData.Today)))</f>
        <v>83.74</v>
      </c>
      <c r="AX16" s="177">
        <f>IF(AT16="","",IF(StaticData.Today=TODAY(),_xll.BDP(AT16,"ASK"),_xll.BDH(AT16,"ASK",StaticData.Today,StaticData.Today)))</f>
        <v>123.97</v>
      </c>
      <c r="AY16" s="177">
        <f>IF(AT16="","",IF(StaticData.Today=TODAY(),_xll.BDP(AT16,"LAST_PRICE"),_xll.BDH(AT16,"LAST_PRICE",StaticData.Today,StaticData.Today)))</f>
        <v>103.85</v>
      </c>
      <c r="AZ16" s="181">
        <f t="shared" si="15"/>
        <v>103.85</v>
      </c>
      <c r="BC16" s="390" t="s">
        <v>1354</v>
      </c>
      <c r="BD16" s="516">
        <f>_xll.meDateFromTenor($BD$7,BC16,"MF",$BD$6)</f>
        <v>45727</v>
      </c>
      <c r="BE16" s="517">
        <f t="shared" si="7"/>
        <v>181</v>
      </c>
      <c r="BF16" s="518">
        <f>_xll.meCurveDiscountFactorsForwardStarting($BD$7,BD16,"EURYC","EUR6ML")</f>
        <v>1.0199062528845004</v>
      </c>
      <c r="BG16" s="316">
        <f t="shared" si="9"/>
        <v>4.6141196111098521</v>
      </c>
      <c r="BH16" s="527">
        <f>_xll.meLWOSwapParSpread(_xll.meLWOXccySwapCreateFromGenerator("TEST","EUR_XCCY","PAy",$BD$7,BD16,1,1,"Float","Float",,,,,"USD",TRUE,"LEG2:FLOAT"),$BG$2:$BH$4)</f>
        <v>-14.476443722283964</v>
      </c>
      <c r="BI16" s="316">
        <f>_xll.meCurveDiscountFactorsForwardStarting($BD$7,HUF_DATA!BD16,"HUFYC","BUB6M")</f>
        <v>0.94511431184778616</v>
      </c>
      <c r="BJ16" s="316">
        <f t="shared" si="10"/>
        <v>4.4398165549711619</v>
      </c>
      <c r="BK16" s="530">
        <f t="shared" si="11"/>
        <v>-15.044775398057499</v>
      </c>
      <c r="BL16" s="535"/>
    </row>
    <row r="17" spans="2:65" x14ac:dyDescent="0.25">
      <c r="B17" s="34"/>
      <c r="C17" s="35"/>
      <c r="D17" s="35"/>
      <c r="E17" s="35"/>
      <c r="G17" s="24"/>
      <c r="H17" s="25" t="s">
        <v>308</v>
      </c>
      <c r="I17" s="25"/>
      <c r="J17" s="187"/>
      <c r="K17" s="353"/>
      <c r="L17" s="30"/>
      <c r="M17" s="27">
        <f>EUR_DATA!M17+$M$16</f>
        <v>5.5299999999999993E-3</v>
      </c>
      <c r="O17" s="24" t="str">
        <f>"HFSW1"&amp;$O$2&amp;" Curncy"</f>
        <v>HFSW1 TPRA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0.77</v>
      </c>
      <c r="S17" s="182">
        <f>IF(O17="","",IF(StaticData.Today=TODAY(),_xll.BDP(O17,"ASK"),_xll.BDH(O17,"ASK",StaticData.Today,StaticData.Today)))</f>
        <v>0.81</v>
      </c>
      <c r="T17" s="30">
        <f>IF(O17="","",IF(StaticData.Today=TODAY(),_xll.BDP(O17,"LAST_PRICE"),_xll.BDH(O17,"LAST_PRICE",StaticData.Today,StaticData.Today)))</f>
        <v>0.79</v>
      </c>
      <c r="U17" s="183">
        <f t="shared" si="14"/>
        <v>7.9000000000000008E-3</v>
      </c>
      <c r="W17" s="24" t="str">
        <f>"HFBSV3"&amp;$W$2&amp;" Curncy"</f>
        <v>HFBSV3 ICPL Curncy</v>
      </c>
      <c r="X17" s="25" t="s">
        <v>316</v>
      </c>
      <c r="Y17" s="191">
        <f>IF(W17="","",IF(StaticData.Today=TODAY(),_xll.BDP(W17,"LAST_PRICE"),_xll.BDH(W17,"LAST_PRICE",StaticData.Today,StaticData.Today)))</f>
        <v>1</v>
      </c>
      <c r="Z17" s="27">
        <f t="shared" ref="Z17:Z27" si="16">Y17/10000</f>
        <v>1E-4</v>
      </c>
      <c r="AB17" s="24"/>
      <c r="AC17" s="25" t="s">
        <v>364</v>
      </c>
      <c r="AD17" s="26" t="str">
        <f>IF(AB17="","",IF(StaticData.Today=TODAY(),_xll.BDP(AB17,"LAST_PRICE"),_xll.BDH(AB17,"LAST_PRICE",StaticData.Today,StaticData.Today)))</f>
        <v/>
      </c>
      <c r="AE17" s="17">
        <v>2.9999999999999997E-4</v>
      </c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14" t="str">
        <f>"HFEBS12"&amp;$AL$2&amp;" Curncy"</f>
        <v>HFEBS12 ICPL Curncy</v>
      </c>
      <c r="AM17" s="25" t="s">
        <v>358</v>
      </c>
      <c r="AN17" s="31"/>
      <c r="AO17" s="29">
        <f>IF(AL17="","",IF(StaticData.Today=TODAY(),_xll.BDP(AL17,"BID"),_xll.BDH(AL17,"BID",StaticData.Today,StaticData.Today)))</f>
        <v>3.3</v>
      </c>
      <c r="AP17" s="29">
        <f>IF(AL17="","",IF(StaticData.Today=TODAY(),_xll.BDP(AL17,"ASK"),_xll.BDH(AL17,"ASK",StaticData.Today,StaticData.Today)))</f>
        <v>13.3</v>
      </c>
      <c r="AQ17" s="177">
        <f>IF(AL17="","",IF(StaticData.Today=TODAY(),_xll.BDP(AL17,"LAST_PRICE"),_xll.BDH(AL17,"LAST_PRICE",StaticData.Today,StaticData.Today)))</f>
        <v>8.3000000000000007</v>
      </c>
      <c r="AR17" s="338">
        <f t="shared" si="8"/>
        <v>8.3000000000000012E-4</v>
      </c>
      <c r="AT17" s="24" t="str">
        <f t="shared" si="6"/>
        <v>USDHUF12M BGN Curncy</v>
      </c>
      <c r="AU17" s="25" t="s">
        <v>322</v>
      </c>
      <c r="AV17" s="31"/>
      <c r="AW17" s="177">
        <f>IF(AT17="","",IF(StaticData.Today=TODAY(),_xll.BDP(AT17,"BID"),_xll.BDH(AT17,"BID",StaticData.Today,StaticData.Today)))</f>
        <v>144</v>
      </c>
      <c r="AX17" s="177">
        <f>IF(AT17="","",IF(StaticData.Today=TODAY(),_xll.BDP(AT17,"ASK"),_xll.BDH(AT17,"ASK",StaticData.Today,StaticData.Today)))</f>
        <v>192.78</v>
      </c>
      <c r="AY17" s="177">
        <f>IF(AT17="","",IF(StaticData.Today=TODAY(),_xll.BDP(AT17,"LAST_PRICE"),_xll.BDH(AT17,"LAST_PRICE",StaticData.Today,StaticData.Today)))</f>
        <v>168.39</v>
      </c>
      <c r="AZ17" s="181">
        <f t="shared" si="15"/>
        <v>168.39</v>
      </c>
      <c r="BC17" s="563" t="s">
        <v>1355</v>
      </c>
      <c r="BD17" s="553">
        <f>_xll.meDateFromTenor($BD$7,BC17,"MF",$BD$6)</f>
        <v>45911</v>
      </c>
      <c r="BE17" s="564">
        <f t="shared" si="7"/>
        <v>184</v>
      </c>
      <c r="BF17" s="555">
        <f>_xll.meCurveDiscountFactorsForwardStarting($BD$7,BD17,"EURYC","EUR6ML")</f>
        <v>1.0214532542279098</v>
      </c>
      <c r="BG17" s="316">
        <f t="shared" si="9"/>
        <v>5.1361957188263396</v>
      </c>
      <c r="BH17" s="527">
        <f>_xll.meLWOSwapParSpread(_xll.meLWOXccySwapCreateFromGenerator("TEST","EUR_XCCY","PAy",$BD$7,BD17,1,1,"Float","Float",,,,,"USD",TRUE,"LEG2:FLOAT"),$BG$2:$BH$4)</f>
        <v>-15.124999999334676</v>
      </c>
      <c r="BI17" s="316">
        <f>_xll.meCurveDiscountFactorsForwardStarting($BD$7,HUF_DATA!BD17,"HUFYC","BUB6M")</f>
        <v>0.93637702104625875</v>
      </c>
      <c r="BJ17" s="316">
        <f t="shared" si="10"/>
        <v>4.9184092546170275</v>
      </c>
      <c r="BK17" s="530">
        <f t="shared" si="11"/>
        <v>-15.794732854104494</v>
      </c>
      <c r="BL17" s="568">
        <f>HUF_DATA!AQ11</f>
        <v>10</v>
      </c>
      <c r="BM17" s="569">
        <f>BL17+BK17</f>
        <v>-5.7947328541044936</v>
      </c>
    </row>
    <row r="18" spans="2:65" x14ac:dyDescent="0.25">
      <c r="B18" s="36"/>
      <c r="C18" s="36"/>
      <c r="D18" s="36"/>
      <c r="E18" s="36"/>
      <c r="G18" s="24"/>
      <c r="H18" s="25" t="s">
        <v>316</v>
      </c>
      <c r="I18" s="25"/>
      <c r="J18" s="25"/>
      <c r="K18" s="355"/>
      <c r="L18" s="30"/>
      <c r="M18" s="27">
        <f>EUR_DATA!M18+$M$16</f>
        <v>5.4399999999999995E-3</v>
      </c>
      <c r="O18" s="24" t="str">
        <f>"HFSW2"&amp;$O$2&amp;" Curncy"</f>
        <v>HFSW2 TPRA Curncy</v>
      </c>
      <c r="P18" s="25" t="s">
        <v>308</v>
      </c>
      <c r="Q18" s="31"/>
      <c r="R18" s="182">
        <f>IF(O18="","",IF(StaticData.Today=TODAY(),_xll.BDP(O18,"BID"),_xll.BDH(O18,"BID",StaticData.Today,StaticData.Today)))</f>
        <v>0.92</v>
      </c>
      <c r="S18" s="182">
        <f>IF(O18="","",IF(StaticData.Today=TODAY(),_xll.BDP(O18,"ASK"),_xll.BDH(O18,"ASK",StaticData.Today,StaticData.Today)))</f>
        <v>0.96</v>
      </c>
      <c r="T18" s="30">
        <f>IF(O18="","",IF(StaticData.Today=TODAY(),_xll.BDP(O18,"LAST_PRICE"),_xll.BDH(O18,"LAST_PRICE",StaticData.Today,StaticData.Today)))</f>
        <v>0.94</v>
      </c>
      <c r="U18" s="183">
        <f t="shared" si="14"/>
        <v>9.3999999999999986E-3</v>
      </c>
      <c r="W18" s="24" t="str">
        <f>"HFBSV4"&amp;$W$2&amp;" Curncy"</f>
        <v>HFBSV4 ICPL Curncy</v>
      </c>
      <c r="X18" s="25" t="s">
        <v>324</v>
      </c>
      <c r="Y18" s="191">
        <f>IF(W18="","",IF(StaticData.Today=TODAY(),_xll.BDP(W18,"LAST_PRICE"),_xll.BDH(W18,"LAST_PRICE",StaticData.Today,StaticData.Today)))</f>
        <v>1</v>
      </c>
      <c r="Z18" s="27">
        <f t="shared" si="16"/>
        <v>1E-4</v>
      </c>
      <c r="AB18" s="24"/>
      <c r="AC18" s="25" t="s">
        <v>349</v>
      </c>
      <c r="AD18" s="26" t="str">
        <f>IF(AB18="","",IF(StaticData.Today=TODAY(),_xll.BDP(AB18,"LAST_PRICE"),_xll.BDH(AB18,"LAST_PRICE",StaticData.Today,StaticData.Today)))</f>
        <v/>
      </c>
      <c r="AE18" s="17">
        <v>2.9999999999999997E-4</v>
      </c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14" t="str">
        <f>"HFEBS15"&amp;$AL$2&amp;" Curncy"</f>
        <v>HFEBS15 ICPL Curncy</v>
      </c>
      <c r="AM18" s="25" t="s">
        <v>367</v>
      </c>
      <c r="AN18" s="31"/>
      <c r="AO18" s="29">
        <f>IF(AL18="","",IF(StaticData.Today=TODAY(),_xll.BDP(AL18,"BID"),_xll.BDH(AL18,"BID",StaticData.Today,StaticData.Today)))</f>
        <v>2.8</v>
      </c>
      <c r="AP18" s="29">
        <f>IF(AL18="","",IF(StaticData.Today=TODAY(),_xll.BDP(AL18,"ASK"),_xll.BDH(AL18,"ASK",StaticData.Today,StaticData.Today)))</f>
        <v>12.8</v>
      </c>
      <c r="AQ18" s="177">
        <f>IF(AL18="","",IF(StaticData.Today=TODAY(),_xll.BDP(AL18,"LAST_PRICE"),_xll.BDH(AL18,"LAST_PRICE",StaticData.Today,StaticData.Today)))</f>
        <v>7.8</v>
      </c>
      <c r="AR18" s="338">
        <f t="shared" si="8"/>
        <v>7.7999999999999999E-4</v>
      </c>
      <c r="AT18" s="24" t="str">
        <f t="shared" si="6"/>
        <v>USDHUF2Y BGN Curncy</v>
      </c>
      <c r="AU18" s="25" t="s">
        <v>308</v>
      </c>
      <c r="AV18" s="31"/>
      <c r="AW18" s="177">
        <f>IF(AT18="","",IF(StaticData.Today=TODAY(),_xll.BDP(AT18,"BID"),_xll.BDH(AT18,"BID",StaticData.Today,StaticData.Today)))</f>
        <v>317.17</v>
      </c>
      <c r="AX18" s="177">
        <f>IF(AT18="","",IF(StaticData.Today=TODAY(),_xll.BDP(AT18,"ASK"),_xll.BDH(AT18,"ASK",StaticData.Today,StaticData.Today)))</f>
        <v>465.54</v>
      </c>
      <c r="AY18" s="177">
        <f>IF(AT18="","",IF(StaticData.Today=TODAY(),_xll.BDP(AT18,"LAST_PRICE"),_xll.BDH(AT18,"LAST_PRICE",StaticData.Today,StaticData.Today)))</f>
        <v>391.36</v>
      </c>
      <c r="AZ18" s="181">
        <f t="shared" si="15"/>
        <v>391.36</v>
      </c>
      <c r="BC18" s="390" t="s">
        <v>1356</v>
      </c>
      <c r="BD18" s="516">
        <f>_xll.meDateFromTenor($BD$7,BC18,"MF",$BD$6)</f>
        <v>46092</v>
      </c>
      <c r="BE18" s="517">
        <f t="shared" si="7"/>
        <v>181</v>
      </c>
      <c r="BF18" s="518">
        <f>_xll.meCurveDiscountFactorsForwardStarting($BD$7,BD18,"EURYC","EUR6ML")</f>
        <v>1.0227139802243397</v>
      </c>
      <c r="BG18" s="316">
        <f t="shared" si="9"/>
        <v>5.6503935811057993</v>
      </c>
      <c r="BH18" s="527">
        <f>_xll.meLWOSwapParSpread(_xll.meLWOXccySwapCreateFromGenerator("TEST","EUR_XCCY","PAy",$BD$7,BD18,1,1,"Float","Float",,,,,"USD",TRUE,"LEG2:FLOAT"),$BG$2:$BH$4)</f>
        <v>-15.823109129663292</v>
      </c>
      <c r="BI18" s="316">
        <f>_xll.meCurveDiscountFactorsForwardStarting($BD$7,HUF_DATA!BD18,"HUFYC","BUB6M")</f>
        <v>0.92742656945770008</v>
      </c>
      <c r="BJ18" s="316">
        <f t="shared" si="10"/>
        <v>5.384698724261038</v>
      </c>
      <c r="BK18" s="530">
        <f t="shared" si="11"/>
        <v>-16.603861949891293</v>
      </c>
      <c r="BL18" s="535"/>
    </row>
    <row r="19" spans="2:65" x14ac:dyDescent="0.25">
      <c r="B19" s="36"/>
      <c r="C19" s="36"/>
      <c r="D19" s="36"/>
      <c r="E19" s="36"/>
      <c r="G19" s="24"/>
      <c r="H19" s="25" t="s">
        <v>324</v>
      </c>
      <c r="I19" s="25"/>
      <c r="J19" s="25"/>
      <c r="K19" s="355"/>
      <c r="L19" s="30"/>
      <c r="M19" s="27">
        <f>EUR_DATA!M19+$M$16</f>
        <v>5.5099999999999993E-3</v>
      </c>
      <c r="O19" s="24" t="str">
        <f>"HFSW3"&amp;$O$2&amp;" Curncy"</f>
        <v>HFSW3 TPRA Curncy</v>
      </c>
      <c r="P19" s="25" t="s">
        <v>316</v>
      </c>
      <c r="Q19" s="31"/>
      <c r="R19" s="182">
        <f>IF(O19="","",IF(StaticData.Today=TODAY(),_xll.BDP(O19,"BID"),_xll.BDH(O19,"BID",StaticData.Today,StaticData.Today)))</f>
        <v>1.0549999999999999</v>
      </c>
      <c r="S19" s="182">
        <f>IF(O19="","",IF(StaticData.Today=TODAY(),_xll.BDP(O19,"ASK"),_xll.BDH(O19,"ASK",StaticData.Today,StaticData.Today)))</f>
        <v>1.095</v>
      </c>
      <c r="T19" s="30">
        <f>IF(O19="","",IF(StaticData.Today=TODAY(),_xll.BDP(O19,"LAST_PRICE"),_xll.BDH(O19,"LAST_PRICE",StaticData.Today,StaticData.Today)))</f>
        <v>1.075</v>
      </c>
      <c r="U19" s="183">
        <f t="shared" si="14"/>
        <v>1.0749999999999999E-2</v>
      </c>
      <c r="W19" s="24" t="str">
        <f>"HFBSV5"&amp;$W$2&amp;" Curncy"</f>
        <v>HFBSV5 ICPL Curncy</v>
      </c>
      <c r="X19" s="25" t="s">
        <v>331</v>
      </c>
      <c r="Y19" s="191">
        <f>IF(W19="","",IF(StaticData.Today=TODAY(),_xll.BDP(W19,"LAST_PRICE"),_xll.BDH(W19,"LAST_PRICE",StaticData.Today,StaticData.Today)))</f>
        <v>1</v>
      </c>
      <c r="Z19" s="27">
        <f t="shared" si="16"/>
        <v>1E-4</v>
      </c>
      <c r="AB19" s="24"/>
      <c r="AC19" s="25" t="s">
        <v>358</v>
      </c>
      <c r="AD19" s="26" t="str">
        <f>IF(AB19="","",IF(StaticData.Today=TODAY(),_xll.BDP(AB19,"LAST_PRICE"),_xll.BDH(AB19,"LAST_PRICE",StaticData.Today,StaticData.Today)))</f>
        <v/>
      </c>
      <c r="AE19" s="17">
        <v>2.9999999999999997E-4</v>
      </c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14" t="str">
        <f>"HFEBS20"&amp;$AL$2&amp;" Curncy"</f>
        <v>HFEBS20 ICPL Curncy</v>
      </c>
      <c r="AM19" s="25" t="s">
        <v>374</v>
      </c>
      <c r="AN19" s="28"/>
      <c r="AO19" s="29">
        <f>IF(AL19="","",IF(StaticData.Today=TODAY(),_xll.BDP(AL19,"BID"),_xll.BDH(AL19,"BID",StaticData.Today,StaticData.Today)))</f>
        <v>2.2999999999999998</v>
      </c>
      <c r="AP19" s="29">
        <f>IF(AL19="","",IF(StaticData.Today=TODAY(),_xll.BDP(AL19,"ASK"),_xll.BDH(AL19,"ASK",StaticData.Today,StaticData.Today)))</f>
        <v>12.3</v>
      </c>
      <c r="AQ19" s="177">
        <f>IF(AL19="","",IF(StaticData.Today=TODAY(),_xll.BDP(AL19,"LAST_PRICE"),_xll.BDH(AL19,"LAST_PRICE",StaticData.Today,StaticData.Today)))</f>
        <v>7.3</v>
      </c>
      <c r="AR19" s="338">
        <f t="shared" si="8"/>
        <v>7.2999999999999996E-4</v>
      </c>
      <c r="AT19" s="24" t="str">
        <f t="shared" si="6"/>
        <v>USDHUF3Y BGN Curncy</v>
      </c>
      <c r="AU19" s="25" t="s">
        <v>316</v>
      </c>
      <c r="AV19" s="28"/>
      <c r="AW19" s="177">
        <f>IF(AT19="","",IF(StaticData.Today=TODAY(),_xll.BDP(AT19,"BID"),_xll.BDH(AT19,"BID",StaticData.Today,StaticData.Today)))</f>
        <v>717.57</v>
      </c>
      <c r="AX19" s="177">
        <f>IF(AT19="","",IF(StaticData.Today=TODAY(),_xll.BDP(AT19,"ASK"),_xll.BDH(AT19,"ASK",StaticData.Today,StaticData.Today)))</f>
        <v>815.81</v>
      </c>
      <c r="AY19" s="177">
        <f>IF(AT19="","",IF(StaticData.Today=TODAY(),_xll.BDP(AT19,"LAST_PRICE"),_xll.BDH(AT19,"LAST_PRICE",StaticData.Today,StaticData.Today)))</f>
        <v>766.69</v>
      </c>
      <c r="AZ19" s="181">
        <f t="shared" ref="AZ19:AZ21" si="17">AY19</f>
        <v>766.69</v>
      </c>
      <c r="BC19" s="390" t="s">
        <v>1357</v>
      </c>
      <c r="BD19" s="516">
        <f>_xll.meDateFromTenor($BD$7,BC19,"MF",$BD$6)</f>
        <v>46276</v>
      </c>
      <c r="BE19" s="517">
        <f t="shared" si="7"/>
        <v>184</v>
      </c>
      <c r="BF19" s="518">
        <f>_xll.meCurveDiscountFactorsForwardStarting($BD$7,BD19,"EURYC","EUR6ML")</f>
        <v>1.0237195718047027</v>
      </c>
      <c r="BG19" s="316">
        <f t="shared" si="9"/>
        <v>6.1736280289170917</v>
      </c>
      <c r="BH19" s="527">
        <f>_xll.meLWOSwapParSpread(_xll.meLWOXccySwapCreateFromGenerator("TEST","EUR_XCCY","PAy",$BD$7,BD19,1,1,"Float","Float",,,,,"USD",TRUE,"LEG2:FLOAT"),$BG$2:$BH$4)</f>
        <v>-16.499999999675289</v>
      </c>
      <c r="BI19" s="316">
        <f>_xll.meCurveDiscountFactorsForwardStarting($BD$7,HUF_DATA!BD19,"HUFYC","BUB6M")</f>
        <v>0.91810885276266607</v>
      </c>
      <c r="BJ19" s="316">
        <f t="shared" si="10"/>
        <v>5.8539543601175117</v>
      </c>
      <c r="BK19" s="530">
        <f t="shared" si="11"/>
        <v>-17.401034618432274</v>
      </c>
      <c r="BL19" s="535">
        <f>HUF_DATA!AQ12</f>
        <v>9.75</v>
      </c>
      <c r="BM19" s="335">
        <f>BL19+BK19</f>
        <v>-7.6510346184322735</v>
      </c>
    </row>
    <row r="20" spans="2:65" x14ac:dyDescent="0.25">
      <c r="B20" s="36"/>
      <c r="C20" s="36"/>
      <c r="D20" s="36"/>
      <c r="E20" s="36"/>
      <c r="G20" s="24"/>
      <c r="H20" s="25" t="s">
        <v>331</v>
      </c>
      <c r="I20" s="25"/>
      <c r="J20" s="187"/>
      <c r="K20" s="353"/>
      <c r="L20" s="30"/>
      <c r="M20" s="27">
        <f>EUR_DATA!M20+$M$16</f>
        <v>5.7000000000000002E-3</v>
      </c>
      <c r="O20" s="24" t="str">
        <f>"HFSW4"&amp;$O$2&amp;" Curncy"</f>
        <v>HFSW4 TPRA Curncy</v>
      </c>
      <c r="P20" s="25" t="s">
        <v>324</v>
      </c>
      <c r="Q20" s="28"/>
      <c r="R20" s="29">
        <f>IF(O20="","",IF(StaticData.Today=TODAY(),_xll.BDP(O20,"BID"),_xll.BDH(O20,"BID",StaticData.Today,StaticData.Today)))</f>
        <v>1.18</v>
      </c>
      <c r="S20" s="29">
        <f>IF(O20="","",IF(StaticData.Today=TODAY(),_xll.BDP(O20,"ASK"),_xll.BDH(O20,"ASK",StaticData.Today,StaticData.Today)))</f>
        <v>1.22</v>
      </c>
      <c r="T20" s="30">
        <f>IF(O20="","",IF(StaticData.Today=TODAY(),_xll.BDP(O20,"LAST_PRICE"),_xll.BDH(O20,"LAST_PRICE",StaticData.Today,StaticData.Today)))</f>
        <v>1.2</v>
      </c>
      <c r="U20" s="183">
        <f t="shared" si="14"/>
        <v>1.2E-2</v>
      </c>
      <c r="W20" s="24" t="str">
        <f>"HFBSV6"&amp;$W$2&amp;" Curncy"</f>
        <v>HFBSV6 ICPL Curncy</v>
      </c>
      <c r="X20" s="25" t="s">
        <v>339</v>
      </c>
      <c r="Y20" s="191">
        <f>IF(W20="","",IF(StaticData.Today=TODAY(),_xll.BDP(W20,"LAST_PRICE"),_xll.BDH(W20,"LAST_PRICE",StaticData.Today,StaticData.Today)))</f>
        <v>1</v>
      </c>
      <c r="Z20" s="27">
        <f t="shared" si="16"/>
        <v>1E-4</v>
      </c>
      <c r="AB20" s="24"/>
      <c r="AC20" s="25" t="s">
        <v>367</v>
      </c>
      <c r="AD20" s="26" t="str">
        <f>IF(AB20="","",IF(StaticData.Today=TODAY(),_xll.BDP(AB20,"LAST_PRICE"),_xll.BDH(AB20,"LAST_PRICE",StaticData.Today,StaticData.Today)))</f>
        <v/>
      </c>
      <c r="AE20" s="17">
        <v>2.9999999999999997E-4</v>
      </c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6"/>
        <v>USDHUF4Y BGN Curncy</v>
      </c>
      <c r="AU20" s="25" t="s">
        <v>324</v>
      </c>
      <c r="AV20" s="28"/>
      <c r="AW20" s="177" t="str">
        <f>IF(AT20="","",IF(StaticData.Today=TODAY(),_xll.BDP(AT20,"BID"),_xll.BDH(AT20,"BID",StaticData.Today,StaticData.Today)))</f>
        <v>#N/A N/A</v>
      </c>
      <c r="AX20" s="177" t="str">
        <f>IF(AT20="","",IF(StaticData.Today=TODAY(),_xll.BDP(AT20,"ASK"),_xll.BDH(AT20,"ASK",StaticData.Today,StaticData.Today)))</f>
        <v>#N/A N/A</v>
      </c>
      <c r="AY20" s="177" t="str">
        <f>IF(AT20="","",IF(StaticData.Today=TODAY(),_xll.BDP(AT20,"LAST_PRICE"),_xll.BDH(AT20,"LAST_PRICE",StaticData.Today,StaticData.Today)))</f>
        <v>#N/A N/A</v>
      </c>
      <c r="AZ20" s="181" t="str">
        <f t="shared" si="17"/>
        <v>#N/A N/A</v>
      </c>
      <c r="BC20" s="390" t="s">
        <v>1358</v>
      </c>
      <c r="BD20" s="516">
        <f>_xll.meDateFromTenor($BD$7,BC20,"MF",$BD$6)</f>
        <v>46457</v>
      </c>
      <c r="BE20" s="517">
        <f t="shared" si="7"/>
        <v>181</v>
      </c>
      <c r="BF20" s="518">
        <f>_xll.meCurveDiscountFactorsForwardStarting($BD$7,BD20,"EURYC","EUR6ML")</f>
        <v>1.0244375660916498</v>
      </c>
      <c r="BG20" s="316">
        <f t="shared" si="9"/>
        <v>6.6886924718687268</v>
      </c>
      <c r="BH20" s="527">
        <f>_xll.meLWOSwapParSpread(_xll.meLWOXccySwapCreateFromGenerator("TEST","EUR_XCCY","PAy",$BD$7,BD20,1,1,"Float","Float",,,,,"USD",TRUE,"LEG2:FLOAT"),$BG$2:$BH$4)</f>
        <v>-17.046157079825292</v>
      </c>
      <c r="BI20" s="316">
        <f>_xll.meCurveDiscountFactorsForwardStarting($BD$7,HUF_DATA!BD20,"HUFYC","BUB6M")</f>
        <v>0.9088346964012326</v>
      </c>
      <c r="BJ20" s="316">
        <f t="shared" si="10"/>
        <v>6.3108962491414644</v>
      </c>
      <c r="BK20" s="530">
        <f t="shared" si="11"/>
        <v>-18.066610198136289</v>
      </c>
      <c r="BL20" s="535"/>
    </row>
    <row r="21" spans="2:65" x14ac:dyDescent="0.25">
      <c r="B21" s="36"/>
      <c r="C21" s="36"/>
      <c r="D21" s="36"/>
      <c r="E21" s="36"/>
      <c r="G21" s="24"/>
      <c r="H21" s="25" t="s">
        <v>339</v>
      </c>
      <c r="I21" s="25"/>
      <c r="J21" s="187"/>
      <c r="K21" s="353"/>
      <c r="L21" s="30"/>
      <c r="M21" s="27">
        <f>EUR_DATA!M21+$M$16</f>
        <v>6.0000000000000001E-3</v>
      </c>
      <c r="O21" s="24" t="str">
        <f>"HFSW5"&amp;$O$2&amp;" Curncy"</f>
        <v>HFSW5 TPRA Curncy</v>
      </c>
      <c r="P21" s="25" t="s">
        <v>331</v>
      </c>
      <c r="Q21" s="28"/>
      <c r="R21" s="29">
        <f>IF(O21="","",IF(StaticData.Today=TODAY(),_xll.BDP(O21,"BID"),_xll.BDH(O21,"BID",StaticData.Today,StaticData.Today)))</f>
        <v>1.3</v>
      </c>
      <c r="S21" s="29">
        <f>IF(O21="","",IF(StaticData.Today=TODAY(),_xll.BDP(O21,"ASK"),_xll.BDH(O21,"ASK",StaticData.Today,StaticData.Today)))</f>
        <v>1.34</v>
      </c>
      <c r="T21" s="30">
        <f>IF(O21="","",IF(StaticData.Today=TODAY(),_xll.BDP(O21,"LAST_PRICE"),_xll.BDH(O21,"LAST_PRICE",StaticData.Today,StaticData.Today)))</f>
        <v>1.32</v>
      </c>
      <c r="U21" s="183">
        <f t="shared" si="14"/>
        <v>1.32E-2</v>
      </c>
      <c r="W21" s="24" t="str">
        <f>"HFBSV7"&amp;$W$2&amp;" Curncy"</f>
        <v>HFBSV7 ICPL Curncy</v>
      </c>
      <c r="X21" s="25" t="s">
        <v>342</v>
      </c>
      <c r="Y21" s="191">
        <f>IF(W21="","",IF(StaticData.Today=TODAY(),_xll.BDP(W21,"LAST_PRICE"),_xll.BDH(W21,"LAST_PRICE",StaticData.Today,StaticData.Today)))</f>
        <v>1</v>
      </c>
      <c r="Z21" s="27">
        <f t="shared" si="16"/>
        <v>1E-4</v>
      </c>
      <c r="AB21" s="24"/>
      <c r="AC21" s="25" t="s">
        <v>374</v>
      </c>
      <c r="AD21" s="26" t="str">
        <f>IF(AB21="","",IF(StaticData.Today=TODAY(),_xll.BDP(AB21,"LAST_PRICE"),_xll.BDH(AB21,"LAST_PRICE",StaticData.Today,StaticData.Today)))</f>
        <v/>
      </c>
      <c r="AE21" s="17">
        <v>2.9999999999999997E-4</v>
      </c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14" t="s">
        <v>1417</v>
      </c>
      <c r="AM21" s="15" t="s">
        <v>47</v>
      </c>
      <c r="AN21" s="18"/>
      <c r="AO21" s="19"/>
      <c r="AP21" s="19"/>
      <c r="AQ21" s="336">
        <f>HUF_DATA!BM9</f>
        <v>-2.6461940220659557</v>
      </c>
      <c r="AR21" s="337">
        <f>AQ21/10000</f>
        <v>-2.6461940220659557E-4</v>
      </c>
      <c r="AT21" s="24" t="str">
        <f t="shared" si="6"/>
        <v>USDHUF5Y BGN Curncy</v>
      </c>
      <c r="AU21" s="25" t="s">
        <v>331</v>
      </c>
      <c r="AV21" s="28"/>
      <c r="AW21" s="177" t="str">
        <f>IF(AT21="","",IF(StaticData.Today=TODAY(),_xll.BDP(AT21,"BID"),_xll.BDH(AT21,"BID",StaticData.Today,StaticData.Today)))</f>
        <v>#N/A N/A</v>
      </c>
      <c r="AX21" s="177" t="str">
        <f>IF(AT21="","",IF(StaticData.Today=TODAY(),_xll.BDP(AT21,"ASK"),_xll.BDH(AT21,"ASK",StaticData.Today,StaticData.Today)))</f>
        <v>#N/A N/A</v>
      </c>
      <c r="AY21" s="177" t="str">
        <f>IF(AT21="","",IF(StaticData.Today=TODAY(),_xll.BDP(AT21,"LAST_PRICE"),_xll.BDH(AT21,"LAST_PRICE",StaticData.Today,StaticData.Today)))</f>
        <v>#N/A N/A</v>
      </c>
      <c r="AZ21" s="181" t="str">
        <f t="shared" si="17"/>
        <v>#N/A N/A</v>
      </c>
      <c r="BC21" s="390" t="s">
        <v>1359</v>
      </c>
      <c r="BD21" s="516">
        <f>_xll.meDateFromTenor($BD$7,BC21,"MF",$BD$6)</f>
        <v>46643</v>
      </c>
      <c r="BE21" s="517">
        <f t="shared" si="7"/>
        <v>186</v>
      </c>
      <c r="BF21" s="518">
        <f>_xll.meCurveDiscountFactorsForwardStarting($BD$7,BD21,"EURYC","EUR6ML")</f>
        <v>1.0248905937907344</v>
      </c>
      <c r="BG21" s="316">
        <f t="shared" si="9"/>
        <v>7.2182192786606061</v>
      </c>
      <c r="BH21" s="527">
        <f>_xll.meLWOSwapParSpread(_xll.meLWOXccySwapCreateFromGenerator("TEST","EUR_XCCY","PAy",$BD$7,BD21,1,1,"Float","Float",,,,,"USD",TRUE,"LEG2:FLOAT"),$BG$2:$BH$4)</f>
        <v>-17.575982462909494</v>
      </c>
      <c r="BI21" s="316">
        <f>_xll.meCurveDiscountFactorsForwardStarting($BD$7,HUF_DATA!BD21,"HUFYC","BUB6M")</f>
        <v>0.8990902845642712</v>
      </c>
      <c r="BJ21" s="316">
        <f t="shared" si="10"/>
        <v>6.7754262294996712</v>
      </c>
      <c r="BK21" s="530">
        <f t="shared" si="11"/>
        <v>-18.724622061827468</v>
      </c>
      <c r="BL21" s="535">
        <f>HUF_DATA!AQ13</f>
        <v>9.5</v>
      </c>
      <c r="BM21" s="335">
        <f>BL21+BK21</f>
        <v>-9.2246220618274677</v>
      </c>
    </row>
    <row r="22" spans="2:65" x14ac:dyDescent="0.25">
      <c r="B22" s="36"/>
      <c r="C22" s="36"/>
      <c r="D22" s="36"/>
      <c r="E22" s="36"/>
      <c r="G22" s="344"/>
      <c r="H22" s="345" t="s">
        <v>342</v>
      </c>
      <c r="I22" s="345"/>
      <c r="J22" s="346"/>
      <c r="K22" s="354"/>
      <c r="L22" s="350"/>
      <c r="M22" s="348">
        <f>EUR_DATA!M22+$M$16</f>
        <v>6.3600000000000002E-3</v>
      </c>
      <c r="O22" s="24" t="str">
        <f>"HFSW6"&amp;$O$2&amp;" Curncy"</f>
        <v>HFSW6 TPRA Curncy</v>
      </c>
      <c r="P22" s="25" t="s">
        <v>339</v>
      </c>
      <c r="Q22" s="28"/>
      <c r="R22" s="29">
        <f>IF(O22="","",IF(StaticData.Today=TODAY(),_xll.BDP(O22,"BID"),_xll.BDH(O22,"BID",StaticData.Today,StaticData.Today)))</f>
        <v>1.41</v>
      </c>
      <c r="S22" s="29">
        <f>IF(O22="","",IF(StaticData.Today=TODAY(),_xll.BDP(O22,"ASK"),_xll.BDH(O22,"ASK",StaticData.Today,StaticData.Today)))</f>
        <v>1.45</v>
      </c>
      <c r="T22" s="30">
        <f>IF(O22="","",IF(StaticData.Today=TODAY(),_xll.BDP(O22,"LAST_PRICE"),_xll.BDH(O22,"LAST_PRICE",StaticData.Today,StaticData.Today)))</f>
        <v>1.43</v>
      </c>
      <c r="U22" s="183">
        <f t="shared" si="14"/>
        <v>1.43E-2</v>
      </c>
      <c r="W22" s="24" t="str">
        <f>"HFBSV8"&amp;$W$2&amp;" Curncy"</f>
        <v>HFBSV8 ICPL Curncy</v>
      </c>
      <c r="X22" s="25" t="s">
        <v>355</v>
      </c>
      <c r="Y22" s="191">
        <f>IF(W22="","",IF(StaticData.Today=TODAY(),_xll.BDP(W22,"LAST_PRICE"),_xll.BDH(W22,"LAST_PRICE",StaticData.Today,StaticData.Today)))</f>
        <v>1</v>
      </c>
      <c r="Z22" s="27">
        <f t="shared" si="16"/>
        <v>1E-4</v>
      </c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14" t="s">
        <v>1418</v>
      </c>
      <c r="AM22" s="25" t="s">
        <v>308</v>
      </c>
      <c r="AN22" s="28"/>
      <c r="AO22" s="29"/>
      <c r="AP22" s="29"/>
      <c r="AQ22" s="178">
        <f>HUF_DATA!BM11</f>
        <v>-2.8501633547005696</v>
      </c>
      <c r="AR22" s="338">
        <f>AQ22/10000</f>
        <v>-2.8501633547005698E-4</v>
      </c>
      <c r="AT22" s="24"/>
      <c r="AU22" s="25"/>
      <c r="AV22" s="28"/>
      <c r="AW22" s="178"/>
      <c r="AX22" s="178"/>
      <c r="AY22" s="30"/>
      <c r="AZ22" s="27"/>
      <c r="BC22" s="390" t="s">
        <v>1360</v>
      </c>
      <c r="BD22" s="516">
        <f>_xll.meDateFromTenor($BD$7,BC22,"MF",$BD$6)</f>
        <v>46825</v>
      </c>
      <c r="BE22" s="517">
        <f t="shared" si="7"/>
        <v>182</v>
      </c>
      <c r="BF22" s="518">
        <f>_xll.meCurveDiscountFactorsForwardStarting($BD$7,BD22,"EURYC","EUR6ML")</f>
        <v>1.0250543085572017</v>
      </c>
      <c r="BG22" s="316">
        <f t="shared" si="9"/>
        <v>7.7364411790978584</v>
      </c>
      <c r="BH22" s="527">
        <f>_xll.meLWOSwapParSpread(_xll.meLWOXccySwapCreateFromGenerator("TEST","EUR_XCCY","PAy",$BD$7,BD22,1,1,"Float","Float",,,,,"USD",TRUE,"LEG2:FLOAT"),$BG$2:$BH$4)</f>
        <v>-17.922220193991411</v>
      </c>
      <c r="BI22" s="316">
        <f>_xll.meCurveDiscountFactorsForwardStarting($BD$7,HUF_DATA!BD22,"HUFYC","BUB6M")</f>
        <v>0.88925412076998633</v>
      </c>
      <c r="BJ22" s="316">
        <f t="shared" si="10"/>
        <v>7.2249935905556084</v>
      </c>
      <c r="BK22" s="530">
        <f t="shared" si="11"/>
        <v>-19.190910080654028</v>
      </c>
      <c r="BL22" s="535"/>
    </row>
    <row r="23" spans="2:65" x14ac:dyDescent="0.25">
      <c r="B23" s="36"/>
      <c r="C23" s="36"/>
      <c r="D23" s="36"/>
      <c r="E23" s="36"/>
      <c r="G23" s="24"/>
      <c r="H23" s="25" t="s">
        <v>355</v>
      </c>
      <c r="I23" s="25"/>
      <c r="J23" s="187"/>
      <c r="K23" s="353"/>
      <c r="L23" s="30"/>
      <c r="M23" s="27">
        <f>EUR_DATA!M23+$M$16</f>
        <v>6.7800000000000004E-3</v>
      </c>
      <c r="O23" s="24" t="str">
        <f>"HFSW7"&amp;$O$2&amp;" Curncy"</f>
        <v>HFSW7 TPRA Curncy</v>
      </c>
      <c r="P23" s="25" t="s">
        <v>342</v>
      </c>
      <c r="Q23" s="28"/>
      <c r="R23" s="29">
        <f>IF(O23="","",IF(StaticData.Today=TODAY(),_xll.BDP(O23,"BID"),_xll.BDH(O23,"BID",StaticData.Today,StaticData.Today)))</f>
        <v>1.5049999999999999</v>
      </c>
      <c r="S23" s="29">
        <f>IF(O23="","",IF(StaticData.Today=TODAY(),_xll.BDP(O23,"ASK"),_xll.BDH(O23,"ASK",StaticData.Today,StaticData.Today)))</f>
        <v>1.5449999999999999</v>
      </c>
      <c r="T23" s="30">
        <f>IF(O23="","",IF(StaticData.Today=TODAY(),_xll.BDP(O23,"LAST_PRICE"),_xll.BDH(O23,"LAST_PRICE",StaticData.Today,StaticData.Today)))</f>
        <v>1.5249999999999999</v>
      </c>
      <c r="U23" s="183">
        <f t="shared" si="14"/>
        <v>1.525E-2</v>
      </c>
      <c r="W23" s="24" t="str">
        <f>"HFBSV9"&amp;$W$2&amp;" Curncy"</f>
        <v>HFBSV9 ICPL Curncy</v>
      </c>
      <c r="X23" s="25" t="s">
        <v>364</v>
      </c>
      <c r="Y23" s="191">
        <f>IF(W23="","",IF(StaticData.Today=TODAY(),_xll.BDP(W23,"LAST_PRICE"),_xll.BDH(W23,"LAST_PRICE",StaticData.Today,StaticData.Today)))</f>
        <v>1</v>
      </c>
      <c r="Z23" s="27">
        <f t="shared" si="16"/>
        <v>1E-4</v>
      </c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14" t="s">
        <v>1419</v>
      </c>
      <c r="AM23" s="25" t="s">
        <v>316</v>
      </c>
      <c r="AN23" s="28"/>
      <c r="AO23" s="29"/>
      <c r="AP23" s="29"/>
      <c r="AQ23" s="178">
        <f>HUF_DATA!BM13</f>
        <v>-3.5725782211713035</v>
      </c>
      <c r="AR23" s="338">
        <f t="shared" ref="AR23:AR33" si="18">AQ23/10000</f>
        <v>-3.5725782211713038E-4</v>
      </c>
      <c r="AT23" s="24"/>
      <c r="AU23" s="25"/>
      <c r="AV23" s="28"/>
      <c r="AW23" s="178"/>
      <c r="AX23" s="178"/>
      <c r="AY23" s="30"/>
      <c r="AZ23" s="27"/>
      <c r="BC23" s="390" t="s">
        <v>1361</v>
      </c>
      <c r="BD23" s="516">
        <f>_xll.meDateFromTenor($BD$7,BC23,"MF",$BD$6)</f>
        <v>47007</v>
      </c>
      <c r="BE23" s="517">
        <f t="shared" si="7"/>
        <v>182</v>
      </c>
      <c r="BF23" s="518">
        <f>_xll.meCurveDiscountFactorsForwardStarting($BD$7,BD23,"EURYC","EUR6ML")</f>
        <v>1.0249632630682564</v>
      </c>
      <c r="BG23" s="316">
        <f t="shared" si="9"/>
        <v>8.2546170509823664</v>
      </c>
      <c r="BH23" s="527">
        <f>_xll.meLWOSwapParSpread(_xll.meLWOXccySwapCreateFromGenerator("TEST","EUR_XCCY","PAy",$BD$7,BD23,1,1,"Float","Float",,,,,"USD",TRUE,"LEG2:FLOAT"),$BG$2:$BH$4)</f>
        <v>-18.124999999749448</v>
      </c>
      <c r="BI23" s="316">
        <f>_xll.meCurveDiscountFactorsForwardStarting($BD$7,HUF_DATA!BD23,"HUFYC","BUB6M")</f>
        <v>0.87925287240303784</v>
      </c>
      <c r="BJ23" s="316">
        <f t="shared" si="10"/>
        <v>7.6695047649371446</v>
      </c>
      <c r="BK23" s="530">
        <f t="shared" si="11"/>
        <v>-19.507769879873507</v>
      </c>
      <c r="BL23" s="535">
        <f>HUF_DATA!AQ14</f>
        <v>9.25</v>
      </c>
      <c r="BM23" s="335">
        <f>BL23+BK23</f>
        <v>-10.257769879873507</v>
      </c>
    </row>
    <row r="24" spans="2:65" x14ac:dyDescent="0.25">
      <c r="G24" s="24"/>
      <c r="H24" s="25" t="s">
        <v>364</v>
      </c>
      <c r="I24" s="25"/>
      <c r="J24" s="25"/>
      <c r="K24" s="355"/>
      <c r="L24" s="30"/>
      <c r="M24" s="27">
        <f>EUR_DATA!M24+$M$16</f>
        <v>7.2199999999999999E-3</v>
      </c>
      <c r="O24" s="24" t="str">
        <f>"HFSW8"&amp;$O$2&amp;" Curncy"</f>
        <v>HFSW8 TPRA Curncy</v>
      </c>
      <c r="P24" s="25" t="s">
        <v>355</v>
      </c>
      <c r="Q24" s="28"/>
      <c r="R24" s="29">
        <f>IF(O24="","",IF(StaticData.Today=TODAY(),_xll.BDP(O24,"BID"),_xll.BDH(O24,"BID",StaticData.Today,StaticData.Today)))</f>
        <v>1.595</v>
      </c>
      <c r="S24" s="29">
        <f>IF(O24="","",IF(StaticData.Today=TODAY(),_xll.BDP(O24,"ASK"),_xll.BDH(O24,"ASK",StaticData.Today,StaticData.Today)))</f>
        <v>1.635</v>
      </c>
      <c r="T24" s="30">
        <f>IF(O24="","",IF(StaticData.Today=TODAY(),_xll.BDP(O24,"LAST_PRICE"),_xll.BDH(O24,"LAST_PRICE",StaticData.Today,StaticData.Today)))</f>
        <v>1.615</v>
      </c>
      <c r="U24" s="183">
        <f t="shared" si="14"/>
        <v>1.6150000000000001E-2</v>
      </c>
      <c r="W24" s="24" t="str">
        <f>"HFBSV10"&amp;$W$2&amp;" Curncy"</f>
        <v>HFBSV10 ICPL Curncy</v>
      </c>
      <c r="X24" s="25" t="s">
        <v>349</v>
      </c>
      <c r="Y24" s="191">
        <f>IF(W24="","",IF(StaticData.Today=TODAY(),_xll.BDP(W24,"LAST_PRICE"),_xll.BDH(W24,"LAST_PRICE",StaticData.Today,StaticData.Today)))</f>
        <v>1</v>
      </c>
      <c r="Z24" s="27">
        <f t="shared" si="16"/>
        <v>1E-4</v>
      </c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14" t="s">
        <v>1420</v>
      </c>
      <c r="AM24" s="25" t="s">
        <v>324</v>
      </c>
      <c r="AN24" s="28"/>
      <c r="AO24" s="29"/>
      <c r="AP24" s="29"/>
      <c r="AQ24" s="178">
        <f>HUF_DATA!BM15</f>
        <v>-4.6034056137900059</v>
      </c>
      <c r="AR24" s="338">
        <f t="shared" si="18"/>
        <v>-4.6034056137900058E-4</v>
      </c>
      <c r="AT24" s="24" t="str">
        <f>"EURHUF"&amp;AU24&amp;$AT$2&amp;" Curncy"</f>
        <v>EURHUFON ICPL Curncy</v>
      </c>
      <c r="AU24" s="25" t="s">
        <v>298</v>
      </c>
      <c r="AV24" s="28"/>
      <c r="AW24" s="576">
        <f>IF(AT24="","",IF(StaticData.Today=TODAY(),_xll.BDP(AT24,"BID"),_xll.BDH(AT24,"BID",StaticData.Today,StaticData.Today)))</f>
        <v>0.82</v>
      </c>
      <c r="AX24" s="576">
        <f>IF(AT24="","",IF(StaticData.Today=TODAY(),_xll.BDP(AT24,"ASK"),_xll.BDH(AT24,"ASK",StaticData.Today,StaticData.Today)))</f>
        <v>1.01</v>
      </c>
      <c r="AY24" s="576">
        <f>IF(AT24="","",IF(StaticData.Today=TODAY(),_xll.BDP(AT24,"PX_LAST"),_xll.BDH(AT24,"PX_LAST",StaticData.Today,StaticData.Today)))</f>
        <v>0.92</v>
      </c>
      <c r="AZ24" s="577">
        <f t="shared" ref="AZ24:AZ26" si="19">AY24</f>
        <v>0.92</v>
      </c>
      <c r="BC24" s="390" t="s">
        <v>1362</v>
      </c>
      <c r="BD24" s="516">
        <f>_xll.meDateFromTenor($BD$7,BC24,"MF",$BD$6)</f>
        <v>47189</v>
      </c>
      <c r="BE24" s="517">
        <f t="shared" si="7"/>
        <v>182</v>
      </c>
      <c r="BF24" s="518">
        <f>_xll.meCurveDiscountFactorsForwardStarting($BD$7,BD24,"EURYC","EUR6ML")</f>
        <v>1.0246286253513848</v>
      </c>
      <c r="BG24" s="316">
        <f t="shared" si="9"/>
        <v>8.7726237449100104</v>
      </c>
      <c r="BH24" s="527">
        <f>_xll.meLWOSwapParSpread(_xll.meLWOXccySwapCreateFromGenerator("TEST","EUR_XCCY","PAy",$BD$7,BD24,1,1,"Float","Float",,,,,"USD",TRUE,"LEG2:FLOAT"),$BG$2:$BH$4)</f>
        <v>-18.398011646811515</v>
      </c>
      <c r="BI24" s="316">
        <f>_xll.meCurveDiscountFactorsForwardStarting($BD$7,HUF_DATA!BD24,"HUFYC","BUB6M")</f>
        <v>0.86921994372786837</v>
      </c>
      <c r="BJ24" s="316">
        <f t="shared" si="10"/>
        <v>8.108943736488456</v>
      </c>
      <c r="BK24" s="530">
        <f t="shared" si="11"/>
        <v>-19.903804869885889</v>
      </c>
      <c r="BL24" s="535"/>
    </row>
    <row r="25" spans="2:65" x14ac:dyDescent="0.25">
      <c r="G25" s="24"/>
      <c r="H25" s="25" t="s">
        <v>349</v>
      </c>
      <c r="I25" s="25"/>
      <c r="J25" s="25"/>
      <c r="K25" s="355"/>
      <c r="L25" s="30"/>
      <c r="M25" s="27">
        <f>EUR_DATA!M25+$M$16</f>
        <v>7.7099999999999998E-3</v>
      </c>
      <c r="O25" s="24" t="str">
        <f>"HFSW9"&amp;$O$2&amp;" Curncy"</f>
        <v>HFSW9 TPRA Curncy</v>
      </c>
      <c r="P25" s="25" t="s">
        <v>364</v>
      </c>
      <c r="Q25" s="28"/>
      <c r="R25" s="29">
        <f>IF(O25="","",IF(StaticData.Today=TODAY(),_xll.BDP(O25,"BID"),_xll.BDH(O25,"BID",StaticData.Today,StaticData.Today)))</f>
        <v>1.675</v>
      </c>
      <c r="S25" s="29">
        <f>IF(O25="","",IF(StaticData.Today=TODAY(),_xll.BDP(O25,"ASK"),_xll.BDH(O25,"ASK",StaticData.Today,StaticData.Today)))</f>
        <v>1.7150000000000001</v>
      </c>
      <c r="T25" s="30">
        <f>IF(O25="","",IF(StaticData.Today=TODAY(),_xll.BDP(O25,"LAST_PRICE"),_xll.BDH(O25,"LAST_PRICE",StaticData.Today,StaticData.Today)))</f>
        <v>1.6950000000000001</v>
      </c>
      <c r="U25" s="183">
        <f t="shared" si="14"/>
        <v>1.695E-2</v>
      </c>
      <c r="W25" s="24" t="str">
        <f>"HFBSV12"&amp;$W$2&amp;" Curncy"</f>
        <v>HFBSV12 ICPL Curncy</v>
      </c>
      <c r="X25" s="25" t="s">
        <v>358</v>
      </c>
      <c r="Y25" s="191">
        <f>IF(W25="","",IF(StaticData.Today=TODAY(),_xll.BDP(W25,"LAST_PRICE"),_xll.BDH(W25,"LAST_PRICE",StaticData.Today,StaticData.Today)))</f>
        <v>1</v>
      </c>
      <c r="Z25" s="27">
        <f t="shared" si="16"/>
        <v>1E-4</v>
      </c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14" t="s">
        <v>1421</v>
      </c>
      <c r="AM25" s="25" t="s">
        <v>331</v>
      </c>
      <c r="AN25" s="31"/>
      <c r="AO25" s="29"/>
      <c r="AP25" s="29"/>
      <c r="AQ25" s="178">
        <f>HUF_DATA!BM17</f>
        <v>-5.7947328541044936</v>
      </c>
      <c r="AR25" s="338">
        <f t="shared" si="18"/>
        <v>-5.7947328541044934E-4</v>
      </c>
      <c r="AT25" s="24" t="str">
        <f>"EURHUF"&amp;AU25&amp;$AT$2&amp;" Curncy"</f>
        <v>EURHUFTN ICPL Curncy</v>
      </c>
      <c r="AU25" s="25" t="s">
        <v>506</v>
      </c>
      <c r="AV25" s="28"/>
      <c r="AW25" s="576">
        <f>IF(AT25="","",IF(StaticData.Today=TODAY(),_xll.BDP(AT25,"BID"),_xll.BDH(AT25,"BID",StaticData.Today,StaticData.Today)))</f>
        <v>0.83</v>
      </c>
      <c r="AX25" s="576">
        <f>IF(AT25="","",IF(StaticData.Today=TODAY(),_xll.BDP(AT25,"ASK"),_xll.BDH(AT25,"ASK",StaticData.Today,StaticData.Today)))</f>
        <v>1.02</v>
      </c>
      <c r="AY25" s="576">
        <f>IF(AT25="","",IF(StaticData.Today=TODAY(),_xll.BDP(AT25,"PX_LAST"),_xll.BDH(AT25,"PX_LAST",StaticData.Today,StaticData.Today)))</f>
        <v>0.93</v>
      </c>
      <c r="AZ25" s="577">
        <f t="shared" si="19"/>
        <v>0.93</v>
      </c>
      <c r="BC25" s="390" t="s">
        <v>1363</v>
      </c>
      <c r="BD25" s="516">
        <f>_xll.meDateFromTenor($BD$7,BC25,"MF",$BD$6)</f>
        <v>47372</v>
      </c>
      <c r="BE25" s="517">
        <f t="shared" si="7"/>
        <v>183</v>
      </c>
      <c r="BF25" s="518">
        <f>_xll.meCurveDiscountFactorsForwardStarting($BD$7,BD25,"EURYC","EUR6ML")</f>
        <v>1.0239926733800626</v>
      </c>
      <c r="BG25" s="316">
        <f t="shared" si="9"/>
        <v>9.2931533538782087</v>
      </c>
      <c r="BH25" s="527">
        <f>_xll.meLWOSwapParSpread(_xll.meLWOXccySwapCreateFromGenerator("TEST","EUR_XCCY","PAy",$BD$7,BD25,1,1,"Float","Float",,,,,"USD",TRUE,"LEG2:FLOAT"),$BG$2:$BH$4)</f>
        <v>-18.500000001408658</v>
      </c>
      <c r="BI25" s="316">
        <f>_xll.meCurveDiscountFactorsForwardStarting($BD$7,HUF_DATA!BD25,"HUFYC","BUB6M")</f>
        <v>0.85903544710107727</v>
      </c>
      <c r="BJ25" s="316">
        <f t="shared" si="10"/>
        <v>8.5456200887648368</v>
      </c>
      <c r="BK25" s="530">
        <f t="shared" si="11"/>
        <v>-20.118298645860715</v>
      </c>
      <c r="BL25" s="535">
        <f>HUF_DATA!AQ15</f>
        <v>9</v>
      </c>
      <c r="BM25" s="335">
        <f>BL25+BK25</f>
        <v>-11.118298645860715</v>
      </c>
    </row>
    <row r="26" spans="2:65" x14ac:dyDescent="0.25">
      <c r="G26" s="24"/>
      <c r="H26" s="25" t="s">
        <v>358</v>
      </c>
      <c r="I26" s="25"/>
      <c r="J26" s="187"/>
      <c r="K26" s="353"/>
      <c r="L26" s="30"/>
      <c r="M26" s="27">
        <f>(EUR_DATA!M53-EUR_DATA!M36)+$M$16</f>
        <v>8.6299999999999988E-3</v>
      </c>
      <c r="O26" s="24" t="str">
        <f>"HFSW10"&amp;$O$2&amp;" Curncy"</f>
        <v>HFSW10 TPRA Curncy</v>
      </c>
      <c r="P26" s="25" t="s">
        <v>349</v>
      </c>
      <c r="Q26" s="28"/>
      <c r="R26" s="29">
        <f>IF(O26="","",IF(StaticData.Today=TODAY(),_xll.BDP(O26,"BID"),_xll.BDH(O26,"BID",StaticData.Today,StaticData.Today)))</f>
        <v>1.75</v>
      </c>
      <c r="S26" s="29">
        <f>IF(O26="","",IF(StaticData.Today=TODAY(),_xll.BDP(O26,"ASK"),_xll.BDH(O26,"ASK",StaticData.Today,StaticData.Today)))</f>
        <v>1.79</v>
      </c>
      <c r="T26" s="30">
        <f>IF(O26="","",IF(StaticData.Today=TODAY(),_xll.BDP(O26,"LAST_PRICE"),_xll.BDH(O26,"LAST_PRICE",StaticData.Today,StaticData.Today)))</f>
        <v>1.77</v>
      </c>
      <c r="U26" s="183">
        <f t="shared" si="14"/>
        <v>1.77E-2</v>
      </c>
      <c r="W26" s="24" t="str">
        <f>"HFBSV15"&amp;$W$2&amp;" Curncy"</f>
        <v>HFBSV15 ICPL Curncy</v>
      </c>
      <c r="X26" s="25" t="s">
        <v>367</v>
      </c>
      <c r="Y26" s="191">
        <f>IF(W26="","",IF(StaticData.Today=TODAY(),_xll.BDP(W26,"LAST_PRICE"),_xll.BDH(W26,"LAST_PRICE",StaticData.Today,StaticData.Today)))</f>
        <v>1</v>
      </c>
      <c r="Z26" s="27">
        <f t="shared" si="16"/>
        <v>1E-4</v>
      </c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14" t="s">
        <v>1422</v>
      </c>
      <c r="AM26" s="25" t="s">
        <v>339</v>
      </c>
      <c r="AN26" s="31"/>
      <c r="AO26" s="29"/>
      <c r="AP26" s="29"/>
      <c r="AQ26" s="178">
        <f>HUF_DATA!BM19</f>
        <v>-7.6510346184322735</v>
      </c>
      <c r="AR26" s="338">
        <f t="shared" si="18"/>
        <v>-7.6510346184322734E-4</v>
      </c>
      <c r="AT26" s="24" t="str">
        <f>"EURHUF"&amp;AU26&amp;$AT$2&amp;" Curncy"</f>
        <v>EURHUFSN ICPL Curncy</v>
      </c>
      <c r="AU26" s="25" t="s">
        <v>1483</v>
      </c>
      <c r="AV26" s="28"/>
      <c r="AW26" s="576">
        <f>IF(AT26="","",IF(StaticData.Today=TODAY(),_xll.BDP(AT26,"BID"),_xll.BDH(AT26,"BID",StaticData.Today,StaticData.Today)))</f>
        <v>2.2599999999999998</v>
      </c>
      <c r="AX26" s="576">
        <f>IF(AT26="","",IF(StaticData.Today=TODAY(),_xll.BDP(AT26,"ASK"),_xll.BDH(AT26,"ASK",StaticData.Today,StaticData.Today)))</f>
        <v>2.54</v>
      </c>
      <c r="AY26" s="576">
        <f>IF(AT26="","",IF(StaticData.Today=TODAY(),_xll.BDP(AT26,"PX_LAST"),_xll.BDH(AT26,"PX_LAST",StaticData.Today,StaticData.Today)))</f>
        <v>2.4</v>
      </c>
      <c r="AZ26" s="577">
        <f t="shared" si="19"/>
        <v>2.4</v>
      </c>
      <c r="BC26" s="390" t="s">
        <v>1364</v>
      </c>
      <c r="BD26" s="516">
        <f>_xll.meDateFromTenor($BD$7,BC26,"MF",$BD$6)</f>
        <v>47553</v>
      </c>
      <c r="BE26" s="517">
        <f t="shared" si="7"/>
        <v>181</v>
      </c>
      <c r="BF26" s="518">
        <f>_xll.meCurveDiscountFactorsForwardStarting($BD$7,BD26,"EURYC","EUR6ML")</f>
        <v>1.0230295030235947</v>
      </c>
      <c r="BG26" s="316">
        <f t="shared" si="9"/>
        <v>9.8075098540095169</v>
      </c>
      <c r="BH26" s="527">
        <f>_xll.meLWOSwapParSpread(_xll.meLWOXccySwapCreateFromGenerator("TEST","EUR_XCCY","PAy",$BD$7,BD26,1,1,"Float","Float",,,,,"USD",TRUE,"LEG2:FLOAT"),$BG$2:$BH$4)</f>
        <v>-18.630573991837753</v>
      </c>
      <c r="BI26" s="316">
        <f>_xll.meCurveDiscountFactorsForwardStarting($BD$7,HUF_DATA!BD26,"HUFYC","BUB6M")</f>
        <v>0.84880196375892369</v>
      </c>
      <c r="BJ26" s="316">
        <f t="shared" si="10"/>
        <v>8.9723788538769629</v>
      </c>
      <c r="BK26" s="530">
        <f t="shared" si="11"/>
        <v>-20.36467039416744</v>
      </c>
      <c r="BL26" s="535"/>
    </row>
    <row r="27" spans="2:65" x14ac:dyDescent="0.25">
      <c r="G27" s="24"/>
      <c r="H27" s="25" t="s">
        <v>367</v>
      </c>
      <c r="I27" s="25"/>
      <c r="J27" s="187"/>
      <c r="K27" s="353"/>
      <c r="L27" s="30"/>
      <c r="M27" s="27">
        <f>(EUR_DATA!M54-EUR_DATA!M37)+$M$16</f>
        <v>9.75E-3</v>
      </c>
      <c r="O27" s="24" t="str">
        <f>"HFSW12"&amp;$O$2&amp;" Curncy"</f>
        <v>HFSW12 TPRA Curncy</v>
      </c>
      <c r="P27" s="25" t="s">
        <v>358</v>
      </c>
      <c r="Q27" s="28"/>
      <c r="R27" s="29">
        <f>IF(O27="","",IF(StaticData.Today=TODAY(),_xll.BDP(O27,"BID"),_xll.BDH(O27,"BID",StaticData.Today,StaticData.Today)))</f>
        <v>1.88</v>
      </c>
      <c r="S27" s="29">
        <f>IF(O27="","",IF(StaticData.Today=TODAY(),_xll.BDP(O27,"ASK"),_xll.BDH(O27,"ASK",StaticData.Today,StaticData.Today)))</f>
        <v>1.92</v>
      </c>
      <c r="T27" s="30">
        <f>IF(O27="","",IF(StaticData.Today=TODAY(),_xll.BDP(O27,"LAST_PRICE"),_xll.BDH(O27,"LAST_PRICE",StaticData.Today,StaticData.Today)))</f>
        <v>1.9</v>
      </c>
      <c r="U27" s="183">
        <f t="shared" si="14"/>
        <v>1.9E-2</v>
      </c>
      <c r="W27" s="24" t="str">
        <f>"HFBSV20"&amp;$W$2&amp;" Curncy"</f>
        <v>HFBSV20 ICPL Curncy</v>
      </c>
      <c r="X27" s="25" t="s">
        <v>374</v>
      </c>
      <c r="Y27" s="191">
        <f>IF(W27="","",IF(StaticData.Today=TODAY(),_xll.BDP(W27,"LAST_PRICE"),_xll.BDH(W27,"LAST_PRICE",StaticData.Today,StaticData.Today)))</f>
        <v>1</v>
      </c>
      <c r="Z27" s="27">
        <f t="shared" si="16"/>
        <v>1E-4</v>
      </c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14" t="s">
        <v>1423</v>
      </c>
      <c r="AM27" s="25" t="s">
        <v>342</v>
      </c>
      <c r="AN27" s="31"/>
      <c r="AO27" s="29"/>
      <c r="AP27" s="29"/>
      <c r="AQ27" s="178">
        <f>HUF_DATA!BM21</f>
        <v>-9.2246220618274677</v>
      </c>
      <c r="AR27" s="338">
        <f t="shared" si="18"/>
        <v>-9.2246220618274674E-4</v>
      </c>
      <c r="AT27" s="24" t="str">
        <f t="shared" ref="AT27:AT38" si="20">"EURHUF"&amp;AU27&amp;$AT$2&amp;" Curncy"</f>
        <v>EURHUF1W ICPL Curncy</v>
      </c>
      <c r="AU27" s="25" t="s">
        <v>305</v>
      </c>
      <c r="AV27" s="28"/>
      <c r="AW27" s="576">
        <f>IF(AT27="","",IF(StaticData.Today=TODAY(),_xll.BDP(AT27,"BID"),_xll.BDH(AT27,"BID",StaticData.Today,StaticData.Today)))</f>
        <v>5.7</v>
      </c>
      <c r="AX27" s="576">
        <f>IF(AT27="","",IF(StaticData.Today=TODAY(),_xll.BDP(AT27,"ASK"),_xll.BDH(AT27,"ASK",StaticData.Today,StaticData.Today)))</f>
        <v>7.06</v>
      </c>
      <c r="AY27" s="576">
        <f>IF(AT27="","",IF(StaticData.Today=TODAY(),_xll.BDP(AT27,"PX_LAST"),_xll.BDH(AT27,"PX_LAST",StaticData.Today,StaticData.Today)))</f>
        <v>6.38</v>
      </c>
      <c r="AZ27" s="577">
        <f t="shared" ref="AZ27:AZ38" si="21">AY27</f>
        <v>6.38</v>
      </c>
      <c r="BC27" s="563" t="s">
        <v>1365</v>
      </c>
      <c r="BD27" s="553">
        <f>_xll.meDateFromTenor($BD$7,BC27,"MF",$BD$6)</f>
        <v>47737</v>
      </c>
      <c r="BE27" s="564">
        <f t="shared" si="7"/>
        <v>184</v>
      </c>
      <c r="BF27" s="555">
        <f>_xll.meCurveDiscountFactorsForwardStarting($BD$7,BD27,"EURYC","EUR6ML")</f>
        <v>1.0217943091916761</v>
      </c>
      <c r="BG27" s="316">
        <f t="shared" si="9"/>
        <v>10.329760278707484</v>
      </c>
      <c r="BH27" s="527">
        <f>_xll.meLWOSwapParSpread(_xll.meLWOXccySwapCreateFromGenerator("TEST","EUR_XCCY","PAy",$BD$7,BD27,1,1,"Float","Float",,,,,"USD",TRUE,"LEG2:FLOAT"),$BG$2:$BH$4)</f>
        <v>-18.750000001539547</v>
      </c>
      <c r="BI27" s="316">
        <f>_xll.meCurveDiscountFactorsForwardStarting($BD$7,HUF_DATA!BD27,"HUFYC","BUB6M")</f>
        <v>0.83834458224724651</v>
      </c>
      <c r="BJ27" s="316">
        <f t="shared" si="10"/>
        <v>9.400866084803333</v>
      </c>
      <c r="BK27" s="530">
        <f t="shared" si="11"/>
        <v>-20.602676763448475</v>
      </c>
      <c r="BL27" s="568">
        <f>HUF_DATA!AQ16</f>
        <v>8.75</v>
      </c>
      <c r="BM27" s="569">
        <f>BL27+BK27</f>
        <v>-11.852676763448475</v>
      </c>
    </row>
    <row r="28" spans="2:65" x14ac:dyDescent="0.25">
      <c r="G28" s="344"/>
      <c r="H28" s="345" t="s">
        <v>374</v>
      </c>
      <c r="I28" s="345"/>
      <c r="J28" s="346"/>
      <c r="K28" s="354"/>
      <c r="L28" s="350"/>
      <c r="M28" s="348">
        <f>(EUR_DATA!M55-EUR_DATA!M38)+$M$16</f>
        <v>1.064E-2</v>
      </c>
      <c r="O28" s="24" t="str">
        <f>"HFSW15"&amp;$O$2&amp;" Curncy"</f>
        <v>HFSW15 TPRA Curncy</v>
      </c>
      <c r="P28" s="25" t="s">
        <v>367</v>
      </c>
      <c r="Q28" s="28"/>
      <c r="R28" s="29">
        <f>IF(O28="","",IF(StaticData.Today=TODAY(),_xll.BDP(O28,"BID"),_xll.BDH(O28,"BID",StaticData.Today,StaticData.Today)))</f>
        <v>2.0699999999999998</v>
      </c>
      <c r="S28" s="29">
        <f>IF(O28="","",IF(StaticData.Today=TODAY(),_xll.BDP(O28,"ASK"),_xll.BDH(O28,"ASK",StaticData.Today,StaticData.Today)))</f>
        <v>2.11</v>
      </c>
      <c r="T28" s="30">
        <f>IF(O28="","",IF(StaticData.Today=TODAY(),_xll.BDP(O28,"LAST_PRICE"),_xll.BDH(O28,"LAST_PRICE",StaticData.Today,StaticData.Today)))</f>
        <v>2.09</v>
      </c>
      <c r="U28" s="183">
        <f t="shared" si="14"/>
        <v>2.0899999999999998E-2</v>
      </c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14" t="s">
        <v>1424</v>
      </c>
      <c r="AM28" s="25" t="s">
        <v>355</v>
      </c>
      <c r="AN28" s="31"/>
      <c r="AO28" s="29"/>
      <c r="AP28" s="29"/>
      <c r="AQ28" s="178">
        <f>HUF_DATA!BM23</f>
        <v>-10.257769879873507</v>
      </c>
      <c r="AR28" s="338">
        <f t="shared" si="18"/>
        <v>-1.0257769879873507E-3</v>
      </c>
      <c r="AT28" s="24" t="str">
        <f t="shared" si="20"/>
        <v>EURHUF2W ICPL Curncy</v>
      </c>
      <c r="AU28" s="25" t="s">
        <v>313</v>
      </c>
      <c r="AV28" s="28"/>
      <c r="AW28" s="576">
        <f>IF(AT28="","",IF(StaticData.Today=TODAY(),_xll.BDP(AT28,"BID"),_xll.BDH(AT28,"BID",StaticData.Today,StaticData.Today)))</f>
        <v>12.7</v>
      </c>
      <c r="AX28" s="576">
        <f>IF(AT28="","",IF(StaticData.Today=TODAY(),_xll.BDP(AT28,"ASK"),_xll.BDH(AT28,"ASK",StaticData.Today,StaticData.Today)))</f>
        <v>14.2</v>
      </c>
      <c r="AY28" s="576">
        <f>IF(AT28="","",IF(StaticData.Today=TODAY(),_xll.BDP(AT28,"PX_LAST"),_xll.BDH(AT28,"PX_LAST",StaticData.Today,StaticData.Today)))</f>
        <v>13.45</v>
      </c>
      <c r="AZ28" s="577">
        <f t="shared" si="21"/>
        <v>13.45</v>
      </c>
      <c r="BC28" s="390" t="s">
        <v>1366</v>
      </c>
      <c r="BD28" s="516">
        <f>_xll.meDateFromTenor($BD$7,BC28,"MF",$BD$6)</f>
        <v>47918</v>
      </c>
      <c r="BE28" s="517">
        <f t="shared" si="7"/>
        <v>181</v>
      </c>
      <c r="BF28" s="518">
        <f>_xll.meCurveDiscountFactorsForwardStarting($BD$7,BD28,"EURYC","EUR6ML")</f>
        <v>1.020422717916649</v>
      </c>
      <c r="BG28" s="316">
        <f t="shared" si="9"/>
        <v>10.842806145215578</v>
      </c>
      <c r="BH28" s="527">
        <f>_xll.meLWOSwapParSpread(_xll.meLWOXccySwapCreateFromGenerator("TEST","EUR_XCCY","PAy",$BD$7,BD28,1,1,"Float","Float",,,,,"USD",TRUE,"LEG2:FLOAT"),$BG$2:$BH$4)</f>
        <v>-18.865612678614976</v>
      </c>
      <c r="BI28" s="316">
        <f>_xll.meCurveDiscountFactorsForwardStarting($BD$7,HUF_DATA!BD28,"HUFYC","BUB6M")</f>
        <v>0.82811083003034869</v>
      </c>
      <c r="BJ28" s="316">
        <f t="shared" si="10"/>
        <v>9.8172218076797026</v>
      </c>
      <c r="BK28" s="530">
        <f t="shared" si="11"/>
        <v>-20.83646321660223</v>
      </c>
      <c r="BL28" s="535"/>
    </row>
    <row r="29" spans="2:65" x14ac:dyDescent="0.25">
      <c r="G29" s="24"/>
      <c r="H29" s="25" t="s">
        <v>382</v>
      </c>
      <c r="I29" s="25"/>
      <c r="J29" s="187"/>
      <c r="K29" s="353"/>
      <c r="L29" s="30"/>
      <c r="M29" s="27">
        <f>(EUR_DATA!M56-EUR_DATA!M39)+$M$16</f>
        <v>1.072E-2</v>
      </c>
      <c r="O29" s="24" t="str">
        <f>"HFSW20"&amp;$O$2&amp;" Curncy"</f>
        <v>HFSW20 TPRA Curncy</v>
      </c>
      <c r="P29" s="25" t="s">
        <v>374</v>
      </c>
      <c r="Q29" s="28"/>
      <c r="R29" s="29">
        <f>IF(O29="","",IF(StaticData.Today=TODAY(),_xll.BDP(O29,"BID"),_xll.BDH(O29,"BID",StaticData.Today,StaticData.Today)))</f>
        <v>2.27</v>
      </c>
      <c r="S29" s="29">
        <f>IF(O29="","",IF(StaticData.Today=TODAY(),_xll.BDP(O29,"ASK"),_xll.BDH(O29,"ASK",StaticData.Today,StaticData.Today)))</f>
        <v>2.31</v>
      </c>
      <c r="T29" s="30">
        <f>IF(O29="","",IF(StaticData.Today=TODAY(),_xll.BDP(O29,"LAST_PRICE"),_xll.BDH(O29,"LAST_PRICE",StaticData.Today,StaticData.Today)))</f>
        <v>2.29</v>
      </c>
      <c r="U29" s="183">
        <f t="shared" si="14"/>
        <v>2.29E-2</v>
      </c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14" t="s">
        <v>1425</v>
      </c>
      <c r="AM29" s="25" t="s">
        <v>364</v>
      </c>
      <c r="AN29" s="31"/>
      <c r="AO29" s="29"/>
      <c r="AP29" s="29"/>
      <c r="AQ29" s="178">
        <f>HUF_DATA!BM25</f>
        <v>-11.118298645860715</v>
      </c>
      <c r="AR29" s="338">
        <f t="shared" si="18"/>
        <v>-1.1118298645860715E-3</v>
      </c>
      <c r="AT29" s="24" t="str">
        <f t="shared" si="20"/>
        <v>EURHUF1M ICPL Curncy</v>
      </c>
      <c r="AU29" s="25" t="s">
        <v>300</v>
      </c>
      <c r="AV29" s="28"/>
      <c r="AW29" s="576">
        <f>IF(AT29="","",IF(StaticData.Today=TODAY(),_xll.BDP(AT29,"BID"),_xll.BDH(AT29,"BID",StaticData.Today,StaticData.Today)))</f>
        <v>33.9</v>
      </c>
      <c r="AX29" s="576">
        <f>IF(AT29="","",IF(StaticData.Today=TODAY(),_xll.BDP(AT29,"ASK"),_xll.BDH(AT29,"ASK",StaticData.Today,StaticData.Today)))</f>
        <v>36.6</v>
      </c>
      <c r="AY29" s="576">
        <f>IF(AT29="","",IF(StaticData.Today=TODAY(),_xll.BDP(AT29,"PX_LAST"),_xll.BDH(AT29,"PX_LAST",StaticData.Today,StaticData.Today)))</f>
        <v>35.25</v>
      </c>
      <c r="AZ29" s="577">
        <f t="shared" si="21"/>
        <v>35.25</v>
      </c>
      <c r="BC29" s="390" t="s">
        <v>1367</v>
      </c>
      <c r="BD29" s="516">
        <f>_xll.meDateFromTenor($BD$7,BC29,"MF",$BD$6)</f>
        <v>48102</v>
      </c>
      <c r="BE29" s="517">
        <f t="shared" si="7"/>
        <v>184</v>
      </c>
      <c r="BF29" s="518">
        <f>_xll.meCurveDiscountFactorsForwardStarting($BD$7,BD29,"EURYC","EUR6ML")</f>
        <v>1.0188923057410473</v>
      </c>
      <c r="BG29" s="316">
        <f t="shared" si="9"/>
        <v>11.363573323705447</v>
      </c>
      <c r="BH29" s="527">
        <f>_xll.meLWOSwapParSpread(_xll.meLWOXccySwapCreateFromGenerator("TEST","EUR_XCCY","PAy",$BD$7,BD29,1,1,"Float","Float",,,,,"USD",TRUE,"LEG2:FLOAT"),$BG$2:$BH$4)</f>
        <v>-18.973506991476171</v>
      </c>
      <c r="BI29" s="316">
        <f>_xll.meCurveDiscountFactorsForwardStarting($BD$7,HUF_DATA!BD29,"HUFYC","BUB6M")</f>
        <v>0.81771159776057989</v>
      </c>
      <c r="BJ29" s="316">
        <f t="shared" si="10"/>
        <v>10.235163290979555</v>
      </c>
      <c r="BK29" s="530">
        <f t="shared" si="11"/>
        <v>-21.065305142273193</v>
      </c>
      <c r="BL29" s="535"/>
    </row>
    <row r="30" spans="2:65" x14ac:dyDescent="0.25">
      <c r="G30" s="24"/>
      <c r="H30" s="25" t="s">
        <v>389</v>
      </c>
      <c r="I30" s="25"/>
      <c r="J30" s="25"/>
      <c r="K30" s="355"/>
      <c r="L30" s="30"/>
      <c r="M30" s="27">
        <f>(EUR_DATA!M57-EUR_DATA!M40)+$M$16</f>
        <v>1.051E-2</v>
      </c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14" t="s">
        <v>1426</v>
      </c>
      <c r="AM30" s="25" t="s">
        <v>349</v>
      </c>
      <c r="AN30" s="31"/>
      <c r="AO30" s="29"/>
      <c r="AP30" s="29"/>
      <c r="AQ30" s="178">
        <f>HUF_DATA!BM27</f>
        <v>-11.852676763448475</v>
      </c>
      <c r="AR30" s="338">
        <f t="shared" si="18"/>
        <v>-1.1852676763448476E-3</v>
      </c>
      <c r="AT30" s="24" t="str">
        <f t="shared" si="20"/>
        <v>EURHUF2M ICPL Curncy</v>
      </c>
      <c r="AU30" s="25" t="s">
        <v>335</v>
      </c>
      <c r="AV30" s="28"/>
      <c r="AW30" s="576">
        <f>IF(AT30="","",IF(StaticData.Today=TODAY(),_xll.BDP(AT30,"BID"),_xll.BDH(AT30,"BID",StaticData.Today,StaticData.Today)))</f>
        <v>64</v>
      </c>
      <c r="AX30" s="576">
        <f>IF(AT30="","",IF(StaticData.Today=TODAY(),_xll.BDP(AT30,"ASK"),_xll.BDH(AT30,"ASK",StaticData.Today,StaticData.Today)))</f>
        <v>72</v>
      </c>
      <c r="AY30" s="576">
        <f>IF(AT30="","",IF(StaticData.Today=TODAY(),_xll.BDP(AT30,"PX_LAST"),_xll.BDH(AT30,"PX_LAST",StaticData.Today,StaticData.Today)))</f>
        <v>68</v>
      </c>
      <c r="AZ30" s="577">
        <f t="shared" si="21"/>
        <v>68</v>
      </c>
      <c r="BC30" s="390" t="s">
        <v>1368</v>
      </c>
      <c r="BD30" s="516">
        <f>_xll.meDateFromTenor($BD$7,BC30,"MF",$BD$6)</f>
        <v>48284</v>
      </c>
      <c r="BE30" s="517">
        <f t="shared" si="7"/>
        <v>182</v>
      </c>
      <c r="BF30" s="518">
        <f>_xll.meCurveDiscountFactorsForwardStarting($BD$7,BD30,"EURYC","EUR6ML")</f>
        <v>1.0172477471521673</v>
      </c>
      <c r="BG30" s="316">
        <f t="shared" si="9"/>
        <v>11.877848573654598</v>
      </c>
      <c r="BH30" s="527">
        <f>_xll.meLWOSwapParSpread(_xll.meLWOXccySwapCreateFromGenerator("TEST","EUR_XCCY","PAy",$BD$7,BD30,1,1,"Float","Float",,,,,"USD",TRUE,"LEG2:FLOAT"),$BG$2:$BH$4)</f>
        <v>-19.061381407338466</v>
      </c>
      <c r="BI30" s="316">
        <f>_xll.meCurveDiscountFactorsForwardStarting($BD$7,HUF_DATA!BD30,"HUFYC","BUB6M")</f>
        <v>0.80734476929270005</v>
      </c>
      <c r="BJ30" s="316">
        <f t="shared" si="10"/>
        <v>10.643320924344199</v>
      </c>
      <c r="BK30" s="530">
        <f t="shared" si="11"/>
        <v>-21.272326895939379</v>
      </c>
      <c r="BL30" s="535"/>
    </row>
    <row r="31" spans="2:65" x14ac:dyDescent="0.25">
      <c r="G31" s="24"/>
      <c r="H31" s="25" t="s">
        <v>445</v>
      </c>
      <c r="I31" s="25"/>
      <c r="J31" s="25"/>
      <c r="K31" s="355"/>
      <c r="L31" s="30"/>
      <c r="M31" s="27">
        <f>(EUR_DATA!M58-EUR_DATA!M41)+$M$16</f>
        <v>1.0120000000000001E-2</v>
      </c>
      <c r="O31" s="24"/>
      <c r="P31" s="25"/>
      <c r="Q31" s="28"/>
      <c r="R31" s="29"/>
      <c r="S31" s="29"/>
      <c r="T31" s="30"/>
      <c r="U31" s="183"/>
      <c r="V31" s="204">
        <f>U21-Z19</f>
        <v>1.3100000000000001E-2</v>
      </c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14" t="s">
        <v>1427</v>
      </c>
      <c r="AM31" s="25" t="s">
        <v>358</v>
      </c>
      <c r="AN31" s="31"/>
      <c r="AO31" s="29"/>
      <c r="AP31" s="29"/>
      <c r="AQ31" s="178">
        <f>HUF_DATA!BM31</f>
        <v>-13.205759054769651</v>
      </c>
      <c r="AR31" s="338">
        <f t="shared" si="18"/>
        <v>-1.3205759054769652E-3</v>
      </c>
      <c r="AT31" s="24" t="str">
        <f t="shared" si="20"/>
        <v>EURHUF3M ICPL Curncy</v>
      </c>
      <c r="AU31" s="25" t="s">
        <v>49</v>
      </c>
      <c r="AV31" s="28"/>
      <c r="AW31" s="576">
        <f>IF(AT31="","",IF(StaticData.Today=TODAY(),_xll.BDP(AT31,"BID"),_xll.BDH(AT31,"BID",StaticData.Today,StaticData.Today)))</f>
        <v>108</v>
      </c>
      <c r="AX31" s="576">
        <f>IF(AT31="","",IF(StaticData.Today=TODAY(),_xll.BDP(AT31,"ASK"),_xll.BDH(AT31,"ASK",StaticData.Today,StaticData.Today)))</f>
        <v>115</v>
      </c>
      <c r="AY31" s="576">
        <f>IF(AT31="","",IF(StaticData.Today=TODAY(),_xll.BDP(AT31,"PX_LAST"),_xll.BDH(AT31,"PX_LAST",StaticData.Today,StaticData.Today)))</f>
        <v>112</v>
      </c>
      <c r="AZ31" s="577">
        <f t="shared" si="21"/>
        <v>112</v>
      </c>
      <c r="BC31" s="390" t="s">
        <v>1369</v>
      </c>
      <c r="BD31" s="516">
        <f>_xll.meDateFromTenor($BD$7,BC31,"MF",$BD$6)</f>
        <v>48470</v>
      </c>
      <c r="BE31" s="517">
        <f t="shared" si="7"/>
        <v>186</v>
      </c>
      <c r="BF31" s="518">
        <f>_xll.meCurveDiscountFactorsForwardStarting($BD$7,BD31,"EURYC","EUR6ML")</f>
        <v>1.0154370381672257</v>
      </c>
      <c r="BG31" s="316">
        <f t="shared" si="9"/>
        <v>12.402491043374331</v>
      </c>
      <c r="BH31" s="527">
        <f>_xll.meLWOSwapParSpread(_xll.meLWOXccySwapCreateFromGenerator("TEST","EUR_XCCY","PAy",$BD$7,BD31,1,1,"Float","Float",,,,,"USD",TRUE,"LEG2:FLOAT"),$BG$2:$BH$4)</f>
        <v>-19.16903515190036</v>
      </c>
      <c r="BI31" s="316">
        <f>_xll.meCurveDiscountFactorsForwardStarting($BD$7,HUF_DATA!BD31,"HUFYC","BUB6M")</f>
        <v>0.79658405355627604</v>
      </c>
      <c r="BJ31" s="316">
        <f t="shared" si="10"/>
        <v>11.054889352014941</v>
      </c>
      <c r="BK31" s="530">
        <f t="shared" si="11"/>
        <v>-21.505759054769651</v>
      </c>
      <c r="BL31" s="535">
        <f>HUF_DATA!AQ17</f>
        <v>8.3000000000000007</v>
      </c>
      <c r="BM31" s="335">
        <f>BL31+BK31</f>
        <v>-13.205759054769651</v>
      </c>
    </row>
    <row r="32" spans="2:65" x14ac:dyDescent="0.25">
      <c r="G32" s="38"/>
      <c r="H32" s="39" t="s">
        <v>448</v>
      </c>
      <c r="I32" s="39"/>
      <c r="J32" s="351"/>
      <c r="K32" s="356"/>
      <c r="L32" s="44"/>
      <c r="M32" s="41">
        <f>(EUR_DATA!M59-EUR_DATA!M42)+$M$16</f>
        <v>9.7599999999999996E-3</v>
      </c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14" t="s">
        <v>1428</v>
      </c>
      <c r="AM32" s="25" t="s">
        <v>367</v>
      </c>
      <c r="AN32" s="31"/>
      <c r="AO32" s="29"/>
      <c r="AP32" s="29"/>
      <c r="AQ32" s="178">
        <f>HUF_DATA!BM37</f>
        <v>-14.051887840667973</v>
      </c>
      <c r="AR32" s="338">
        <f t="shared" si="18"/>
        <v>-1.4051887840667973E-3</v>
      </c>
      <c r="AT32" s="24" t="str">
        <f t="shared" si="20"/>
        <v>EURHUF6M ICPL Curncy</v>
      </c>
      <c r="AU32" s="25" t="s">
        <v>46</v>
      </c>
      <c r="AV32" s="28"/>
      <c r="AW32" s="576">
        <f>IF(AT32="","",IF(StaticData.Today=TODAY(),_xll.BDP(AT32,"BID"),_xll.BDH(AT32,"BID",StaticData.Today,StaticData.Today)))</f>
        <v>207</v>
      </c>
      <c r="AX32" s="576">
        <f>IF(AT32="","",IF(StaticData.Today=TODAY(),_xll.BDP(AT32,"ASK"),_xll.BDH(AT32,"ASK",StaticData.Today,StaticData.Today)))</f>
        <v>256</v>
      </c>
      <c r="AY32" s="576">
        <f>IF(AT32="","",IF(StaticData.Today=TODAY(),_xll.BDP(AT32,"PX_LAST"),_xll.BDH(AT32,"PX_LAST",StaticData.Today,StaticData.Today)))</f>
        <v>231.5</v>
      </c>
      <c r="AZ32" s="577">
        <f t="shared" si="21"/>
        <v>231.5</v>
      </c>
      <c r="BC32" s="390" t="s">
        <v>1370</v>
      </c>
      <c r="BD32" s="516">
        <f>_xll.meDateFromTenor($BD$7,BC32,"MF",$BD$6)</f>
        <v>48649</v>
      </c>
      <c r="BE32" s="517">
        <f t="shared" si="7"/>
        <v>179</v>
      </c>
      <c r="BF32" s="518">
        <f>_xll.meCurveDiscountFactorsForwardStarting($BD$7,BD32,"EURYC","EUR6ML")</f>
        <v>1.0135792681389462</v>
      </c>
      <c r="BG32" s="316">
        <f t="shared" si="9"/>
        <v>12.906465179476752</v>
      </c>
      <c r="BH32" s="527">
        <f>_xll.meLWOSwapParSpread(_xll.meLWOXccySwapCreateFromGenerator("TEST","EUR_XCCY","PAy",$BD$7,BD32,1,1,"Float","Float",,,,,"USD",TRUE,"LEG2:FLOAT"),$BG$2:$BH$4)</f>
        <v>-19.157336590410729</v>
      </c>
      <c r="BI32" s="316">
        <f>_xll.meCurveDiscountFactorsForwardStarting($BD$7,HUF_DATA!BD32,"HUFYC","BUB6M")</f>
        <v>0.78601995461811502</v>
      </c>
      <c r="BJ32" s="316">
        <f t="shared" si="10"/>
        <v>11.44571594056117</v>
      </c>
      <c r="BK32" s="530">
        <f t="shared" si="11"/>
        <v>-21.602274503374527</v>
      </c>
      <c r="BL32" s="535"/>
    </row>
    <row r="33" spans="15:65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14" t="s">
        <v>1429</v>
      </c>
      <c r="AM33" s="25" t="s">
        <v>374</v>
      </c>
      <c r="AN33" s="28"/>
      <c r="AO33" s="29"/>
      <c r="AP33" s="29"/>
      <c r="AQ33" s="178">
        <f>HUF_DATA!BM47</f>
        <v>-12.556631656404015</v>
      </c>
      <c r="AR33" s="338">
        <f t="shared" si="18"/>
        <v>-1.2556631656404015E-3</v>
      </c>
      <c r="AT33" s="24" t="str">
        <f t="shared" si="20"/>
        <v>EURHUF9M ICPL Curncy</v>
      </c>
      <c r="AU33" s="25" t="s">
        <v>376</v>
      </c>
      <c r="AV33" s="28"/>
      <c r="AW33" s="576">
        <f>IF(AT33="","",IF(StaticData.Today=TODAY(),_xll.BDP(AT33,"BID"),_xll.BDH(AT33,"BID",StaticData.Today,StaticData.Today)))</f>
        <v>339</v>
      </c>
      <c r="AX33" s="576">
        <f>IF(AT33="","",IF(StaticData.Today=TODAY(),_xll.BDP(AT33,"ASK"),_xll.BDH(AT33,"ASK",StaticData.Today,StaticData.Today)))</f>
        <v>378</v>
      </c>
      <c r="AY33" s="576">
        <f>IF(AT33="","",IF(StaticData.Today=TODAY(),_xll.BDP(AT33,"PX_LAST"),_xll.BDH(AT33,"PX_LAST",StaticData.Today,StaticData.Today)))</f>
        <v>359</v>
      </c>
      <c r="AZ33" s="577">
        <f t="shared" si="21"/>
        <v>359</v>
      </c>
      <c r="BC33" s="390" t="s">
        <v>1371</v>
      </c>
      <c r="BD33" s="516">
        <f>_xll.meDateFromTenor($BD$7,BC33,"MF",$BD$6)</f>
        <v>48834</v>
      </c>
      <c r="BE33" s="517">
        <f t="shared" si="7"/>
        <v>185</v>
      </c>
      <c r="BF33" s="518">
        <f>_xll.meCurveDiscountFactorsForwardStarting($BD$7,BD33,"EURYC","EUR6ML")</f>
        <v>1.0115699805949931</v>
      </c>
      <c r="BG33" s="316">
        <f t="shared" si="9"/>
        <v>13.426299752838068</v>
      </c>
      <c r="BH33" s="527">
        <f>_xll.meLWOSwapParSpread(_xll.meLWOXccySwapCreateFromGenerator("TEST","EUR_XCCY","PAy",$BD$7,BD33,1,1,"Float","Float",,,,,"USD",TRUE,"LEG2:FLOAT"),$BG$2:$BH$4)</f>
        <v>-19.199604037902517</v>
      </c>
      <c r="BI33" s="316">
        <f>_xll.meCurveDiscountFactorsForwardStarting($BD$7,HUF_DATA!BD33,"HUFYC","BUB6M")</f>
        <v>0.77494199546666331</v>
      </c>
      <c r="BJ33" s="316">
        <f t="shared" si="10"/>
        <v>11.843950021564872</v>
      </c>
      <c r="BK33" s="530">
        <f t="shared" si="11"/>
        <v>-21.764667908875591</v>
      </c>
      <c r="BL33" s="535"/>
    </row>
    <row r="34" spans="15:65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 t="str">
        <f t="shared" si="20"/>
        <v>EURHUF12M ICPL Curncy</v>
      </c>
      <c r="AU34" s="25" t="s">
        <v>322</v>
      </c>
      <c r="AV34" s="28"/>
      <c r="AW34" s="576">
        <f>IF(AT34="","",IF(StaticData.Today=TODAY(),_xll.BDP(AT34,"BID"),_xll.BDH(AT34,"BID",StaticData.Today,StaticData.Today)))</f>
        <v>487</v>
      </c>
      <c r="AX34" s="576">
        <f>IF(AT34="","",IF(StaticData.Today=TODAY(),_xll.BDP(AT34,"ASK"),_xll.BDH(AT34,"ASK",StaticData.Today,StaticData.Today)))</f>
        <v>539</v>
      </c>
      <c r="AY34" s="576">
        <f>IF(AT34="","",IF(StaticData.Today=TODAY(),_xll.BDP(AT34,"PX_LAST"),_xll.BDH(AT34,"PX_LAST",StaticData.Today,StaticData.Today)))</f>
        <v>513</v>
      </c>
      <c r="AZ34" s="577">
        <f t="shared" si="21"/>
        <v>513</v>
      </c>
      <c r="BC34" s="390" t="s">
        <v>1372</v>
      </c>
      <c r="BD34" s="516">
        <f>_xll.meDateFromTenor($BD$7,BC34,"MF",$BD$6)</f>
        <v>49016</v>
      </c>
      <c r="BE34" s="517">
        <f t="shared" si="7"/>
        <v>182</v>
      </c>
      <c r="BF34" s="518">
        <f>_xll.meCurveDiscountFactorsForwardStarting($BD$7,BD34,"EURYC","EUR6ML")</f>
        <v>1.0095387575282204</v>
      </c>
      <c r="BG34" s="316">
        <f t="shared" si="9"/>
        <v>13.936677680255112</v>
      </c>
      <c r="BH34" s="527">
        <f>_xll.meLWOSwapParSpread(_xll.meLWOXccySwapCreateFromGenerator("TEST","EUR_XCCY","PAy",$BD$7,BD34,1,1,"Float","Float",,,,,"USD",TRUE,"LEG2:FLOAT"),$BG$2:$BH$4)</f>
        <v>-19.169378961952621</v>
      </c>
      <c r="BI34" s="316">
        <f>_xll.meCurveDiscountFactorsForwardStarting($BD$7,HUF_DATA!BD34,"HUFYC","BUB6M")</f>
        <v>0.76396294202828008</v>
      </c>
      <c r="BJ34" s="316">
        <f t="shared" si="10"/>
        <v>12.230175731145836</v>
      </c>
      <c r="BK34" s="530">
        <f t="shared" si="11"/>
        <v>-21.844122422790992</v>
      </c>
      <c r="BL34" s="535"/>
    </row>
    <row r="35" spans="15:65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 t="str">
        <f t="shared" si="20"/>
        <v>EURHUF2Y ICPL Curncy</v>
      </c>
      <c r="AU35" s="25" t="s">
        <v>308</v>
      </c>
      <c r="AV35" s="28"/>
      <c r="AW35" s="576">
        <f>IF(AT35="","",IF(StaticData.Today=TODAY(),_xll.BDP(AT35,"BID"),_xll.BDH(AT35,"BID",StaticData.Today,StaticData.Today)))</f>
        <v>802</v>
      </c>
      <c r="AX35" s="576">
        <f>IF(AT35="","",IF(StaticData.Today=TODAY(),_xll.BDP(AT35,"ASK"),_xll.BDH(AT35,"ASK",StaticData.Today,StaticData.Today)))</f>
        <v>996</v>
      </c>
      <c r="AY35" s="576">
        <f>IF(AT35="","",IF(StaticData.Today=TODAY(),_xll.BDP(AT35,"PX_LAST"),_xll.BDH(AT35,"PX_LAST",StaticData.Today,StaticData.Today)))</f>
        <v>900.5</v>
      </c>
      <c r="AZ35" s="577">
        <f t="shared" si="21"/>
        <v>900.5</v>
      </c>
      <c r="BC35" s="390" t="s">
        <v>1373</v>
      </c>
      <c r="BD35" s="516">
        <f>_xll.meDateFromTenor($BD$7,BC35,"MF",$BD$6)</f>
        <v>49198</v>
      </c>
      <c r="BE35" s="517">
        <f t="shared" si="7"/>
        <v>182</v>
      </c>
      <c r="BF35" s="518">
        <f>_xll.meCurveDiscountFactorsForwardStarting($BD$7,BD35,"EURYC","EUR6ML")</f>
        <v>1.0074871173405546</v>
      </c>
      <c r="BG35" s="316">
        <f t="shared" si="9"/>
        <v>14.446018389577281</v>
      </c>
      <c r="BH35" s="527">
        <f>_xll.meLWOSwapParSpread(_xll.meLWOXccySwapCreateFromGenerator("TEST","EUR_XCCY","PAy",$BD$7,BD35,1,1,"Float","Float",,,,,"USD",TRUE,"LEG2:FLOAT"),$BG$2:$BH$4)</f>
        <v>-19.072188687586106</v>
      </c>
      <c r="BI35" s="316">
        <f>_xll.meCurveDiscountFactorsForwardStarting($BD$7,HUF_DATA!BD35,"HUFYC","BUB6M")</f>
        <v>0.75297746577345526</v>
      </c>
      <c r="BJ35" s="316">
        <f t="shared" si="10"/>
        <v>12.610847672175749</v>
      </c>
      <c r="BK35" s="530">
        <f t="shared" si="11"/>
        <v>-21.847634328202275</v>
      </c>
      <c r="BL35" s="535"/>
    </row>
    <row r="36" spans="15:65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 t="str">
        <f t="shared" si="20"/>
        <v>EURHUF3Y ICPL Curncy</v>
      </c>
      <c r="AU36" s="25" t="s">
        <v>316</v>
      </c>
      <c r="AV36" s="28"/>
      <c r="AW36" s="576" t="str">
        <f>IF(AT36="","",IF(StaticData.Today=TODAY(),_xll.BDP(AT36,"BID"),_xll.BDH(AT36,"BID",StaticData.Today,StaticData.Today)))</f>
        <v>#N/A N/A</v>
      </c>
      <c r="AX36" s="576" t="str">
        <f>IF(AT36="","",IF(StaticData.Today=TODAY(),_xll.BDP(AT36,"ASK"),_xll.BDH(AT36,"ASK",StaticData.Today,StaticData.Today)))</f>
        <v>#N/A N/A</v>
      </c>
      <c r="AY36" s="576" t="str">
        <f>IF(AT36="","",IF(StaticData.Today=TODAY(),_xll.BDP(AT36,"PX_LAST"),_xll.BDH(AT36,"PX_LAST",StaticData.Today,StaticData.Today)))</f>
        <v>#N/A N/A</v>
      </c>
      <c r="AZ36" s="577" t="str">
        <f t="shared" si="21"/>
        <v>#N/A N/A</v>
      </c>
      <c r="BC36" s="390" t="s">
        <v>1374</v>
      </c>
      <c r="BD36" s="516">
        <f>_xll.meDateFromTenor($BD$7,BC36,"MF",$BD$6)</f>
        <v>49380</v>
      </c>
      <c r="BE36" s="517">
        <f t="shared" si="7"/>
        <v>182</v>
      </c>
      <c r="BF36" s="518">
        <f>_xll.meCurveDiscountFactorsForwardStarting($BD$7,BD36,"EURYC","EUR6ML")</f>
        <v>1.0054482646229919</v>
      </c>
      <c r="BG36" s="316">
        <f t="shared" si="9"/>
        <v>14.954328345581127</v>
      </c>
      <c r="BH36" s="527">
        <f>_xll.meLWOSwapParSpread(_xll.meLWOXccySwapCreateFromGenerator("TEST","EUR_XCCY","PAy",$BD$7,BD36,1,1,"Float","Float",,,,,"USD",TRUE,"LEG2:FLOAT"),$BG$2:$BH$4)</f>
        <v>-19.022591304345458</v>
      </c>
      <c r="BI36" s="316">
        <f>_xll.meCurveDiscountFactorsForwardStarting($BD$7,HUF_DATA!BD36,"HUFYC","BUB6M")</f>
        <v>0.74205492122244465</v>
      </c>
      <c r="BJ36" s="316">
        <f t="shared" si="10"/>
        <v>12.985997660127097</v>
      </c>
      <c r="BK36" s="530">
        <f t="shared" si="11"/>
        <v>-21.90590848652549</v>
      </c>
      <c r="BL36" s="535"/>
    </row>
    <row r="37" spans="15:65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 t="str">
        <f t="shared" si="20"/>
        <v>EURHUF4Y ICPL Curncy</v>
      </c>
      <c r="AU37" s="25" t="s">
        <v>324</v>
      </c>
      <c r="AV37" s="28"/>
      <c r="AW37" s="576" t="str">
        <f>IF(AT37="","",IF(StaticData.Today=TODAY(),_xll.BDP(AT37,"BID"),_xll.BDH(AT37,"BID",StaticData.Today,StaticData.Today)))</f>
        <v>#N/A N/A</v>
      </c>
      <c r="AX37" s="576" t="str">
        <f>IF(AT37="","",IF(StaticData.Today=TODAY(),_xll.BDP(AT37,"ASK"),_xll.BDH(AT37,"ASK",StaticData.Today,StaticData.Today)))</f>
        <v>#N/A N/A</v>
      </c>
      <c r="AY37" s="576" t="str">
        <f>IF(AT37="","",IF(StaticData.Today=TODAY(),_xll.BDP(AT37,"PX_LAST"),_xll.BDH(AT37,"PX_LAST",StaticData.Today,StaticData.Today)))</f>
        <v>#N/A N/A</v>
      </c>
      <c r="AZ37" s="577" t="str">
        <f t="shared" si="21"/>
        <v>#N/A N/A</v>
      </c>
      <c r="BC37" s="390" t="s">
        <v>1375</v>
      </c>
      <c r="BD37" s="516">
        <f>_xll.meDateFromTenor($BD$7,BC37,"MF",$BD$6)</f>
        <v>49563</v>
      </c>
      <c r="BE37" s="517">
        <f t="shared" si="7"/>
        <v>183</v>
      </c>
      <c r="BF37" s="518">
        <f>_xll.meCurveDiscountFactorsForwardStarting($BD$7,BD37,"EURYC","EUR6ML")</f>
        <v>1.0034443719881088</v>
      </c>
      <c r="BG37" s="316">
        <f t="shared" si="9"/>
        <v>15.464412568008415</v>
      </c>
      <c r="BH37" s="527">
        <f>_xll.meLWOSwapParSpread(_xll.meLWOXccySwapCreateFromGenerator("TEST","EUR_XCCY","PAy",$BD$7,BD37,1,1,"Float","Float",,,,,"USD",TRUE,"LEG2:FLOAT"),$BG$2:$BH$4)</f>
        <v>-18.875000001415664</v>
      </c>
      <c r="BI37" s="316">
        <f>_xll.meCurveDiscountFactorsForwardStarting($BD$7,HUF_DATA!BD37,"HUFYC","BUB6M")</f>
        <v>0.73120196647178826</v>
      </c>
      <c r="BJ37" s="316">
        <f t="shared" si="10"/>
        <v>13.35769199308359</v>
      </c>
      <c r="BK37" s="530">
        <f t="shared" si="11"/>
        <v>-21.851887840667974</v>
      </c>
      <c r="BL37" s="535">
        <f>HUF_DATA!AQ18</f>
        <v>7.8</v>
      </c>
      <c r="BM37" s="335">
        <f>BL37+BK37</f>
        <v>-14.051887840667973</v>
      </c>
    </row>
    <row r="38" spans="15:65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 t="str">
        <f t="shared" si="20"/>
        <v>EURHUF5Y ICPL Curncy</v>
      </c>
      <c r="AU38" s="25" t="s">
        <v>331</v>
      </c>
      <c r="AV38" s="28"/>
      <c r="AW38" s="576" t="str">
        <f>IF(AT38="","",IF(StaticData.Today=TODAY(),_xll.BDP(AT38,"BID"),_xll.BDH(AT38,"BID",StaticData.Today,StaticData.Today)))</f>
        <v>#N/A N/A</v>
      </c>
      <c r="AX38" s="576" t="str">
        <f>IF(AT38="","",IF(StaticData.Today=TODAY(),_xll.BDP(AT38,"ASK"),_xll.BDH(AT38,"ASK",StaticData.Today,StaticData.Today)))</f>
        <v>#N/A N/A</v>
      </c>
      <c r="AY38" s="576" t="str">
        <f>IF(AT38="","",IF(StaticData.Today=TODAY(),_xll.BDP(AT38,"PX_LAST"),_xll.BDH(AT38,"PX_LAST",StaticData.Today,StaticData.Today)))</f>
        <v>#N/A N/A</v>
      </c>
      <c r="AZ38" s="577" t="str">
        <f t="shared" si="21"/>
        <v>#N/A N/A</v>
      </c>
      <c r="BC38" s="390" t="s">
        <v>1376</v>
      </c>
      <c r="BD38" s="516">
        <f>_xll.meDateFromTenor($BD$7,BC38,"MF",$BD$6)</f>
        <v>49745</v>
      </c>
      <c r="BE38" s="517">
        <f t="shared" si="7"/>
        <v>182</v>
      </c>
      <c r="BF38" s="518">
        <f>_xll.meCurveDiscountFactorsForwardStarting($BD$7,BD38,"EURYC","EUR6ML")</f>
        <v>1.0015256138025066</v>
      </c>
      <c r="BG38" s="316">
        <f t="shared" si="9"/>
        <v>15.97073940609746</v>
      </c>
      <c r="BH38" s="527">
        <f>_xll.meLWOSwapParSpread(_xll.meLWOXccySwapCreateFromGenerator("TEST","EUR_XCCY","PAy",$BD$7,BD38,1,1,"Float","Float",,,,,"USD",TRUE,"LEG2:FLOAT"),$BG$2:$BH$4)</f>
        <v>-18.740932644154856</v>
      </c>
      <c r="BI38" s="316">
        <f>_xll.meCurveDiscountFactorsForwardStarting($BD$7,HUF_DATA!BD38,"HUFYC","BUB6M")</f>
        <v>0.72058819942708796</v>
      </c>
      <c r="BJ38" s="316">
        <f t="shared" si="10"/>
        <v>13.721989360571728</v>
      </c>
      <c r="BK38" s="530">
        <f t="shared" si="11"/>
        <v>-21.81218361435543</v>
      </c>
      <c r="BL38" s="535"/>
    </row>
    <row r="39" spans="15:65" x14ac:dyDescent="0.25"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  <c r="BC39" s="390" t="s">
        <v>1377</v>
      </c>
      <c r="BD39" s="516">
        <f>_xll.meDateFromTenor($BD$7,BC39,"MF",$BD$6)</f>
        <v>49929</v>
      </c>
      <c r="BE39" s="517">
        <f t="shared" si="7"/>
        <v>184</v>
      </c>
      <c r="BF39" s="518">
        <f>_xll.meCurveDiscountFactorsForwardStarting($BD$7,BD39,"EURYC","EUR6ML")</f>
        <v>0.99967093799355766</v>
      </c>
      <c r="BG39" s="316">
        <f t="shared" si="9"/>
        <v>16.481682329960833</v>
      </c>
      <c r="BH39" s="527">
        <f>_xll.meLWOSwapParSpread(_xll.meLWOXccySwapCreateFromGenerator("TEST","EUR_XCCY","PAy",$BD$7,BD39,1,1,"Float","Float",,,,,"USD",TRUE,"LEG2:FLOAT"),$BG$2:$BH$4)</f>
        <v>-18.579285027553762</v>
      </c>
      <c r="BI39" s="316">
        <f>_xll.meCurveDiscountFactorsForwardStarting($BD$7,HUF_DATA!BD39,"HUFYC","BUB6M")</f>
        <v>0.710044581306991</v>
      </c>
      <c r="BJ39" s="316">
        <f t="shared" si="10"/>
        <v>14.084901035461968</v>
      </c>
      <c r="BK39" s="530">
        <f t="shared" si="11"/>
        <v>-21.740860867319196</v>
      </c>
      <c r="BL39" s="535"/>
    </row>
    <row r="40" spans="15:65" x14ac:dyDescent="0.25"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  <c r="BC40" s="390" t="s">
        <v>1378</v>
      </c>
      <c r="BD40" s="516">
        <f>_xll.meDateFromTenor($BD$7,BC40,"MF",$BD$6)</f>
        <v>50110</v>
      </c>
      <c r="BE40" s="517">
        <f t="shared" si="7"/>
        <v>181</v>
      </c>
      <c r="BF40" s="518">
        <f>_xll.meCurveDiscountFactorsForwardStarting($BD$7,BD40,"EURYC","EUR6ML")</f>
        <v>0.99793518796183589</v>
      </c>
      <c r="BG40" s="316">
        <f t="shared" si="9"/>
        <v>16.983421966130535</v>
      </c>
      <c r="BH40" s="527">
        <f>_xll.meLWOSwapParSpread(_xll.meLWOXccySwapCreateFromGenerator("TEST","EUR_XCCY","PAy",$BD$7,BD40,1,1,"Float","Float",,,,,"USD",TRUE,"LEG2:FLOAT"),$BG$2:$BH$4)</f>
        <v>-18.392142501615229</v>
      </c>
      <c r="BI40" s="316">
        <f>_xll.meCurveDiscountFactorsForwardStarting($BD$7,HUF_DATA!BD40,"HUFYC","BUB6M")</f>
        <v>0.6998493484556505</v>
      </c>
      <c r="BJ40" s="316">
        <f t="shared" si="10"/>
        <v>14.436769735657725</v>
      </c>
      <c r="BK40" s="530">
        <f t="shared" si="11"/>
        <v>-21.636524145330508</v>
      </c>
      <c r="BL40" s="535"/>
    </row>
    <row r="41" spans="15:65" x14ac:dyDescent="0.25"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  <c r="BC41" s="520" t="s">
        <v>1379</v>
      </c>
      <c r="BD41" s="516">
        <f>_xll.meDateFromTenor($BD$7,BC41,"MF",$BD$6)</f>
        <v>50294</v>
      </c>
      <c r="BE41" s="517">
        <f t="shared" si="7"/>
        <v>184</v>
      </c>
      <c r="BF41" s="518">
        <f>_xll.meCurveDiscountFactorsForwardStarting($BD$7,BD41,"EURYC","EUR6ML")</f>
        <v>0.99626604889422166</v>
      </c>
      <c r="BG41" s="316">
        <f t="shared" si="9"/>
        <v>17.492624613343139</v>
      </c>
      <c r="BH41" s="527">
        <f>_xll.meLWOSwapParSpread(_xll.meLWOXccySwapCreateFromGenerator("TEST","EUR_XCCY","PAy",$BD$7,BD41,1,1,"Float","Float",,,,,"USD",TRUE,"LEG2:FLOAT"),$BG$2:$BH$4)</f>
        <v>-18.171831411935695</v>
      </c>
      <c r="BI41" s="316">
        <f>_xll.meCurveDiscountFactorsForwardStarting($BD$7,HUF_DATA!BD41,"HUFYC","BUB6M")</f>
        <v>0.68965790838560803</v>
      </c>
      <c r="BJ41" s="316">
        <f t="shared" si="10"/>
        <v>14.789261555499259</v>
      </c>
      <c r="BK41" s="530">
        <f t="shared" si="11"/>
        <v>-21.493502176094115</v>
      </c>
      <c r="BL41" s="535"/>
    </row>
    <row r="42" spans="15:65" x14ac:dyDescent="0.25"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  <c r="BC42" s="390" t="s">
        <v>1380</v>
      </c>
      <c r="BD42" s="516">
        <f>_xll.meDateFromTenor($BD$7,BC42,"MF",$BD$6)</f>
        <v>50475</v>
      </c>
      <c r="BE42" s="517">
        <f t="shared" si="7"/>
        <v>181</v>
      </c>
      <c r="BF42" s="518">
        <f>_xll.meCurveDiscountFactorsForwardStarting($BD$7,BD42,"EURYC","EUR6ML")</f>
        <v>0.99472304842287962</v>
      </c>
      <c r="BG42" s="316">
        <f t="shared" si="9"/>
        <v>17.992749257133532</v>
      </c>
      <c r="BH42" s="527">
        <f>_xll.meLWOSwapParSpread(_xll.meLWOXccySwapCreateFromGenerator("TEST","EUR_XCCY","PAy",$BD$7,BD42,1,1,"Float","Float",,,,,"USD",TRUE,"LEG2:FLOAT"),$BG$2:$BH$4)</f>
        <v>-17.924985158239924</v>
      </c>
      <c r="BI42" s="316">
        <f>_xll.meCurveDiscountFactorsForwardStarting($BD$7,HUF_DATA!BD42,"HUFYC","BUB6M")</f>
        <v>0.67979635585547715</v>
      </c>
      <c r="BJ42" s="316">
        <f t="shared" si="10"/>
        <v>15.131048056637708</v>
      </c>
      <c r="BK42" s="530">
        <f t="shared" si="11"/>
        <v>-21.315097419743346</v>
      </c>
      <c r="BL42" s="535"/>
    </row>
    <row r="43" spans="15:65" x14ac:dyDescent="0.25"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  <c r="BC43" s="390" t="s">
        <v>1381</v>
      </c>
      <c r="BD43" s="516">
        <f>_xll.meDateFromTenor($BD$7,BC43,"MF",$BD$6)</f>
        <v>50661</v>
      </c>
      <c r="BE43" s="517">
        <f t="shared" si="7"/>
        <v>186</v>
      </c>
      <c r="BF43" s="518">
        <f>_xll.meCurveDiscountFactorsForwardStarting($BD$7,BD43,"EURYC","EUR6ML")</f>
        <v>0.99324494826578058</v>
      </c>
      <c r="BG43" s="316">
        <f t="shared" si="9"/>
        <v>18.50592581373752</v>
      </c>
      <c r="BH43" s="527">
        <f>_xll.meLWOSwapParSpread(_xll.meLWOXccySwapCreateFromGenerator("TEST","EUR_XCCY","PAy",$BD$7,BD43,1,1,"Float","Float",,,,,"USD",TRUE,"LEG2:FLOAT"),$BG$2:$BH$4)</f>
        <v>-17.66906924379521</v>
      </c>
      <c r="BI43" s="316">
        <f>_xll.meCurveDiscountFactorsForwardStarting($BD$7,HUF_DATA!BD43,"HUFYC","BUB6M")</f>
        <v>0.66982530339923774</v>
      </c>
      <c r="BJ43" s="316">
        <f t="shared" si="10"/>
        <v>15.477124463393981</v>
      </c>
      <c r="BK43" s="530">
        <f t="shared" si="11"/>
        <v>-21.126824003827995</v>
      </c>
      <c r="BL43" s="535"/>
    </row>
    <row r="44" spans="15:65" x14ac:dyDescent="0.25"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  <c r="BC44" s="390" t="s">
        <v>1382</v>
      </c>
      <c r="BD44" s="516">
        <f>_xll.meDateFromTenor($BD$7,BC44,"MF",$BD$6)</f>
        <v>50840</v>
      </c>
      <c r="BE44" s="517">
        <f t="shared" si="7"/>
        <v>179</v>
      </c>
      <c r="BF44" s="518">
        <f>_xll.meCurveDiscountFactorsForwardStarting($BD$7,BD44,"EURYC","EUR6ML")</f>
        <v>0.99193042559616618</v>
      </c>
      <c r="BG44" s="316">
        <f t="shared" si="9"/>
        <v>18.999135664242282</v>
      </c>
      <c r="BH44" s="527">
        <f>_xll.meLWOSwapParSpread(_xll.meLWOXccySwapCreateFromGenerator("TEST","EUR_XCCY","PAy",$BD$7,BD44,1,1,"Float","Float",,,,,"USD",TRUE,"LEG2:FLOAT"),$BG$2:$BH$4)</f>
        <v>-17.337720771496741</v>
      </c>
      <c r="BI44" s="316">
        <f>_xll.meCurveDiscountFactorsForwardStarting($BD$7,HUF_DATA!BD44,"HUFYC","BUB6M")</f>
        <v>0.66037974227625407</v>
      </c>
      <c r="BJ44" s="316">
        <f t="shared" si="10"/>
        <v>15.805479946359119</v>
      </c>
      <c r="BK44" s="530">
        <f t="shared" si="11"/>
        <v>-20.840981113154836</v>
      </c>
      <c r="BL44" s="535"/>
    </row>
    <row r="45" spans="15:65" x14ac:dyDescent="0.25"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  <c r="BC45" s="520" t="s">
        <v>1383</v>
      </c>
      <c r="BD45" s="516">
        <f>_xll.meDateFromTenor($BD$7,BC45,"MF",$BD$6)</f>
        <v>51025</v>
      </c>
      <c r="BE45" s="517">
        <f t="shared" si="7"/>
        <v>185</v>
      </c>
      <c r="BF45" s="518">
        <f>_xll.meCurveDiscountFactorsForwardStarting($BD$7,BD45,"EURYC","EUR6ML")</f>
        <v>0.99068833726479377</v>
      </c>
      <c r="BG45" s="316">
        <f t="shared" si="9"/>
        <v>19.508239393114469</v>
      </c>
      <c r="BH45" s="527">
        <f>_xll.meLWOSwapParSpread(_xll.meLWOXccySwapCreateFromGenerator("TEST","EUR_XCCY","PAy",$BD$7,BD45,1,1,"Float","Float",,,,,"USD",TRUE,"LEG2:FLOAT"),$BG$2:$BH$4)</f>
        <v>-17.024355118530814</v>
      </c>
      <c r="BI45" s="316">
        <f>_xll.meCurveDiscountFactorsForwardStarting($BD$7,HUF_DATA!BD45,"HUFYC","BUB6M")</f>
        <v>0.65076673433937393</v>
      </c>
      <c r="BJ45" s="316">
        <f t="shared" si="10"/>
        <v>16.139901740394631</v>
      </c>
      <c r="BK45" s="530">
        <f t="shared" si="11"/>
        <v>-20.577274912057323</v>
      </c>
      <c r="BL45" s="535"/>
    </row>
    <row r="46" spans="15:65" x14ac:dyDescent="0.25">
      <c r="O46" s="24"/>
      <c r="P46" s="25"/>
      <c r="Q46" s="28"/>
      <c r="R46" s="29"/>
      <c r="S46" s="29"/>
      <c r="T46" s="30" t="str">
        <f>IF(O46="","",IF(StaticData.Today=TODAY(),_xll.BDP(O46,"LAST_PRICE"),_xll.BDH(O46,"LAST_PRICE",StaticData.Today,StaticData.Today)))</f>
        <v/>
      </c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  <c r="BC46" s="521" t="s">
        <v>1384</v>
      </c>
      <c r="BD46" s="516">
        <f>_xll.meDateFromTenor($BD$7,BC46,"MF",$BD$6)</f>
        <v>51207</v>
      </c>
      <c r="BE46" s="517">
        <f t="shared" si="7"/>
        <v>182</v>
      </c>
      <c r="BF46" s="518">
        <f>_xll.meCurveDiscountFactorsForwardStarting($BD$7,BD46,"EURYC","EUR6ML")</f>
        <v>0.98958710765696567</v>
      </c>
      <c r="BG46" s="316">
        <f t="shared" si="9"/>
        <v>20.008530653096603</v>
      </c>
      <c r="BH46" s="527">
        <f>_xll.meLWOSwapParSpread(_xll.meLWOXccySwapCreateFromGenerator("TEST","EUR_XCCY","PAy",$BD$7,BD46,1,1,"Float","Float",,,,,"USD",TRUE,"LEG2:FLOAT"),$BG$2:$BH$4)</f>
        <v>-16.662788921881372</v>
      </c>
      <c r="BI46" s="316">
        <f>_xll.meCurveDiscountFactorsForwardStarting($BD$7,HUF_DATA!BD46,"HUFYC","BUB6M")</f>
        <v>0.64145219186502123</v>
      </c>
      <c r="BJ46" s="316">
        <f t="shared" si="10"/>
        <v>16.464191459615282</v>
      </c>
      <c r="BK46" s="530">
        <f t="shared" si="11"/>
        <v>-20.249881309223575</v>
      </c>
      <c r="BL46" s="535"/>
    </row>
    <row r="47" spans="15:65" x14ac:dyDescent="0.25">
      <c r="O47" s="24"/>
      <c r="P47" s="25"/>
      <c r="Q47" s="28"/>
      <c r="R47" s="29"/>
      <c r="S47" s="29"/>
      <c r="T47" s="30" t="str">
        <f>IF(O47="","",IF(StaticData.Today=TODAY(),_xll.BDP(O47,"LAST_PRICE"),_xll.BDH(O47,"LAST_PRICE",StaticData.Today,StaticData.Today)))</f>
        <v/>
      </c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  <c r="BC47" s="390" t="s">
        <v>1385</v>
      </c>
      <c r="BD47" s="516">
        <f>_xll.meDateFromTenor($BD$7,BC47,"MF",$BD$6)</f>
        <v>51390</v>
      </c>
      <c r="BE47" s="517">
        <f t="shared" si="7"/>
        <v>183</v>
      </c>
      <c r="BF47" s="518">
        <f>_xll.meCurveDiscountFactorsForwardStarting($BD$7,BD47,"EURYC","EUR6ML")</f>
        <v>0.98860576630541497</v>
      </c>
      <c r="BG47" s="316">
        <f t="shared" si="9"/>
        <v>20.511071917635189</v>
      </c>
      <c r="BH47" s="527">
        <f>_xll.meLWOSwapParSpread(_xll.meLWOXccySwapCreateFromGenerator("TEST","EUR_XCCY","PAy",$BD$7,BD47,1,1,"Float","Float",,,,,"USD",TRUE,"LEG2:FLOAT"),$BG$2:$BH$4)</f>
        <v>-16.250000001200466</v>
      </c>
      <c r="BI47" s="316">
        <f>_xll.meCurveDiscountFactorsForwardStarting($BD$7,HUF_DATA!BD47,"HUFYC","BUB6M")</f>
        <v>0.63222384942842691</v>
      </c>
      <c r="BJ47" s="316">
        <f t="shared" si="10"/>
        <v>16.785571916408067</v>
      </c>
      <c r="BK47" s="530">
        <f t="shared" si="11"/>
        <v>-19.856631656404016</v>
      </c>
      <c r="BL47" s="535">
        <f>HUF_DATA!AQ19</f>
        <v>7.3</v>
      </c>
      <c r="BM47" s="335">
        <f>BL47+BK47</f>
        <v>-12.556631656404015</v>
      </c>
    </row>
    <row r="48" spans="15:65" x14ac:dyDescent="0.25">
      <c r="O48" s="24"/>
      <c r="P48" s="25"/>
      <c r="Q48" s="28"/>
      <c r="R48" s="29"/>
      <c r="S48" s="29"/>
      <c r="T48" s="30" t="str">
        <f>IF(O48="","",IF(StaticData.Today=TODAY(),_xll.BDP(O48,"LAST_PRICE"),_xll.BDH(O48,"LAST_PRICE",StaticData.Today,StaticData.Today)))</f>
        <v/>
      </c>
      <c r="U48" s="27"/>
      <c r="W48" s="24"/>
      <c r="X48" s="25"/>
      <c r="Y48" s="191"/>
      <c r="Z48" s="27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38"/>
      <c r="AU48" s="39"/>
      <c r="AV48" s="42"/>
      <c r="AW48" s="43"/>
      <c r="AX48" s="43"/>
      <c r="AY48" s="44" t="str">
        <f>IF(AT48="","",IF(StaticData.Today=TODAY(),_xll.BDP(AT48,"LAST_PRICE"),_xll.BDH(AT48,"LAST_PRICE",StaticData.Today,StaticData.Today)))</f>
        <v/>
      </c>
      <c r="AZ48" s="41"/>
    </row>
    <row r="49" spans="15:31" x14ac:dyDescent="0.25">
      <c r="O49" s="38"/>
      <c r="P49" s="39"/>
      <c r="Q49" s="42"/>
      <c r="R49" s="43"/>
      <c r="S49" s="43"/>
      <c r="T49" s="44" t="str">
        <f>IF(O49="","",IF(StaticData.Today=TODAY(),_xll.BDP(O49,"LAST_PRICE"),_xll.BDH(O49,"LAST_PRICE",StaticData.Today,StaticData.Today)))</f>
        <v/>
      </c>
      <c r="U49" s="41"/>
      <c r="W49" s="24"/>
      <c r="X49" s="25"/>
      <c r="Y49" s="191"/>
      <c r="Z49" s="27"/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</row>
    <row r="50" spans="15:31" x14ac:dyDescent="0.25">
      <c r="W50" s="24"/>
      <c r="X50" s="25"/>
      <c r="Y50" s="191"/>
      <c r="Z50" s="27"/>
      <c r="AB50" s="38"/>
      <c r="AC50" s="39"/>
      <c r="AD50" s="40" t="str">
        <f>IF(AB50="","",IF(StaticData.Today=TODAY(),_xll.BDP(AB50,"LAST_PRICE"),_xll.BDH(AB50,"LAST_PRICE",StaticData.Today,StaticData.Today)))</f>
        <v/>
      </c>
      <c r="AE50" s="41"/>
    </row>
    <row r="51" spans="15:31" x14ac:dyDescent="0.25">
      <c r="W51" s="24"/>
      <c r="X51" s="25"/>
      <c r="Y51" s="191"/>
      <c r="Z51" s="27"/>
    </row>
    <row r="52" spans="15:31" x14ac:dyDescent="0.25">
      <c r="W52" s="24"/>
      <c r="X52" s="25"/>
      <c r="Y52" s="191"/>
      <c r="Z52" s="27"/>
    </row>
    <row r="53" spans="15:31" x14ac:dyDescent="0.25">
      <c r="W53" s="24"/>
      <c r="X53" s="25"/>
      <c r="Y53" s="191"/>
      <c r="Z53" s="27"/>
    </row>
    <row r="54" spans="15:31" x14ac:dyDescent="0.25">
      <c r="W54" s="24"/>
      <c r="X54" s="25"/>
      <c r="Y54" s="191"/>
      <c r="Z54" s="27"/>
    </row>
    <row r="55" spans="15:31" x14ac:dyDescent="0.25">
      <c r="W55" s="24"/>
      <c r="X55" s="25"/>
      <c r="Y55" s="191"/>
      <c r="Z55" s="27"/>
    </row>
    <row r="56" spans="15:31" x14ac:dyDescent="0.25">
      <c r="W56" s="38"/>
      <c r="X56" s="39"/>
      <c r="Y56" s="192"/>
      <c r="Z56" s="41"/>
    </row>
  </sheetData>
  <dataValidations count="2">
    <dataValidation type="list" allowBlank="1" showInputMessage="1" showErrorMessage="1" sqref="W2 AL2">
      <formula1>$Q$97:$Q$100</formula1>
    </dataValidation>
    <dataValidation type="list" allowBlank="1" showInputMessage="1" showErrorMessage="1" sqref="O1:O2">
      <formula1>$R$95:$R$98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'STATIC DATA'!$R$92:$R$95</xm:f>
          </x14:formula1>
          <xm:sqref>AT1 G1</xm:sqref>
        </x14:dataValidation>
        <x14:dataValidation type="list" allowBlank="1" showInputMessage="1" showErrorMessage="1">
          <x14:formula1>
            <xm:f>'STATIC DATA'!$R$97:$R$100</xm:f>
          </x14:formula1>
          <xm:sqref>AT2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C53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9.5703125" style="188" bestFit="1" customWidth="1"/>
    <col min="26" max="26" width="7.5703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4.7109375" style="6" bestFit="1" customWidth="1"/>
    <col min="31" max="31" width="7.57031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5" max="55" width="10.7109375" bestFit="1" customWidth="1"/>
  </cols>
  <sheetData>
    <row r="1" spans="1:52" x14ac:dyDescent="0.25">
      <c r="A1" t="s">
        <v>189</v>
      </c>
      <c r="G1" s="6" t="s">
        <v>545</v>
      </c>
      <c r="O1" s="6" t="s">
        <v>577</v>
      </c>
      <c r="AT1" s="6" t="s">
        <v>528</v>
      </c>
    </row>
    <row r="2" spans="1:52" x14ac:dyDescent="0.25">
      <c r="G2" s="7"/>
      <c r="O2" s="6" t="s">
        <v>528</v>
      </c>
      <c r="W2" s="6" t="s">
        <v>542</v>
      </c>
      <c r="AL2" s="6" t="s">
        <v>528</v>
      </c>
      <c r="AT2" s="6" t="s">
        <v>577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584</v>
      </c>
      <c r="L3" s="8"/>
      <c r="O3" s="2" t="str">
        <f>$A$1&amp;"_3M"</f>
        <v>ILS_3M</v>
      </c>
      <c r="T3" s="8" t="s">
        <v>282</v>
      </c>
      <c r="W3" s="2" t="str">
        <f>$A$1&amp;"_BASIS_6M"</f>
        <v>ILS_BASIS_6M</v>
      </c>
      <c r="AB3" s="2" t="str">
        <f>$A$1&amp;"_BASIS_1M"</f>
        <v>ILS_BASIS_1M</v>
      </c>
      <c r="AG3" s="2" t="str">
        <f>$A$1&amp;"_BASIS_12M"</f>
        <v>ILS_BASIS_12M</v>
      </c>
      <c r="AL3" s="2" t="str">
        <f>'STATIC DATA'!$D$3&amp;'STATIC DATA'!$U$4&amp;"_BASIS"</f>
        <v>ILS_BASIS</v>
      </c>
      <c r="AQ3" s="8" t="s">
        <v>282</v>
      </c>
      <c r="AT3" s="2" t="str">
        <f>$A$1&amp;"_"&amp;'STATIC DATA'!S67</f>
        <v>ILS_USD_1D</v>
      </c>
      <c r="AY3" s="8" t="s">
        <v>282</v>
      </c>
    </row>
    <row r="4" spans="1:52" x14ac:dyDescent="0.25">
      <c r="B4" s="9" t="b">
        <f>SUM(C7:C17)=SUM(D7:D17)</f>
        <v>0</v>
      </c>
      <c r="E4" s="10">
        <f>SUM(E7:E17)</f>
        <v>4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TELONIA</v>
      </c>
      <c r="C7" s="12">
        <f>COUNTA(G7:G19)</f>
        <v>0</v>
      </c>
      <c r="D7" s="12">
        <f>COUNT(L7:L19)</f>
        <v>0</v>
      </c>
      <c r="E7" s="13">
        <f t="shared" ref="E7:E12" si="0">C7-D7</f>
        <v>0</v>
      </c>
      <c r="G7" s="14"/>
      <c r="H7" s="15" t="s">
        <v>298</v>
      </c>
      <c r="I7" s="15"/>
      <c r="J7" s="186"/>
      <c r="K7" s="186"/>
      <c r="L7" s="16" t="str">
        <f>IF(G7="","",IF(StaticData.Today=TODAY(),_xll.BDP(G7,"PX_LAST"),_xll.BDH(G7,"MID",StaticData.Today,StaticData.Today)))</f>
        <v/>
      </c>
      <c r="M7" s="17" t="e">
        <f>L7/100</f>
        <v>#VALUE!</v>
      </c>
      <c r="O7" s="14" t="s">
        <v>578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0.1</v>
      </c>
      <c r="U7" s="184">
        <f>T7/100</f>
        <v>1E-3</v>
      </c>
      <c r="W7" s="14"/>
      <c r="X7" s="15" t="s">
        <v>47</v>
      </c>
      <c r="Y7" s="190" t="str">
        <f>IF(W7="","",IF(StaticData.Today=TODAY(),_xll.BDP(W7,"LAST_PRICE"),_xll.BDH(W7,"LAST_PRICE",StaticData.Today,StaticData.Today)))</f>
        <v/>
      </c>
      <c r="Z7" s="17"/>
      <c r="AB7" s="14"/>
      <c r="AC7" s="15" t="s">
        <v>47</v>
      </c>
      <c r="AD7" s="16" t="str">
        <f>IF(AB7="","",IF(StaticData.Today=TODAY(),_xll.BDP(AB7,"LAST_PRICE"),_xll.BDH(AB7,"LAST_PRICE",StaticData.Today,StaticData.Today)))</f>
        <v/>
      </c>
      <c r="AE7" s="17"/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 t="str">
        <f>"ISBS1"&amp;$AL$2&amp;" Curncy"</f>
        <v>ISBS1 ICPL Curncy</v>
      </c>
      <c r="AM7" s="15" t="s">
        <v>47</v>
      </c>
      <c r="AN7" s="18"/>
      <c r="AO7" s="19">
        <f>IF(AL7="","",IF(StaticData.Today=TODAY(),_xll.BDP(AL7,"BID"),_xll.BDH(AL7,"BID",StaticData.Today,StaticData.Today)))</f>
        <v>-63</v>
      </c>
      <c r="AP7" s="19">
        <f>IF(AL7="","",IF(StaticData.Today=TODAY(),_xll.BDP(AL7,"ASK"),_xll.BDH(AL7,"ASK",StaticData.Today,StaticData.Today)))</f>
        <v>-53</v>
      </c>
      <c r="AQ7" s="179">
        <f>IF(AL7="","",IF(StaticData.Today=TODAY(),_xll.BDP(AL7,"PX_LAST"),_xll.BDH(AL7,"PX_LAST",StaticData.Today,StaticData.Today)))</f>
        <v>-58</v>
      </c>
      <c r="AR7" s="337">
        <f>AQ7/10000</f>
        <v>-5.7999999999999996E-3</v>
      </c>
      <c r="AT7" s="8" t="s">
        <v>986</v>
      </c>
      <c r="AU7" s="8"/>
      <c r="AV7" s="8"/>
      <c r="AW7" s="194">
        <f>IF(AT7="","",IF(StaticData.Today=TODAY(),_xll.BDP(AT7,"BID"),_xll.BDH(AT7,"BID",StaticData.Today,StaticData.Today)))</f>
        <v>3.4055</v>
      </c>
      <c r="AX7" s="194">
        <f>IF(AT7="","",IF(StaticData.Today=TODAY(),_xll.BDP(AT7,"ASK"),_xll.BDH(AT7,"ASK",StaticData.Today,StaticData.Today)))</f>
        <v>3.4083000000000001</v>
      </c>
      <c r="AY7" s="8"/>
      <c r="AZ7" s="8"/>
    </row>
    <row r="8" spans="1:52" x14ac:dyDescent="0.25">
      <c r="B8" s="21" t="str">
        <f>O3</f>
        <v>ILS_3M</v>
      </c>
      <c r="C8" s="22">
        <f>COUNTA(O7:O53)</f>
        <v>21</v>
      </c>
      <c r="D8" s="22">
        <f>COUNT(T7:T53)</f>
        <v>21</v>
      </c>
      <c r="E8" s="23">
        <f t="shared" si="0"/>
        <v>0</v>
      </c>
      <c r="G8" s="24"/>
      <c r="H8" s="25" t="s">
        <v>305</v>
      </c>
      <c r="I8" s="25"/>
      <c r="J8" s="187" t="str">
        <f>IF(G8="","",IF(StaticData.Today=TODAY(),_xll.BDP(G8,"BID"),_xll.BDH(G8,"BID",StaticData.Today,StaticData.Today)))</f>
        <v/>
      </c>
      <c r="K8" s="187" t="str">
        <f>IF(G8="","",IF(StaticData.Today=TODAY(),_xll.BDP(G8,"ASK"),_xll.BDH(G8,"ASK",StaticData.Today,StaticData.Today)))</f>
        <v/>
      </c>
      <c r="L8" s="26" t="str">
        <f>IF(G8="","",IF(StaticData.Today=TODAY(),_xll.BDP(G8,"LAST_PRICE"),_xll.BDH(G8,"LAST_PRICE",StaticData.Today,StaticData.Today)))</f>
        <v/>
      </c>
      <c r="M8" s="27" t="e">
        <f t="shared" ref="M8:M14" si="1">L8/100</f>
        <v>#VALUE!</v>
      </c>
      <c r="O8" s="24" t="s">
        <v>579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9.8000000000000004E-2</v>
      </c>
      <c r="U8" s="183">
        <f>T8/100</f>
        <v>9.7999999999999997E-4</v>
      </c>
      <c r="W8" s="24"/>
      <c r="X8" s="25" t="s">
        <v>308</v>
      </c>
      <c r="Y8" s="191" t="str">
        <f>IF(W8="","",IF(StaticData.Today=TODAY(),_xll.BDP(W8,"LAST_PRICE"),_xll.BDH(W8,"LAST_PRICE",StaticData.Today,StaticData.Today)))</f>
        <v/>
      </c>
      <c r="Z8" s="27"/>
      <c r="AB8" s="24"/>
      <c r="AC8" s="25" t="s">
        <v>308</v>
      </c>
      <c r="AD8" s="26" t="str">
        <f>IF(AB8="","",IF(StaticData.Today=TODAY(),_xll.BDP(AB8,"LAST_PRICE"),_xll.BDH(AB8,"LAST_PRICE",StaticData.Today,StaticData.Today)))</f>
        <v/>
      </c>
      <c r="AE8" s="27"/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24" t="str">
        <f>"ISBS2"&amp;$AL$2&amp;" Curncy"</f>
        <v>ISBS2 ICPL Curncy</v>
      </c>
      <c r="AM8" s="25" t="s">
        <v>308</v>
      </c>
      <c r="AN8" s="28"/>
      <c r="AO8" s="29">
        <f>IF(AL8="","",IF(StaticData.Today=TODAY(),_xll.BDP(AL8,"BID"),_xll.BDH(AL8,"BID",StaticData.Today,StaticData.Today)))</f>
        <v>-65</v>
      </c>
      <c r="AP8" s="29">
        <f>IF(AL8="","",IF(StaticData.Today=TODAY(),_xll.BDP(AL8,"ASK"),_xll.BDH(AL8,"ASK",StaticData.Today,StaticData.Today)))</f>
        <v>-55</v>
      </c>
      <c r="AQ8" s="177">
        <f>IF(AL8="","",IF(StaticData.Today=TODAY(),_xll.BDP(AL8,"PX_LAST"),_xll.BDH(AL8,"PX_LAST",StaticData.Today,StaticData.Today)))</f>
        <v>-60</v>
      </c>
      <c r="AR8" s="338">
        <f>AQ8/10000</f>
        <v>-6.0000000000000001E-3</v>
      </c>
      <c r="AT8" s="24" t="str">
        <f>"ILSON"&amp;$AT$1&amp;" Curncy"</f>
        <v>ILSON ICPL Curncy</v>
      </c>
      <c r="AU8" s="15" t="s">
        <v>298</v>
      </c>
      <c r="AV8" s="18"/>
      <c r="AW8" s="177">
        <f>IF(AT8="","",IF(StaticData.Today=TODAY(),_xll.BDP(AT8,"BID"),_xll.BDH(AT8,"BID",StaticData.Today,StaticData.Today)))</f>
        <v>-0.35</v>
      </c>
      <c r="AX8" s="177">
        <f>IF(AT8="","",IF(StaticData.Today=TODAY(),_xll.BDP(AT8,"ASK"),_xll.BDH(AT8,"ASK",StaticData.Today,StaticData.Today)))</f>
        <v>-0.25</v>
      </c>
      <c r="AY8" s="179">
        <f>IF(AT8="","",IF(StaticData.Today=TODAY(),_xll.BDP(AT8,"PX_LAST"),_xll.BDH(AT8,"PX_LAST",StaticData.Today,StaticData.Today)))</f>
        <v>-0.3</v>
      </c>
      <c r="AZ8" s="180">
        <f>AY8</f>
        <v>-0.3</v>
      </c>
    </row>
    <row r="9" spans="1:52" x14ac:dyDescent="0.25">
      <c r="B9" s="21" t="s">
        <v>511</v>
      </c>
      <c r="C9" s="22">
        <f>COUNTA(O11:O23)*2</f>
        <v>26</v>
      </c>
      <c r="D9" s="22">
        <f>COUNT(R11:S23)</f>
        <v>22</v>
      </c>
      <c r="E9" s="23">
        <f t="shared" si="0"/>
        <v>4</v>
      </c>
      <c r="G9" s="24"/>
      <c r="H9" s="25" t="s">
        <v>313</v>
      </c>
      <c r="I9" s="25"/>
      <c r="J9" s="187" t="str">
        <f>IF(G9="","",IF(StaticData.Today=TODAY(),_xll.BDP(G9,"BID"),_xll.BDH(G9,"BID",StaticData.Today,StaticData.Today)))</f>
        <v/>
      </c>
      <c r="K9" s="187" t="str">
        <f>IF(G9="","",IF(StaticData.Today=TODAY(),_xll.BDP(G9,"ASK"),_xll.BDH(G9,"ASK",StaticData.Today,StaticData.Today)))</f>
        <v/>
      </c>
      <c r="L9" s="26" t="str">
        <f>IF(G9="","",IF(StaticData.Today=TODAY(),_xll.BDP(G9,"LAST_PRICE"),_xll.BDH(G9,"LAST_PRICE",StaticData.Today,StaticData.Today)))</f>
        <v/>
      </c>
      <c r="M9" s="27" t="e">
        <f t="shared" si="1"/>
        <v>#VALUE!</v>
      </c>
      <c r="O9" s="24" t="s">
        <v>580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7.6999999999999999E-2</v>
      </c>
      <c r="U9" s="183">
        <f>T9/100</f>
        <v>7.6999999999999996E-4</v>
      </c>
      <c r="W9" s="24"/>
      <c r="X9" s="25" t="s">
        <v>316</v>
      </c>
      <c r="Y9" s="191" t="str">
        <f>IF(W9="","",IF(StaticData.Today=TODAY(),_xll.BDP(W9,"LAST_PRICE"),_xll.BDH(W9,"LAST_PRICE",StaticData.Today,StaticData.Today)))</f>
        <v/>
      </c>
      <c r="Z9" s="27"/>
      <c r="AB9" s="24"/>
      <c r="AC9" s="25" t="s">
        <v>316</v>
      </c>
      <c r="AD9" s="26" t="str">
        <f>IF(AB9="","",IF(StaticData.Today=TODAY(),_xll.BDP(AB9,"LAST_PRICE"),_xll.BDH(AB9,"LAST_PRICE",StaticData.Today,StaticData.Today)))</f>
        <v/>
      </c>
      <c r="AE9" s="27"/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24" t="str">
        <f>"ISBS3"&amp;$AL$2&amp;" Curncy"</f>
        <v>ISBS3 ICPL Curncy</v>
      </c>
      <c r="AM9" s="25" t="s">
        <v>316</v>
      </c>
      <c r="AN9" s="28"/>
      <c r="AO9" s="29">
        <f>IF(AL9="","",IF(StaticData.Today=TODAY(),_xll.BDP(AL9,"BID"),_xll.BDH(AL9,"BID",StaticData.Today,StaticData.Today)))</f>
        <v>-66</v>
      </c>
      <c r="AP9" s="29">
        <f>IF(AL9="","",IF(StaticData.Today=TODAY(),_xll.BDP(AL9,"ASK"),_xll.BDH(AL9,"ASK",StaticData.Today,StaticData.Today)))</f>
        <v>-56</v>
      </c>
      <c r="AQ9" s="177">
        <f>IF(AL9="","",IF(StaticData.Today=TODAY(),_xll.BDP(AL9,"PX_LAST"),_xll.BDH(AL9,"PX_LAST",StaticData.Today,StaticData.Today)))</f>
        <v>-61</v>
      </c>
      <c r="AR9" s="338">
        <f t="shared" ref="AR9:AR12" si="2">AQ9/10000</f>
        <v>-6.1000000000000004E-3</v>
      </c>
      <c r="AT9" s="24" t="str">
        <f>"ILSTN"&amp;$AT$1&amp;" Curncy"</f>
        <v>ILSTN ICPL Curncy</v>
      </c>
      <c r="AU9" s="25" t="s">
        <v>506</v>
      </c>
      <c r="AV9" s="28"/>
      <c r="AW9" s="177">
        <f>IF(AT9="","",IF(StaticData.Today=TODAY(),_xll.BDP(AT9,"BID"),_xll.BDH(AT9,"BID",StaticData.Today,StaticData.Today)))</f>
        <v>-0.4</v>
      </c>
      <c r="AX9" s="177">
        <f>IF(AT9="","",IF(StaticData.Today=TODAY(),_xll.BDP(AT9,"ASK"),_xll.BDH(AT9,"ASK",StaticData.Today,StaticData.Today)))</f>
        <v>-0.3</v>
      </c>
      <c r="AY9" s="177">
        <f>IF(AT9="","",IF(StaticData.Today=TODAY(),_xll.BDP(AT9,"PX_LAST"),_xll.BDH(AT9,"PX_LAST",StaticData.Today,StaticData.Today)))</f>
        <v>-0.35</v>
      </c>
      <c r="AZ9" s="181">
        <f>AY9</f>
        <v>-0.35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/>
      <c r="H10" s="25" t="s">
        <v>300</v>
      </c>
      <c r="I10" s="25"/>
      <c r="J10" s="187" t="str">
        <f>IF(G10="","",IF(StaticData.Today=TODAY(),_xll.BDP(G10,"BID"),_xll.BDH(G10,"BID",StaticData.Today,StaticData.Today)))</f>
        <v/>
      </c>
      <c r="K10" s="187" t="str">
        <f>IF(G10="","",IF(StaticData.Today=TODAY(),_xll.BDP(G10,"ASK"),_xll.BDH(G10,"ASK",StaticData.Today,StaticData.Today)))</f>
        <v/>
      </c>
      <c r="L10" s="26" t="str">
        <f>IF(G10="","",IF(StaticData.Today=TODAY(),_xll.BDP(G10,"LAST_PRICE"),_xll.BDH(G10,"LAST_PRICE",StaticData.Today,StaticData.Today)))</f>
        <v/>
      </c>
      <c r="M10" s="27" t="e">
        <f t="shared" si="1"/>
        <v>#VALUE!</v>
      </c>
      <c r="O10" s="24" t="s">
        <v>581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7.0999999999999994E-2</v>
      </c>
      <c r="U10" s="183">
        <f>T10/100</f>
        <v>7.0999999999999991E-4</v>
      </c>
      <c r="W10" s="24"/>
      <c r="X10" s="25" t="s">
        <v>324</v>
      </c>
      <c r="Y10" s="191" t="str">
        <f>IF(W10="","",IF(StaticData.Today=TODAY(),_xll.BDP(W10,"LAST_PRICE"),_xll.BDH(W10,"LAST_PRICE",StaticData.Today,StaticData.Today)))</f>
        <v/>
      </c>
      <c r="Z10" s="27"/>
      <c r="AB10" s="24"/>
      <c r="AC10" s="25" t="s">
        <v>324</v>
      </c>
      <c r="AD10" s="26" t="str">
        <f>IF(AB10="","",IF(StaticData.Today=TODAY(),_xll.BDP(AB10,"LAST_PRICE"),_xll.BDH(AB10,"LAST_PRICE",StaticData.Today,StaticData.Today)))</f>
        <v/>
      </c>
      <c r="AE10" s="27"/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24" t="str">
        <f>"ISBS4"&amp;$AL$2&amp;" Curncy"</f>
        <v>ISBS4 ICPL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-67</v>
      </c>
      <c r="AP10" s="29">
        <f>IF(AL10="","",IF(StaticData.Today=TODAY(),_xll.BDP(AL10,"ASK"),_xll.BDH(AL10,"ASK",StaticData.Today,StaticData.Today)))</f>
        <v>-57</v>
      </c>
      <c r="AQ10" s="177">
        <f>IF(AL10="","",IF(StaticData.Today=TODAY(),_xll.BDP(AL10,"PX_LAST"),_xll.BDH(AL10,"PX_LAST",StaticData.Today,StaticData.Today)))</f>
        <v>-62</v>
      </c>
      <c r="AR10" s="338">
        <f t="shared" si="2"/>
        <v>-6.1999999999999998E-3</v>
      </c>
      <c r="AT10" s="24" t="str">
        <f>"ILS"&amp;AU10&amp;$AT$1&amp;" Curncy"</f>
        <v>ILS1W ICPL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-4</v>
      </c>
      <c r="AX10" s="177">
        <f>IF(AT10="","",IF(StaticData.Today=TODAY(),_xll.BDP(AT10,"ASK"),_xll.BDH(AT10,"ASK",StaticData.Today,StaticData.Today)))</f>
        <v>-2</v>
      </c>
      <c r="AY10" s="177">
        <f>IF(AT10="","",IF(StaticData.Today=TODAY(),_xll.BDP(AT10,"PX_LAST"),_xll.BDH(AT10,"PX_LAST",StaticData.Today,StaticData.Today)))</f>
        <v>-3</v>
      </c>
      <c r="AZ10" s="181">
        <f>AY10</f>
        <v>-3</v>
      </c>
    </row>
    <row r="11" spans="1:52" x14ac:dyDescent="0.25">
      <c r="B11" s="21" t="s">
        <v>284</v>
      </c>
      <c r="C11" s="22">
        <f>COUNTA(AB7:AB48)</f>
        <v>0</v>
      </c>
      <c r="D11" s="22">
        <f>COUNT(AD7:AD48)</f>
        <v>0</v>
      </c>
      <c r="E11" s="23">
        <f t="shared" si="0"/>
        <v>0</v>
      </c>
      <c r="G11" s="24"/>
      <c r="H11" s="25" t="s">
        <v>335</v>
      </c>
      <c r="I11" s="25"/>
      <c r="J11" s="187" t="str">
        <f>IF(G11="","",IF(StaticData.Today=TODAY(),_xll.BDP(G11,"BID"),_xll.BDH(G11,"BID",StaticData.Today,StaticData.Today)))</f>
        <v/>
      </c>
      <c r="K11" s="187" t="str">
        <f>IF(G11="","",IF(StaticData.Today=TODAY(),_xll.BDP(G11,"ASK"),_xll.BDH(G11,"ASK",StaticData.Today,StaticData.Today)))</f>
        <v/>
      </c>
      <c r="L11" s="26" t="str">
        <f>IF(G11="","",IF(StaticData.Today=TODAY(),_xll.BDP(G11,"LAST_PRICE"),_xll.BDH(G11,"LAST_PRICE",StaticData.Today,StaticData.Today)))</f>
        <v/>
      </c>
      <c r="M11" s="27" t="e">
        <f t="shared" si="1"/>
        <v>#VALUE!</v>
      </c>
      <c r="O11" s="24" t="s">
        <v>582</v>
      </c>
      <c r="P11" s="25" t="s">
        <v>376</v>
      </c>
      <c r="Q11" s="31"/>
      <c r="R11" s="182"/>
      <c r="S11" s="182"/>
      <c r="T11" s="30">
        <f>IF(O11="","",IF(StaticData.Today=TODAY(),_xll.BDP(O11,"LAST_PRICE"),_xll.BDH(O11,"LAST_PRICE",StaticData.Today,StaticData.Today)))</f>
        <v>6.8000000000000005E-2</v>
      </c>
      <c r="U11" s="183">
        <f>T11/100</f>
        <v>6.8000000000000005E-4</v>
      </c>
      <c r="W11" s="24"/>
      <c r="X11" s="25" t="s">
        <v>331</v>
      </c>
      <c r="Y11" s="191" t="str">
        <f>IF(W11="","",IF(StaticData.Today=TODAY(),_xll.BDP(W11,"LAST_PRICE"),_xll.BDH(W11,"LAST_PRICE",StaticData.Today,StaticData.Today)))</f>
        <v/>
      </c>
      <c r="Z11" s="27"/>
      <c r="AB11" s="24"/>
      <c r="AC11" s="25" t="s">
        <v>331</v>
      </c>
      <c r="AD11" s="26" t="str">
        <f>IF(AB11="","",IF(StaticData.Today=TODAY(),_xll.BDP(AB11,"LAST_PRICE"),_xll.BDH(AB11,"LAST_PRICE",StaticData.Today,StaticData.Today)))</f>
        <v/>
      </c>
      <c r="AE11" s="27"/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24" t="str">
        <f>"ISBS5"&amp;$AL$2&amp;" Curncy"</f>
        <v>ISBS5 ICPL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-67</v>
      </c>
      <c r="AP11" s="29">
        <f>IF(AL11="","",IF(StaticData.Today=TODAY(),_xll.BDP(AL11,"ASK"),_xll.BDH(AL11,"ASK",StaticData.Today,StaticData.Today)))</f>
        <v>-57</v>
      </c>
      <c r="AQ11" s="177">
        <f>IF(AL11="","",IF(StaticData.Today=TODAY(),_xll.BDP(AL11,"LAST_PRICE"),_xll.BDH(AL11,"LAST_PRICE",StaticData.Today,StaticData.Today)))</f>
        <v>-62</v>
      </c>
      <c r="AR11" s="338">
        <f t="shared" si="2"/>
        <v>-6.1999999999999998E-3</v>
      </c>
      <c r="AT11" s="24" t="str">
        <f t="shared" ref="AT11:AT16" si="3">"ILS"&amp;AU11&amp;$AT$1&amp;" Curncy"</f>
        <v>ILS1M ICPL Curncy</v>
      </c>
      <c r="AU11" s="25" t="s">
        <v>300</v>
      </c>
      <c r="AV11" s="28"/>
      <c r="AW11" s="177">
        <f>IF(AT11="","",IF(StaticData.Today=TODAY(),_xll.BDP(AT11,"BID"),_xll.BDH(AT11,"BID",StaticData.Today,StaticData.Today)))</f>
        <v>-21</v>
      </c>
      <c r="AX11" s="177">
        <f>IF(AT11="","",IF(StaticData.Today=TODAY(),_xll.BDP(AT11,"ASK"),_xll.BDH(AT11,"ASK",StaticData.Today,StaticData.Today)))</f>
        <v>-15</v>
      </c>
      <c r="AY11" s="177">
        <f>IF(AT11="","",IF(StaticData.Today=TODAY(),_xll.BDP(AT11,"PX_LAST"),_xll.BDH(AT11,"PX_LAST",StaticData.Today,StaticData.Today)))</f>
        <v>-18</v>
      </c>
      <c r="AZ11" s="181">
        <f>AY11</f>
        <v>-18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/>
      <c r="H12" s="25" t="s">
        <v>49</v>
      </c>
      <c r="I12" s="25"/>
      <c r="J12" s="187" t="str">
        <f>IF(G12="","",IF(StaticData.Today=TODAY(),_xll.BDP(G12,"BID"),_xll.BDH(G12,"BID",StaticData.Today,StaticData.Today)))</f>
        <v/>
      </c>
      <c r="K12" s="187" t="str">
        <f>IF(G12="","",IF(StaticData.Today=TODAY(),_xll.BDP(G12,"ASK"),_xll.BDH(G12,"ASK",StaticData.Today,StaticData.Today)))</f>
        <v/>
      </c>
      <c r="L12" s="26" t="str">
        <f>IF(G12="","",IF(StaticData.Today=TODAY(),_xll.BDP(G12,"LAST_PRICE"),_xll.BDH(G12,"LAST_PRICE",StaticData.Today,StaticData.Today)))</f>
        <v/>
      </c>
      <c r="M12" s="27" t="e">
        <f t="shared" si="1"/>
        <v>#VALUE!</v>
      </c>
      <c r="O12" s="24" t="s">
        <v>583</v>
      </c>
      <c r="P12" s="25" t="s">
        <v>322</v>
      </c>
      <c r="Q12" s="31"/>
      <c r="R12" s="182"/>
      <c r="S12" s="182"/>
      <c r="T12" s="30">
        <f>IF(O12="","",IF(StaticData.Today=TODAY(),_xll.BDP(O12,"LAST_PRICE"),_xll.BDH(O12,"LAST_PRICE",StaticData.Today,StaticData.Today)))</f>
        <v>6.7000000000000004E-2</v>
      </c>
      <c r="U12" s="183">
        <f t="shared" ref="U12:U27" si="4">T12/100</f>
        <v>6.7000000000000002E-4</v>
      </c>
      <c r="W12" s="24"/>
      <c r="X12" s="25" t="s">
        <v>339</v>
      </c>
      <c r="Y12" s="191" t="str">
        <f>IF(W12="","",IF(StaticData.Today=TODAY(),_xll.BDP(W12,"LAST_PRICE"),_xll.BDH(W12,"LAST_PRICE",StaticData.Today,StaticData.Today)))</f>
        <v/>
      </c>
      <c r="Z12" s="27"/>
      <c r="AB12" s="24"/>
      <c r="AC12" s="25" t="s">
        <v>339</v>
      </c>
      <c r="AD12" s="26" t="str">
        <f>IF(AB12="","",IF(StaticData.Today=TODAY(),_xll.BDP(AB12,"LAST_PRICE"),_xll.BDH(AB12,"LAST_PRICE",StaticData.Today,StaticData.Today)))</f>
        <v/>
      </c>
      <c r="AE12" s="27"/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24" t="str">
        <f>"ISBS10"&amp;$AL$2&amp;" Curncy"</f>
        <v>ISBS10 ICPL Curncy</v>
      </c>
      <c r="AM12" s="25" t="s">
        <v>349</v>
      </c>
      <c r="AN12" s="31"/>
      <c r="AO12" s="29">
        <f>IF(AL12="","",IF(StaticData.Today=TODAY(),_xll.BDP(AL12,"BID"),_xll.BDH(AL12,"BID",StaticData.Today,StaticData.Today)))</f>
        <v>-68</v>
      </c>
      <c r="AP12" s="29">
        <f>IF(AL12="","",IF(StaticData.Today=TODAY(),_xll.BDP(AL12,"ASK"),_xll.BDH(AL12,"ASK",StaticData.Today,StaticData.Today)))</f>
        <v>-58</v>
      </c>
      <c r="AQ12" s="177">
        <f>IF(AL12="","",IF(StaticData.Today=TODAY(),_xll.BDP(AL12,"LAST_PRICE"),_xll.BDH(AL12,"LAST_PRICE",StaticData.Today,StaticData.Today)))</f>
        <v>-63</v>
      </c>
      <c r="AR12" s="338">
        <f t="shared" si="2"/>
        <v>-6.3E-3</v>
      </c>
      <c r="AT12" s="24" t="str">
        <f t="shared" si="3"/>
        <v>ILS2M ICPL Curncy</v>
      </c>
      <c r="AU12" s="25" t="s">
        <v>335</v>
      </c>
      <c r="AV12" s="31"/>
      <c r="AW12" s="177">
        <f>IF(AT12="","",IF(StaticData.Today=TODAY(),_xll.BDP(AT12,"BID"),_xll.BDH(AT12,"BID",StaticData.Today,StaticData.Today)))</f>
        <v>-41</v>
      </c>
      <c r="AX12" s="177">
        <f>IF(AT12="","",IF(StaticData.Today=TODAY(),_xll.BDP(AT12,"ASK"),_xll.BDH(AT12,"ASK",StaticData.Today,StaticData.Today)))</f>
        <v>-33</v>
      </c>
      <c r="AY12" s="177">
        <f>IF(AT12="","",IF(StaticData.Today=TODAY(),_xll.BDP(AT12,"LAST_PRICE"),_xll.BDH(AT12,"LAST_PRICE",StaticData.Today,StaticData.Today)))</f>
        <v>-37</v>
      </c>
      <c r="AZ12" s="181">
        <f>AY12</f>
        <v>-37</v>
      </c>
    </row>
    <row r="13" spans="1:52" x14ac:dyDescent="0.25">
      <c r="B13" s="21"/>
      <c r="C13" s="22"/>
      <c r="D13" s="22"/>
      <c r="E13" s="22"/>
      <c r="G13" s="24"/>
      <c r="H13" s="25" t="s">
        <v>46</v>
      </c>
      <c r="I13" s="25"/>
      <c r="J13" s="187" t="str">
        <f>IF(G13="","",IF(StaticData.Today=TODAY(),_xll.BDP(G13,"BID"),_xll.BDH(G13,"BID",StaticData.Today,StaticData.Today)))</f>
        <v/>
      </c>
      <c r="K13" s="187" t="str">
        <f>IF(G13="","",IF(StaticData.Today=TODAY(),_xll.BDP(G13,"ASK"),_xll.BDH(G13,"ASK",StaticData.Today,StaticData.Today)))</f>
        <v/>
      </c>
      <c r="L13" s="26" t="str">
        <f>IF(G13="","",IF(StaticData.Today=TODAY(),_xll.BDP(G13,"LAST_PRICE"),_xll.BDH(G13,"LAST_PRICE",StaticData.Today,StaticData.Today)))</f>
        <v/>
      </c>
      <c r="M13" s="27" t="e">
        <f t="shared" si="1"/>
        <v>#VALUE!</v>
      </c>
      <c r="O13" s="24" t="str">
        <f>"ISFR0AD"&amp;$O$2&amp;" Curncy"</f>
        <v>ISFR0AD ICPL Curncy</v>
      </c>
      <c r="P13" s="25" t="s">
        <v>494</v>
      </c>
      <c r="Q13" s="31"/>
      <c r="R13" s="182">
        <f>IF(O13="","",IF(StaticData.Today=TODAY(),_xll.BDP(O13,"BID"),_xll.BDH(O13,"BID",StaticData.Today,StaticData.Today)))</f>
        <v>0.04</v>
      </c>
      <c r="S13" s="182">
        <f>IF(O13="","",IF(StaticData.Today=TODAY(),_xll.BDP(O13,"ASK"),_xll.BDH(O13,"ASK",StaticData.Today,StaticData.Today)))</f>
        <v>0.1</v>
      </c>
      <c r="T13" s="30">
        <f>IF(O13="","",IF(StaticData.Today=TODAY(),_xll.BDP(O13,"LAST_PRICE"),_xll.BDH(O13,"LAST_PRICE",StaticData.Today,StaticData.Today)))</f>
        <v>7.0000000000000007E-2</v>
      </c>
      <c r="U13" s="183">
        <f t="shared" si="4"/>
        <v>7.000000000000001E-4</v>
      </c>
      <c r="W13" s="24"/>
      <c r="X13" s="25" t="s">
        <v>342</v>
      </c>
      <c r="Y13" s="191" t="str">
        <f>IF(W13="","",IF(StaticData.Today=TODAY(),_xll.BDP(W13,"LAST_PRICE"),_xll.BDH(W13,"LAST_PRICE",StaticData.Today,StaticData.Today)))</f>
        <v/>
      </c>
      <c r="Z13" s="27"/>
      <c r="AB13" s="24"/>
      <c r="AC13" s="25" t="s">
        <v>342</v>
      </c>
      <c r="AD13" s="26" t="str">
        <f>IF(AB13="","",IF(StaticData.Today=TODAY(),_xll.BDP(AB13,"LAST_PRICE"),_xll.BDH(AB13,"LAST_PRICE",StaticData.Today,StaticData.Today)))</f>
        <v/>
      </c>
      <c r="AE13" s="27"/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24"/>
      <c r="AM13" s="25"/>
      <c r="AN13" s="31"/>
      <c r="AO13" s="29" t="str">
        <f>IF(AL13="","",IF(StaticData.Today=TODAY(),_xll.BDP(AL13,"BID"),_xll.BDH(AL13,"BID",StaticData.Today,StaticData.Today)))</f>
        <v/>
      </c>
      <c r="AP13" s="29" t="str">
        <f>IF(AL13="","",IF(StaticData.Today=TODAY(),_xll.BDP(AL13,"ASK"),_xll.BDH(AL13,"ASK",StaticData.Today,StaticData.Today)))</f>
        <v/>
      </c>
      <c r="AQ13" s="177" t="str">
        <f>IF(AL13="","",IF(StaticData.Today=TODAY(),_xll.BDP(AL13,"LAST_PRICE"),_xll.BDH(AL13,"LAST_PRICE",StaticData.Today,StaticData.Today)))</f>
        <v/>
      </c>
      <c r="AR13" s="181" t="str">
        <f t="shared" ref="AR13:AR19" si="5">AQ13</f>
        <v/>
      </c>
      <c r="AT13" s="24" t="str">
        <f t="shared" si="3"/>
        <v>ILS3M ICPL Curncy</v>
      </c>
      <c r="AU13" s="25" t="s">
        <v>49</v>
      </c>
      <c r="AV13" s="31"/>
      <c r="AW13" s="177">
        <f>IF(AT13="","",IF(StaticData.Today=TODAY(),_xll.BDP(AT13,"BID"),_xll.BDH(AT13,"BID",StaticData.Today,StaticData.Today)))</f>
        <v>-67</v>
      </c>
      <c r="AX13" s="177">
        <f>IF(AT13="","",IF(StaticData.Today=TODAY(),_xll.BDP(AT13,"ASK"),_xll.BDH(AT13,"ASK",StaticData.Today,StaticData.Today)))</f>
        <v>-55</v>
      </c>
      <c r="AY13" s="177">
        <f>IF(AT13="","",IF(StaticData.Today=TODAY(),_xll.BDP(AT13,"LAST_PRICE"),_xll.BDH(AT13,"LAST_PRICE",StaticData.Today,StaticData.Today)))</f>
        <v>-61</v>
      </c>
      <c r="AZ13" s="181">
        <f t="shared" ref="AZ13:AZ30" si="6">AY13</f>
        <v>-61</v>
      </c>
    </row>
    <row r="14" spans="1:52" x14ac:dyDescent="0.25">
      <c r="B14" s="21"/>
      <c r="C14" s="22"/>
      <c r="D14" s="22"/>
      <c r="E14" s="22"/>
      <c r="G14" s="24"/>
      <c r="H14" s="25" t="s">
        <v>376</v>
      </c>
      <c r="I14" s="25"/>
      <c r="J14" s="187" t="str">
        <f>IF(G14="","",IF(StaticData.Today=TODAY(),_xll.BDP(G14,"BID"),_xll.BDH(G14,"BID",StaticData.Today,StaticData.Today)))</f>
        <v/>
      </c>
      <c r="K14" s="187" t="str">
        <f>IF(G14="","",IF(StaticData.Today=TODAY(),_xll.BDP(G14,"ASK"),_xll.BDH(G14,"ASK",StaticData.Today,StaticData.Today)))</f>
        <v/>
      </c>
      <c r="L14" s="26" t="str">
        <f>IF(G14="","",IF(StaticData.Today=TODAY(),_xll.BDP(G14,"LAST_PRICE"),_xll.BDH(G14,"LAST_PRICE",StaticData.Today,StaticData.Today)))</f>
        <v/>
      </c>
      <c r="M14" s="27" t="e">
        <f t="shared" si="1"/>
        <v>#VALUE!</v>
      </c>
      <c r="O14" s="24" t="str">
        <f>"ISFR0BE"&amp;$O$2&amp;" Curncy"</f>
        <v>ISFR0BE ICPL Curncy</v>
      </c>
      <c r="P14" s="25" t="s">
        <v>495</v>
      </c>
      <c r="Q14" s="31"/>
      <c r="R14" s="182">
        <f>IF(O14="","",IF(StaticData.Today=TODAY(),_xll.BDP(O14,"BID"),_xll.BDH(O14,"BID",StaticData.Today,StaticData.Today)))</f>
        <v>0.04</v>
      </c>
      <c r="S14" s="182">
        <f>IF(O14="","",IF(StaticData.Today=TODAY(),_xll.BDP(O14,"ASK"),_xll.BDH(O14,"ASK",StaticData.Today,StaticData.Today)))</f>
        <v>0.1</v>
      </c>
      <c r="T14" s="30">
        <f>IF(O14="","",IF(StaticData.Today=TODAY(),_xll.BDP(O14,"LAST_PRICE"),_xll.BDH(O14,"LAST_PRICE",StaticData.Today,StaticData.Today)))</f>
        <v>7.0000000000000007E-2</v>
      </c>
      <c r="U14" s="183">
        <f t="shared" si="4"/>
        <v>7.000000000000001E-4</v>
      </c>
      <c r="W14" s="24"/>
      <c r="X14" s="25" t="s">
        <v>355</v>
      </c>
      <c r="Y14" s="191" t="str">
        <f>IF(W14="","",IF(StaticData.Today=TODAY(),_xll.BDP(W14,"LAST_PRICE"),_xll.BDH(W14,"LAST_PRICE",StaticData.Today,StaticData.Today)))</f>
        <v/>
      </c>
      <c r="Z14" s="27"/>
      <c r="AB14" s="24"/>
      <c r="AC14" s="25" t="s">
        <v>355</v>
      </c>
      <c r="AD14" s="26" t="str">
        <f>IF(AB14="","",IF(StaticData.Today=TODAY(),_xll.BDP(AB14,"LAST_PRICE"),_xll.BDH(AB14,"LAST_PRICE",StaticData.Today,StaticData.Today)))</f>
        <v/>
      </c>
      <c r="AE14" s="27"/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24"/>
      <c r="AM14" s="25"/>
      <c r="AN14" s="31"/>
      <c r="AO14" s="29" t="str">
        <f>IF(AL14="","",IF(StaticData.Today=TODAY(),_xll.BDP(AL14,"BID"),_xll.BDH(AL14,"BID",StaticData.Today,StaticData.Today)))</f>
        <v/>
      </c>
      <c r="AP14" s="29" t="str">
        <f>IF(AL14="","",IF(StaticData.Today=TODAY(),_xll.BDP(AL14,"ASK"),_xll.BDH(AL14,"ASK",StaticData.Today,StaticData.Today)))</f>
        <v/>
      </c>
      <c r="AQ14" s="177" t="str">
        <f>IF(AL14="","",IF(StaticData.Today=TODAY(),_xll.BDP(AL14,"LAST_PRICE"),_xll.BDH(AL14,"LAST_PRICE",StaticData.Today,StaticData.Today)))</f>
        <v/>
      </c>
      <c r="AR14" s="181" t="str">
        <f t="shared" si="5"/>
        <v/>
      </c>
      <c r="AT14" s="24" t="str">
        <f t="shared" si="3"/>
        <v>ILS6M ICPL Curncy</v>
      </c>
      <c r="AU14" s="25" t="s">
        <v>46</v>
      </c>
      <c r="AV14" s="31"/>
      <c r="AW14" s="177">
        <f>IF(AT14="","",IF(StaticData.Today=TODAY(),_xll.BDP(AT14,"BID"),_xll.BDH(AT14,"BID",StaticData.Today,StaticData.Today)))</f>
        <v>-140</v>
      </c>
      <c r="AX14" s="177">
        <f>IF(AT14="","",IF(StaticData.Today=TODAY(),_xll.BDP(AT14,"ASK"),_xll.BDH(AT14,"ASK",StaticData.Today,StaticData.Today)))</f>
        <v>-120</v>
      </c>
      <c r="AY14" s="177">
        <f>IF(AT14="","",IF(StaticData.Today=TODAY(),_xll.BDP(AT14,"LAST_PRICE"),_xll.BDH(AT14,"LAST_PRICE",StaticData.Today,StaticData.Today)))</f>
        <v>-130</v>
      </c>
      <c r="AZ14" s="181">
        <f t="shared" si="6"/>
        <v>-130</v>
      </c>
    </row>
    <row r="15" spans="1:52" x14ac:dyDescent="0.25">
      <c r="B15" s="21"/>
      <c r="C15" s="22"/>
      <c r="D15" s="22"/>
      <c r="E15" s="22"/>
      <c r="G15" s="24"/>
      <c r="H15" s="25" t="s">
        <v>47</v>
      </c>
      <c r="I15" s="25"/>
      <c r="J15" s="187" t="str">
        <f>IF(G15="","",IF(StaticData.Today=TODAY(),_xll.BDP(G15,"BID"),_xll.BDH(G15,"BID",StaticData.Today,StaticData.Today)))</f>
        <v/>
      </c>
      <c r="K15" s="187" t="str">
        <f>IF(G15="","",IF(StaticData.Today=TODAY(),_xll.BDP(G15,"ASK"),_xll.BDH(G15,"ASK",StaticData.Today,StaticData.Today)))</f>
        <v/>
      </c>
      <c r="L15" s="26" t="str">
        <f>IF(G15="","",IF(StaticData.Today=TODAY(),_xll.BDP(G15,"LAST_PRICE"),_xll.BDH(G15,"LAST_PRICE",StaticData.Today,StaticData.Today)))</f>
        <v/>
      </c>
      <c r="M15" s="27" t="e">
        <f>L15/100</f>
        <v>#VALUE!</v>
      </c>
      <c r="O15" s="24" t="str">
        <f>"ISFR0CF"&amp;$O$2&amp;" Curncy"</f>
        <v>ISFR0CF ICPL Curncy</v>
      </c>
      <c r="P15" s="25" t="s">
        <v>496</v>
      </c>
      <c r="Q15" s="31"/>
      <c r="R15" s="182">
        <f>IF(O15="","",IF(StaticData.Today=TODAY(),_xll.BDP(O15,"BID"),_xll.BDH(O15,"BID",StaticData.Today,StaticData.Today)))</f>
        <v>0.04</v>
      </c>
      <c r="S15" s="182">
        <f>IF(O15="","",IF(StaticData.Today=TODAY(),_xll.BDP(O15,"ASK"),_xll.BDH(O15,"ASK",StaticData.Today,StaticData.Today)))</f>
        <v>0.1</v>
      </c>
      <c r="T15" s="30">
        <f>IF(O15="","",IF(StaticData.Today=TODAY(),_xll.BDP(O15,"LAST_PRICE"),_xll.BDH(O15,"LAST_PRICE",StaticData.Today,StaticData.Today)))</f>
        <v>7.0000000000000007E-2</v>
      </c>
      <c r="U15" s="183">
        <f t="shared" si="4"/>
        <v>7.000000000000001E-4</v>
      </c>
      <c r="W15" s="24"/>
      <c r="X15" s="25" t="s">
        <v>364</v>
      </c>
      <c r="Y15" s="191" t="str">
        <f>IF(W15="","",IF(StaticData.Today=TODAY(),_xll.BDP(W15,"LAST_PRICE"),_xll.BDH(W15,"LAST_PRICE",StaticData.Today,StaticData.Today)))</f>
        <v/>
      </c>
      <c r="Z15" s="27"/>
      <c r="AB15" s="24"/>
      <c r="AC15" s="25" t="s">
        <v>364</v>
      </c>
      <c r="AD15" s="26" t="str">
        <f>IF(AB15="","",IF(StaticData.Today=TODAY(),_xll.BDP(AB15,"LAST_PRICE"),_xll.BDH(AB15,"LAST_PRICE",StaticData.Today,StaticData.Today)))</f>
        <v/>
      </c>
      <c r="AE15" s="27"/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24"/>
      <c r="AM15" s="25"/>
      <c r="AN15" s="31"/>
      <c r="AO15" s="29" t="str">
        <f>IF(AL15="","",IF(StaticData.Today=TODAY(),_xll.BDP(AL15,"BID"),_xll.BDH(AL15,"BID",StaticData.Today,StaticData.Today)))</f>
        <v/>
      </c>
      <c r="AP15" s="29" t="str">
        <f>IF(AL15="","",IF(StaticData.Today=TODAY(),_xll.BDP(AL15,"ASK"),_xll.BDH(AL15,"ASK",StaticData.Today,StaticData.Today)))</f>
        <v/>
      </c>
      <c r="AQ15" s="177" t="str">
        <f>IF(AL15="","",IF(StaticData.Today=TODAY(),_xll.BDP(AL15,"LAST_PRICE"),_xll.BDH(AL15,"LAST_PRICE",StaticData.Today,StaticData.Today)))</f>
        <v/>
      </c>
      <c r="AR15" s="181" t="str">
        <f t="shared" si="5"/>
        <v/>
      </c>
      <c r="AT15" s="24" t="str">
        <f t="shared" si="3"/>
        <v>ILS9M ICPL Curncy</v>
      </c>
      <c r="AU15" s="25" t="s">
        <v>376</v>
      </c>
      <c r="AV15" s="31"/>
      <c r="AW15" s="177">
        <f>IF(AT15="","",IF(StaticData.Today=TODAY(),_xll.BDP(AT15,"BID"),_xll.BDH(AT15,"BID",StaticData.Today,StaticData.Today)))</f>
        <v>-215</v>
      </c>
      <c r="AX15" s="177">
        <f>IF(AT15="","",IF(StaticData.Today=TODAY(),_xll.BDP(AT15,"ASK"),_xll.BDH(AT15,"ASK",StaticData.Today,StaticData.Today)))</f>
        <v>-195</v>
      </c>
      <c r="AY15" s="177">
        <f>IF(AT15="","",IF(StaticData.Today=TODAY(),_xll.BDP(AT15,"LAST_PRICE"),_xll.BDH(AT15,"LAST_PRICE",StaticData.Today,StaticData.Today)))</f>
        <v>-205</v>
      </c>
      <c r="AZ15" s="181">
        <f t="shared" si="6"/>
        <v>-205</v>
      </c>
    </row>
    <row r="16" spans="1:52" x14ac:dyDescent="0.25">
      <c r="B16" s="21"/>
      <c r="C16" s="22"/>
      <c r="D16" s="22"/>
      <c r="E16" s="22"/>
      <c r="G16" s="24"/>
      <c r="H16" s="25"/>
      <c r="I16" s="25"/>
      <c r="J16" s="187"/>
      <c r="K16" s="187"/>
      <c r="L16" s="26"/>
      <c r="M16" s="27"/>
      <c r="O16" s="24" t="str">
        <f>"ISFR0FI"&amp;$O$2&amp;" Curncy"</f>
        <v>ISFR0FI ICPL Curncy</v>
      </c>
      <c r="P16" s="25" t="s">
        <v>497</v>
      </c>
      <c r="Q16" s="31"/>
      <c r="R16" s="182">
        <f>IF(O16="","",IF(StaticData.Today=TODAY(),_xll.BDP(O16,"BID"),_xll.BDH(O16,"BID",StaticData.Today,StaticData.Today)))</f>
        <v>0.04</v>
      </c>
      <c r="S16" s="182">
        <f>IF(O16="","",IF(StaticData.Today=TODAY(),_xll.BDP(O16,"ASK"),_xll.BDH(O16,"ASK",StaticData.Today,StaticData.Today)))</f>
        <v>0.1</v>
      </c>
      <c r="T16" s="30">
        <f>IF(O16="","",IF(StaticData.Today=TODAY(),_xll.BDP(O16,"LAST_PRICE"),_xll.BDH(O16,"LAST_PRICE",StaticData.Today,StaticData.Today)))</f>
        <v>7.0000000000000007E-2</v>
      </c>
      <c r="U16" s="183">
        <f t="shared" si="4"/>
        <v>7.000000000000001E-4</v>
      </c>
      <c r="W16" s="24"/>
      <c r="X16" s="25" t="s">
        <v>349</v>
      </c>
      <c r="Y16" s="191" t="str">
        <f>IF(W16="","",IF(StaticData.Today=TODAY(),_xll.BDP(W16,"LAST_PRICE"),_xll.BDH(W16,"LAST_PRICE",StaticData.Today,StaticData.Today)))</f>
        <v/>
      </c>
      <c r="Z16" s="27"/>
      <c r="AB16" s="24"/>
      <c r="AC16" s="25" t="s">
        <v>349</v>
      </c>
      <c r="AD16" s="26" t="str">
        <f>IF(AB16="","",IF(StaticData.Today=TODAY(),_xll.BDP(AB16,"LAST_PRICE"),_xll.BDH(AB16,"LAST_PRICE",StaticData.Today,StaticData.Today)))</f>
        <v/>
      </c>
      <c r="AE16" s="27"/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24"/>
      <c r="AM16" s="25"/>
      <c r="AN16" s="31"/>
      <c r="AO16" s="29" t="str">
        <f>IF(AL16="","",IF(StaticData.Today=TODAY(),_xll.BDP(AL16,"BID"),_xll.BDH(AL16,"BID",StaticData.Today,StaticData.Today)))</f>
        <v/>
      </c>
      <c r="AP16" s="29" t="str">
        <f>IF(AL16="","",IF(StaticData.Today=TODAY(),_xll.BDP(AL16,"ASK"),_xll.BDH(AL16,"ASK",StaticData.Today,StaticData.Today)))</f>
        <v/>
      </c>
      <c r="AQ16" s="177" t="str">
        <f>IF(AL16="","",IF(StaticData.Today=TODAY(),_xll.BDP(AL16,"LAST_PRICE"),_xll.BDH(AL16,"LAST_PRICE",StaticData.Today,StaticData.Today)))</f>
        <v/>
      </c>
      <c r="AR16" s="181" t="str">
        <f t="shared" si="5"/>
        <v/>
      </c>
      <c r="AT16" s="24" t="str">
        <f t="shared" si="3"/>
        <v>ILS12M ICPL Curncy</v>
      </c>
      <c r="AU16" s="25" t="s">
        <v>322</v>
      </c>
      <c r="AV16" s="31"/>
      <c r="AW16" s="177">
        <f>IF(AT16="","",IF(StaticData.Today=TODAY(),_xll.BDP(AT16,"BID"),_xll.BDH(AT16,"BID",StaticData.Today,StaticData.Today)))</f>
        <v>-285</v>
      </c>
      <c r="AX16" s="177">
        <f>IF(AT16="","",IF(StaticData.Today=TODAY(),_xll.BDP(AT16,"ASK"),_xll.BDH(AT16,"ASK",StaticData.Today,StaticData.Today)))</f>
        <v>-255</v>
      </c>
      <c r="AY16" s="177">
        <f>IF(AT16="","",IF(StaticData.Today=TODAY(),_xll.BDP(AT16,"LAST_PRICE"),_xll.BDH(AT16,"LAST_PRICE",StaticData.Today,StaticData.Today)))</f>
        <v>-270</v>
      </c>
      <c r="AZ16" s="181">
        <f t="shared" si="6"/>
        <v>-270</v>
      </c>
    </row>
    <row r="17" spans="2:55" x14ac:dyDescent="0.25">
      <c r="B17" s="34"/>
      <c r="C17" s="35"/>
      <c r="D17" s="35"/>
      <c r="E17" s="35"/>
      <c r="G17" s="24"/>
      <c r="H17" s="25"/>
      <c r="I17" s="25"/>
      <c r="J17" s="187"/>
      <c r="K17" s="187"/>
      <c r="L17" s="26"/>
      <c r="M17" s="27"/>
      <c r="O17" s="24" t="str">
        <f>"ISFR0I1"&amp;$O$2&amp;" Curncy"</f>
        <v>ISFR0I1 ICPL Curncy</v>
      </c>
      <c r="P17" s="25" t="s">
        <v>498</v>
      </c>
      <c r="Q17" s="31"/>
      <c r="R17" s="182">
        <f>IF(O17="","",IF(StaticData.Today=TODAY(),_xll.BDP(O17,"BID"),_xll.BDH(O17,"BID",StaticData.Today,StaticData.Today)))</f>
        <v>0.04</v>
      </c>
      <c r="S17" s="182">
        <f>IF(O17="","",IF(StaticData.Today=TODAY(),_xll.BDP(O17,"ASK"),_xll.BDH(O17,"ASK",StaticData.Today,StaticData.Today)))</f>
        <v>0.1</v>
      </c>
      <c r="T17" s="30">
        <f>IF(O17="","",IF(StaticData.Today=TODAY(),_xll.BDP(O17,"LAST_PRICE"),_xll.BDH(O17,"LAST_PRICE",StaticData.Today,StaticData.Today)))</f>
        <v>7.0000000000000007E-2</v>
      </c>
      <c r="U17" s="183">
        <f t="shared" si="4"/>
        <v>7.000000000000001E-4</v>
      </c>
      <c r="W17" s="24"/>
      <c r="X17" s="25" t="s">
        <v>358</v>
      </c>
      <c r="Y17" s="191" t="str">
        <f>IF(W17="","",IF(StaticData.Today=TODAY(),_xll.BDP(W17,"LAST_PRICE"),_xll.BDH(W17,"LAST_PRICE",StaticData.Today,StaticData.Today)))</f>
        <v/>
      </c>
      <c r="Z17" s="27"/>
      <c r="AB17" s="24"/>
      <c r="AC17" s="25" t="s">
        <v>358</v>
      </c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24"/>
      <c r="AM17" s="25"/>
      <c r="AN17" s="31"/>
      <c r="AO17" s="29" t="str">
        <f>IF(AL17="","",IF(StaticData.Today=TODAY(),_xll.BDP(AL17,"BID"),_xll.BDH(AL17,"BID",StaticData.Today,StaticData.Today)))</f>
        <v/>
      </c>
      <c r="AP17" s="29" t="str">
        <f>IF(AL17="","",IF(StaticData.Today=TODAY(),_xll.BDP(AL17,"ASK"),_xll.BDH(AL17,"ASK",StaticData.Today,StaticData.Today)))</f>
        <v/>
      </c>
      <c r="AQ17" s="177" t="str">
        <f>IF(AL17="","",IF(StaticData.Today=TODAY(),_xll.BDP(AL17,"LAST_PRICE"),_xll.BDH(AL17,"LAST_PRICE",StaticData.Today,StaticData.Today)))</f>
        <v/>
      </c>
      <c r="AR17" s="181" t="str">
        <f t="shared" si="5"/>
        <v/>
      </c>
      <c r="AT17" s="24"/>
      <c r="AU17" s="25"/>
      <c r="AV17" s="31"/>
      <c r="AW17" s="177"/>
      <c r="AX17" s="177"/>
      <c r="AY17" s="177"/>
      <c r="AZ17" s="181"/>
    </row>
    <row r="18" spans="2:55" x14ac:dyDescent="0.25">
      <c r="B18" s="36"/>
      <c r="C18" s="36"/>
      <c r="D18" s="36"/>
      <c r="E18" s="36"/>
      <c r="G18" s="24"/>
      <c r="H18" s="25"/>
      <c r="I18" s="25"/>
      <c r="J18" s="25"/>
      <c r="K18" s="25"/>
      <c r="L18" s="26"/>
      <c r="M18" s="27"/>
      <c r="O18" s="24" t="str">
        <f>"ISSW1"&amp;$O$2&amp;" Curncy"</f>
        <v>ISSW1 ICPL Curncy</v>
      </c>
      <c r="P18" s="25" t="s">
        <v>47</v>
      </c>
      <c r="Q18" s="31"/>
      <c r="R18" s="182">
        <f>IF(O18="","",IF(StaticData.Today=TODAY(),_xll.BDP(O18,"BID"),_xll.BDH(O18,"BID",StaticData.Today,StaticData.Today)))</f>
        <v>0.05</v>
      </c>
      <c r="S18" s="182">
        <f>IF(O18="","",IF(StaticData.Today=TODAY(),_xll.BDP(O18,"ASK"),_xll.BDH(O18,"ASK",StaticData.Today,StaticData.Today)))</f>
        <v>0.09</v>
      </c>
      <c r="T18" s="30">
        <f>IF(O18="","",IF(StaticData.Today=TODAY(),_xll.BDP(O18,"LAST_PRICE"),_xll.BDH(O18,"LAST_PRICE",StaticData.Today,StaticData.Today)))</f>
        <v>7.0000000000000007E-2</v>
      </c>
      <c r="U18" s="183">
        <f t="shared" si="4"/>
        <v>7.000000000000001E-4</v>
      </c>
      <c r="W18" s="24"/>
      <c r="X18" s="25" t="s">
        <v>367</v>
      </c>
      <c r="Y18" s="191" t="str">
        <f>IF(W18="","",IF(StaticData.Today=TODAY(),_xll.BDP(W18,"LAST_PRICE"),_xll.BDH(W18,"LAST_PRICE",StaticData.Today,StaticData.Today)))</f>
        <v/>
      </c>
      <c r="Z18" s="27"/>
      <c r="AB18" s="24"/>
      <c r="AC18" s="25" t="s">
        <v>367</v>
      </c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24"/>
      <c r="AM18" s="25"/>
      <c r="AN18" s="31"/>
      <c r="AO18" s="29" t="str">
        <f>IF(AL18="","",IF(StaticData.Today=TODAY(),_xll.BDP(AL18,"BID"),_xll.BDH(AL18,"BID",StaticData.Today,StaticData.Today)))</f>
        <v/>
      </c>
      <c r="AP18" s="29" t="str">
        <f>IF(AL18="","",IF(StaticData.Today=TODAY(),_xll.BDP(AL18,"ASK"),_xll.BDH(AL18,"ASK",StaticData.Today,StaticData.Today)))</f>
        <v/>
      </c>
      <c r="AQ18" s="177" t="str">
        <f>IF(AL18="","",IF(StaticData.Today=TODAY(),_xll.BDP(AL18,"LAST_PRICE"),_xll.BDH(AL18,"LAST_PRICE",StaticData.Today,StaticData.Today)))</f>
        <v/>
      </c>
      <c r="AR18" s="181" t="str">
        <f t="shared" si="5"/>
        <v/>
      </c>
      <c r="AT18" s="24"/>
      <c r="AU18" s="25"/>
      <c r="AV18" s="31"/>
      <c r="AW18" s="177" t="str">
        <f>IF(AT18="","",IF(StaticData.Today=TODAY(),_xll.BDP(AT18,"BID"),_xll.BDH(AT18,"BID",StaticData.Today,StaticData.Today)))</f>
        <v/>
      </c>
      <c r="AX18" s="177" t="str">
        <f>IF(AT18="","",IF(StaticData.Today=TODAY(),_xll.BDP(AT18,"ASK"),_xll.BDH(AT18,"ASK",StaticData.Today,StaticData.Today)))</f>
        <v/>
      </c>
      <c r="AY18" s="177" t="str">
        <f>IF(AT18="","",IF(StaticData.Today=TODAY(),_xll.BDP(AT18,"LAST_PRICE"),_xll.BDH(AT18,"LAST_PRICE",StaticData.Today,StaticData.Today)))</f>
        <v/>
      </c>
      <c r="AZ18" s="181" t="str">
        <f t="shared" si="6"/>
        <v/>
      </c>
    </row>
    <row r="19" spans="2:55" x14ac:dyDescent="0.25">
      <c r="B19" s="36"/>
      <c r="C19" s="36"/>
      <c r="D19" s="36"/>
      <c r="E19" s="36"/>
      <c r="G19" s="38"/>
      <c r="H19" s="39"/>
      <c r="I19" s="39"/>
      <c r="J19" s="39"/>
      <c r="K19" s="39"/>
      <c r="L19" s="40"/>
      <c r="M19" s="41"/>
      <c r="O19" s="24" t="str">
        <f>"ISSW2"&amp;$O$2&amp;" Curncy"</f>
        <v>ISSW2 ICPL Curncy</v>
      </c>
      <c r="P19" s="25" t="s">
        <v>308</v>
      </c>
      <c r="Q19" s="31"/>
      <c r="R19" s="182">
        <f>IF(O19="","",IF(StaticData.Today=TODAY(),_xll.BDP(O19,"BID"),_xll.BDH(O19,"BID",StaticData.Today,StaticData.Today)))</f>
        <v>7.4999999999999997E-2</v>
      </c>
      <c r="S19" s="182">
        <f>IF(O19="","",IF(StaticData.Today=TODAY(),_xll.BDP(O19,"ASK"),_xll.BDH(O19,"ASK",StaticData.Today,StaticData.Today)))</f>
        <v>0.115</v>
      </c>
      <c r="T19" s="30">
        <f>IF(O19="","",IF(StaticData.Today=TODAY(),_xll.BDP(O19,"LAST_PRICE"),_xll.BDH(O19,"LAST_PRICE",StaticData.Today,StaticData.Today)))</f>
        <v>9.5000000000000001E-2</v>
      </c>
      <c r="U19" s="183">
        <f t="shared" si="4"/>
        <v>9.5E-4</v>
      </c>
      <c r="W19" s="24"/>
      <c r="X19" s="25" t="s">
        <v>374</v>
      </c>
      <c r="Y19" s="191" t="str">
        <f>IF(W19="","",IF(StaticData.Today=TODAY(),_xll.BDP(W19,"LAST_PRICE"),_xll.BDH(W19,"LAST_PRICE",StaticData.Today,StaticData.Today)))</f>
        <v/>
      </c>
      <c r="Z19" s="27"/>
      <c r="AB19" s="24"/>
      <c r="AC19" s="25" t="s">
        <v>374</v>
      </c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25"/>
      <c r="AN19" s="28"/>
      <c r="AO19" s="29" t="str">
        <f>IF(AL19="","",IF(StaticData.Today=TODAY(),_xll.BDP(AL19,"BID"),_xll.BDH(AL19,"BID",StaticData.Today,StaticData.Today)))</f>
        <v/>
      </c>
      <c r="AP19" s="29" t="str">
        <f>IF(AL19="","",IF(StaticData.Today=TODAY(),_xll.BDP(AL19,"ASK"),_xll.BDH(AL19,"ASK",StaticData.Today,StaticData.Today)))</f>
        <v/>
      </c>
      <c r="AQ19" s="177" t="str">
        <f>IF(AL19="","",IF(StaticData.Today=TODAY(),_xll.BDP(AL19,"LAST_PRICE"),_xll.BDH(AL19,"LAST_PRICE",StaticData.Today,StaticData.Today)))</f>
        <v/>
      </c>
      <c r="AR19" s="181" t="str">
        <f t="shared" si="5"/>
        <v/>
      </c>
      <c r="AT19" s="24"/>
      <c r="AU19" s="25"/>
      <c r="AV19" s="31"/>
      <c r="AW19" s="177" t="str">
        <f>IF(AT19="","",IF(StaticData.Today=TODAY(),_xll.BDP(AT19,"BID"),_xll.BDH(AT19,"BID",StaticData.Today,StaticData.Today)))</f>
        <v/>
      </c>
      <c r="AX19" s="177" t="str">
        <f>IF(AT19="","",IF(StaticData.Today=TODAY(),_xll.BDP(AT19,"ASK"),_xll.BDH(AT19,"ASK",StaticData.Today,StaticData.Today)))</f>
        <v/>
      </c>
      <c r="AY19" s="177" t="str">
        <f>IF(AT19="","",IF(StaticData.Today=TODAY(),_xll.BDP(AT19,"LAST_PRICE"),_xll.BDH(AT19,"LAST_PRICE",StaticData.Today,StaticData.Today)))</f>
        <v/>
      </c>
      <c r="AZ19" s="181" t="str">
        <f t="shared" si="6"/>
        <v/>
      </c>
    </row>
    <row r="20" spans="2:55" x14ac:dyDescent="0.25">
      <c r="B20" s="36"/>
      <c r="C20" s="36"/>
      <c r="D20" s="36"/>
      <c r="E20" s="36"/>
      <c r="O20" s="24" t="str">
        <f>"ISSW3"&amp;$O$2&amp;" Curncy"</f>
        <v>ISSW3 ICPL Curncy</v>
      </c>
      <c r="P20" s="25" t="s">
        <v>316</v>
      </c>
      <c r="Q20" s="31"/>
      <c r="R20" s="182">
        <f>IF(O20="","",IF(StaticData.Today=TODAY(),_xll.BDP(O20,"BID"),_xll.BDH(O20,"BID",StaticData.Today,StaticData.Today)))</f>
        <v>0.125</v>
      </c>
      <c r="S20" s="182">
        <f>IF(O20="","",IF(StaticData.Today=TODAY(),_xll.BDP(O20,"ASK"),_xll.BDH(O20,"ASK",StaticData.Today,StaticData.Today)))</f>
        <v>0.16500000000000001</v>
      </c>
      <c r="T20" s="30">
        <f>IF(O20="","",IF(StaticData.Today=TODAY(),_xll.BDP(O20,"LAST_PRICE"),_xll.BDH(O20,"LAST_PRICE",StaticData.Today,StaticData.Today)))</f>
        <v>0.14499999999999999</v>
      </c>
      <c r="U20" s="183">
        <f t="shared" si="4"/>
        <v>1.4499999999999999E-3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25"/>
      <c r="AN20" s="28"/>
      <c r="AO20" s="29"/>
      <c r="AP20" s="29"/>
      <c r="AQ20" s="177"/>
      <c r="AR20" s="181"/>
      <c r="AT20" s="24"/>
      <c r="AU20" s="25"/>
      <c r="AV20" s="28"/>
      <c r="AW20" s="177" t="str">
        <f>IF(AT20="","",IF(StaticData.Today=TODAY(),_xll.BDP(AT20,"BID"),_xll.BDH(AT20,"BID",StaticData.Today,StaticData.Today)))</f>
        <v/>
      </c>
      <c r="AX20" s="177" t="str">
        <f>IF(AT20="","",IF(StaticData.Today=TODAY(),_xll.BDP(AT20,"ASK"),_xll.BDH(AT20,"ASK",StaticData.Today,StaticData.Today)))</f>
        <v/>
      </c>
      <c r="AY20" s="177" t="str">
        <f>IF(AT20="","",IF(StaticData.Today=TODAY(),_xll.BDP(AT20,"LAST_PRICE"),_xll.BDH(AT20,"LAST_PRICE",StaticData.Today,StaticData.Today)))</f>
        <v/>
      </c>
      <c r="AZ20" s="181" t="str">
        <f t="shared" si="6"/>
        <v/>
      </c>
    </row>
    <row r="21" spans="2:55" x14ac:dyDescent="0.25">
      <c r="B21" s="36"/>
      <c r="C21" s="36"/>
      <c r="D21" s="36"/>
      <c r="E21" s="36"/>
      <c r="O21" s="24" t="str">
        <f>"ISSW4"&amp;$O$2&amp;" Curncy"</f>
        <v>ISSW4 ICPL Curncy</v>
      </c>
      <c r="P21" s="25" t="s">
        <v>324</v>
      </c>
      <c r="Q21" s="31"/>
      <c r="R21" s="182">
        <f>IF(O21="","",IF(StaticData.Today=TODAY(),_xll.BDP(O21,"BID"),_xll.BDH(O21,"BID",StaticData.Today,StaticData.Today)))</f>
        <v>0.185</v>
      </c>
      <c r="S21" s="182">
        <f>IF(O21="","",IF(StaticData.Today=TODAY(),_xll.BDP(O21,"ASK"),_xll.BDH(O21,"ASK",StaticData.Today,StaticData.Today)))</f>
        <v>0.22500000000000001</v>
      </c>
      <c r="T21" s="30">
        <f>IF(O21="","",IF(StaticData.Today=TODAY(),_xll.BDP(O21,"LAST_PRICE"),_xll.BDH(O21,"LAST_PRICE",StaticData.Today,StaticData.Today)))</f>
        <v>0.20499999999999999</v>
      </c>
      <c r="U21" s="183">
        <f t="shared" si="4"/>
        <v>2.0499999999999997E-3</v>
      </c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/>
      <c r="AU21" s="25"/>
      <c r="AV21" s="28"/>
      <c r="AW21" s="177" t="str">
        <f>IF(AT21="","",IF(StaticData.Today=TODAY(),_xll.BDP(AT21,"BID"),_xll.BDH(AT21,"BID",StaticData.Today,StaticData.Today)))</f>
        <v/>
      </c>
      <c r="AX21" s="177" t="str">
        <f>IF(AT21="","",IF(StaticData.Today=TODAY(),_xll.BDP(AT21,"ASK"),_xll.BDH(AT21,"ASK",StaticData.Today,StaticData.Today)))</f>
        <v/>
      </c>
      <c r="AY21" s="177" t="str">
        <f>IF(AT21="","",IF(StaticData.Today=TODAY(),_xll.BDP(AT21,"LAST_PRICE"),_xll.BDH(AT21,"LAST_PRICE",StaticData.Today,StaticData.Today)))</f>
        <v/>
      </c>
      <c r="AZ21" s="181" t="str">
        <f t="shared" si="6"/>
        <v/>
      </c>
    </row>
    <row r="22" spans="2:55" x14ac:dyDescent="0.25">
      <c r="B22" s="36"/>
      <c r="C22" s="36"/>
      <c r="D22" s="36"/>
      <c r="E22" s="36"/>
      <c r="O22" s="24" t="str">
        <f>"ISSW5"&amp;$O$2&amp;" Curncy"</f>
        <v>ISSW5 ICPL Curncy</v>
      </c>
      <c r="P22" s="25" t="s">
        <v>331</v>
      </c>
      <c r="Q22" s="31"/>
      <c r="R22" s="182">
        <f>IF(O22="","",IF(StaticData.Today=TODAY(),_xll.BDP(O22,"BID"),_xll.BDH(O22,"BID",StaticData.Today,StaticData.Today)))</f>
        <v>0.25</v>
      </c>
      <c r="S22" s="182">
        <f>IF(O22="","",IF(StaticData.Today=TODAY(),_xll.BDP(O22,"ASK"),_xll.BDH(O22,"ASK",StaticData.Today,StaticData.Today)))</f>
        <v>0.28999999999999998</v>
      </c>
      <c r="T22" s="30">
        <f>IF(O22="","",IF(StaticData.Today=TODAY(),_xll.BDP(O22,"LAST_PRICE"),_xll.BDH(O22,"LAST_PRICE",StaticData.Today,StaticData.Today)))</f>
        <v>0.27</v>
      </c>
      <c r="U22" s="183">
        <f t="shared" si="4"/>
        <v>2.7000000000000001E-3</v>
      </c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/>
      <c r="AU22" s="25"/>
      <c r="AV22" s="28"/>
      <c r="AW22" s="194" t="str">
        <f>IF(AT22="","",IF(StaticData.Today=TODAY(),_xll.BDP(AT22,"BID"),_xll.BDH(AT22,"BID",StaticData.Today,StaticData.Today)))</f>
        <v/>
      </c>
      <c r="AX22" s="194" t="str">
        <f>IF(AT22="","",IF(StaticData.Today=TODAY(),_xll.BDP(AT22,"ASK"),_xll.BDH(AT22,"ASK",StaticData.Today,StaticData.Today)))</f>
        <v/>
      </c>
      <c r="AY22" s="194" t="str">
        <f>IF(AT22="","",IF(StaticData.Today=TODAY(),_xll.BDP(AT22,"LAST_PRICE"),_xll.BDH(AT22,"LAST_PRICE",StaticData.Today,StaticData.Today)))</f>
        <v/>
      </c>
      <c r="AZ22" s="195" t="str">
        <f t="shared" si="6"/>
        <v/>
      </c>
      <c r="BC22" s="193"/>
    </row>
    <row r="23" spans="2:55" x14ac:dyDescent="0.25">
      <c r="B23" s="36"/>
      <c r="C23" s="36"/>
      <c r="D23" s="36"/>
      <c r="E23" s="36"/>
      <c r="O23" s="24" t="str">
        <f>"ISSW6"&amp;$O$2&amp;" Curncy"</f>
        <v>ISSW6 ICPL Curncy</v>
      </c>
      <c r="P23" s="25" t="s">
        <v>339</v>
      </c>
      <c r="Q23" s="31"/>
      <c r="R23" s="182">
        <f>IF(O23="","",IF(StaticData.Today=TODAY(),_xll.BDP(O23,"BID"),_xll.BDH(O23,"BID",StaticData.Today,StaticData.Today)))</f>
        <v>0.34</v>
      </c>
      <c r="S23" s="182">
        <f>IF(O23="","",IF(StaticData.Today=TODAY(),_xll.BDP(O23,"ASK"),_xll.BDH(O23,"ASK",StaticData.Today,StaticData.Today)))</f>
        <v>0.38</v>
      </c>
      <c r="T23" s="30">
        <f>IF(O23="","",IF(StaticData.Today=TODAY(),_xll.BDP(O23,"LAST_PRICE"),_xll.BDH(O23,"LAST_PRICE",StaticData.Today,StaticData.Today)))</f>
        <v>0.36</v>
      </c>
      <c r="U23" s="183">
        <f t="shared" si="4"/>
        <v>3.5999999999999999E-3</v>
      </c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/>
      <c r="AU23" s="25"/>
      <c r="AV23" s="28"/>
      <c r="AW23" s="194" t="str">
        <f>IF(AT23="","",IF(StaticData.Today=TODAY(),_xll.BDP(AT23,"BID"),_xll.BDH(AT23,"BID",StaticData.Today,StaticData.Today)))</f>
        <v/>
      </c>
      <c r="AX23" s="194" t="str">
        <f>IF(AT23="","",IF(StaticData.Today=TODAY(),_xll.BDP(AT23,"ASK"),_xll.BDH(AT23,"ASK",StaticData.Today,StaticData.Today)))</f>
        <v/>
      </c>
      <c r="AY23" s="194" t="str">
        <f>IF(AT23="","",IF(StaticData.Today=TODAY(),_xll.BDP(AT23,"LAST_PRICE"),_xll.BDH(AT23,"LAST_PRICE",StaticData.Today,StaticData.Today)))</f>
        <v/>
      </c>
      <c r="AZ23" s="195" t="str">
        <f t="shared" si="6"/>
        <v/>
      </c>
      <c r="BC23" s="193"/>
    </row>
    <row r="24" spans="2:55" x14ac:dyDescent="0.25">
      <c r="O24" s="24" t="str">
        <f>"ISSW7"&amp;$O$2&amp;" Curncy"</f>
        <v>ISSW7 ICPL Curncy</v>
      </c>
      <c r="P24" s="25" t="s">
        <v>342</v>
      </c>
      <c r="Q24" s="28"/>
      <c r="R24" s="29">
        <f>IF(O24="","",IF(StaticData.Today=TODAY(),_xll.BDP(O24,"BID"),_xll.BDH(O24,"BID",StaticData.Today,StaticData.Today)))</f>
        <v>0.42499999999999999</v>
      </c>
      <c r="S24" s="29">
        <f>IF(O24="","",IF(StaticData.Today=TODAY(),_xll.BDP(O24,"ASK"),_xll.BDH(O24,"ASK",StaticData.Today,StaticData.Today)))</f>
        <v>0.46500000000000002</v>
      </c>
      <c r="T24" s="30">
        <f>IF(O24="","",IF(StaticData.Today=TODAY(),_xll.BDP(O24,"LAST_PRICE"),_xll.BDH(O24,"LAST_PRICE",StaticData.Today,StaticData.Today)))</f>
        <v>0.44500000000000001</v>
      </c>
      <c r="U24" s="183">
        <f t="shared" si="4"/>
        <v>4.45E-3</v>
      </c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/>
      <c r="AU24" s="25"/>
      <c r="AV24" s="28"/>
      <c r="AW24" s="194" t="str">
        <f>IF(AT24="","",IF(StaticData.Today=TODAY(),_xll.BDP(AT24,"BID"),_xll.BDH(AT24,"BID",StaticData.Today,StaticData.Today)))</f>
        <v/>
      </c>
      <c r="AX24" s="194" t="str">
        <f>IF(AT24="","",IF(StaticData.Today=TODAY(),_xll.BDP(AT24,"ASK"),_xll.BDH(AT24,"ASK",StaticData.Today,StaticData.Today)))</f>
        <v/>
      </c>
      <c r="AY24" s="194" t="str">
        <f>IF(AT24="","",IF(StaticData.Today=TODAY(),_xll.BDP(AT24,"LAST_PRICE"),_xll.BDH(AT24,"LAST_PRICE",StaticData.Today,StaticData.Today)))</f>
        <v/>
      </c>
      <c r="AZ24" s="195" t="str">
        <f t="shared" si="6"/>
        <v/>
      </c>
    </row>
    <row r="25" spans="2:55" x14ac:dyDescent="0.25">
      <c r="O25" s="24" t="str">
        <f>"ISSW8"&amp;$O$2&amp;" Curncy"</f>
        <v>ISSW8 ICPL Curncy</v>
      </c>
      <c r="P25" s="25" t="s">
        <v>355</v>
      </c>
      <c r="Q25" s="28"/>
      <c r="R25" s="29">
        <f>IF(O25="","",IF(StaticData.Today=TODAY(),_xll.BDP(O25,"BID"),_xll.BDH(O25,"BID",StaticData.Today,StaticData.Today)))</f>
        <v>0.5</v>
      </c>
      <c r="S25" s="29">
        <f>IF(O25="","",IF(StaticData.Today=TODAY(),_xll.BDP(O25,"ASK"),_xll.BDH(O25,"ASK",StaticData.Today,StaticData.Today)))</f>
        <v>0.54</v>
      </c>
      <c r="T25" s="30">
        <f>IF(O25="","",IF(StaticData.Today=TODAY(),_xll.BDP(O25,"LAST_PRICE"),_xll.BDH(O25,"LAST_PRICE",StaticData.Today,StaticData.Today)))</f>
        <v>0.52</v>
      </c>
      <c r="U25" s="183">
        <f t="shared" si="4"/>
        <v>5.1999999999999998E-3</v>
      </c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/>
      <c r="AU25" s="25"/>
      <c r="AV25" s="28"/>
      <c r="AW25" s="194" t="str">
        <f>IF(AT25="","",IF(StaticData.Today=TODAY(),_xll.BDP(AT25,"BID"),_xll.BDH(AT25,"BID",StaticData.Today,StaticData.Today)))</f>
        <v/>
      </c>
      <c r="AX25" s="194" t="str">
        <f>IF(AT25="","",IF(StaticData.Today=TODAY(),_xll.BDP(AT25,"ASK"),_xll.BDH(AT25,"ASK",StaticData.Today,StaticData.Today)))</f>
        <v/>
      </c>
      <c r="AY25" s="194" t="str">
        <f>IF(AT25="","",IF(StaticData.Today=TODAY(),_xll.BDP(AT25,"LAST_PRICE"),_xll.BDH(AT25,"LAST_PRICE",StaticData.Today,StaticData.Today)))</f>
        <v/>
      </c>
      <c r="AZ25" s="195" t="str">
        <f t="shared" si="6"/>
        <v/>
      </c>
    </row>
    <row r="26" spans="2:55" x14ac:dyDescent="0.25">
      <c r="O26" s="24" t="str">
        <f>"ISSW9"&amp;$O$2&amp;" Curncy"</f>
        <v>ISSW9 ICPL Curncy</v>
      </c>
      <c r="P26" s="25" t="s">
        <v>364</v>
      </c>
      <c r="Q26" s="28"/>
      <c r="R26" s="29">
        <f>IF(O26="","",IF(StaticData.Today=TODAY(),_xll.BDP(O26,"BID"),_xll.BDH(O26,"BID",StaticData.Today,StaticData.Today)))</f>
        <v>0.57499999999999996</v>
      </c>
      <c r="S26" s="29">
        <f>IF(O26="","",IF(StaticData.Today=TODAY(),_xll.BDP(O26,"ASK"),_xll.BDH(O26,"ASK",StaticData.Today,StaticData.Today)))</f>
        <v>0.61499999999999999</v>
      </c>
      <c r="T26" s="30">
        <f>IF(O26="","",IF(StaticData.Today=TODAY(),_xll.BDP(O26,"LAST_PRICE"),_xll.BDH(O26,"LAST_PRICE",StaticData.Today,StaticData.Today)))</f>
        <v>0.59499999999999997</v>
      </c>
      <c r="U26" s="183">
        <f t="shared" si="4"/>
        <v>5.9499999999999996E-3</v>
      </c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94" t="str">
        <f>IF(AT26="","",IF(StaticData.Today=TODAY(),_xll.BDP(AT26,"BID"),_xll.BDH(AT26,"BID",StaticData.Today,StaticData.Today)))</f>
        <v/>
      </c>
      <c r="AX26" s="194" t="str">
        <f>IF(AT26="","",IF(StaticData.Today=TODAY(),_xll.BDP(AT26,"ASK"),_xll.BDH(AT26,"ASK",StaticData.Today,StaticData.Today)))</f>
        <v/>
      </c>
      <c r="AY26" s="194" t="str">
        <f>IF(AT26="","",IF(StaticData.Today=TODAY(),_xll.BDP(AT26,"LAST_PRICE"),_xll.BDH(AT26,"LAST_PRICE",StaticData.Today,StaticData.Today)))</f>
        <v/>
      </c>
      <c r="AZ26" s="195" t="str">
        <f t="shared" si="6"/>
        <v/>
      </c>
    </row>
    <row r="27" spans="2:55" x14ac:dyDescent="0.25">
      <c r="O27" s="24" t="str">
        <f>"ISSW10"&amp;$O$2&amp;" Curncy"</f>
        <v>ISSW10 ICPL Curncy</v>
      </c>
      <c r="P27" s="25" t="s">
        <v>349</v>
      </c>
      <c r="Q27" s="28"/>
      <c r="R27" s="29">
        <f>IF(O27="","",IF(StaticData.Today=TODAY(),_xll.BDP(O27,"BID"),_xll.BDH(O27,"BID",StaticData.Today,StaticData.Today)))</f>
        <v>0.63500000000000001</v>
      </c>
      <c r="S27" s="29">
        <f>IF(O27="","",IF(StaticData.Today=TODAY(),_xll.BDP(O27,"ASK"),_xll.BDH(O27,"ASK",StaticData.Today,StaticData.Today)))</f>
        <v>0.67500000000000004</v>
      </c>
      <c r="T27" s="30">
        <f>IF(O27="","",IF(StaticData.Today=TODAY(),_xll.BDP(O27,"LAST_PRICE"),_xll.BDH(O27,"LAST_PRICE",StaticData.Today,StaticData.Today)))</f>
        <v>0.65500000000000003</v>
      </c>
      <c r="U27" s="183">
        <f t="shared" si="4"/>
        <v>6.5500000000000003E-3</v>
      </c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194" t="str">
        <f>IF(AT27="","",IF(StaticData.Today=TODAY(),_xll.BDP(AT27,"BID"),_xll.BDH(AT27,"BID",StaticData.Today,StaticData.Today)))</f>
        <v/>
      </c>
      <c r="AX27" s="194" t="str">
        <f>IF(AT27="","",IF(StaticData.Today=TODAY(),_xll.BDP(AT27,"ASK"),_xll.BDH(AT27,"ASK",StaticData.Today,StaticData.Today)))</f>
        <v/>
      </c>
      <c r="AY27" s="194" t="str">
        <f>IF(AT27="","",IF(StaticData.Today=TODAY(),_xll.BDP(AT27,"LAST_PRICE"),_xll.BDH(AT27,"LAST_PRICE",StaticData.Today,StaticData.Today)))</f>
        <v/>
      </c>
      <c r="AZ27" s="195" t="str">
        <f t="shared" si="6"/>
        <v/>
      </c>
    </row>
    <row r="28" spans="2:55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194" t="str">
        <f>IF(AT28="","",IF(StaticData.Today=TODAY(),_xll.BDP(AT28,"BID"),_xll.BDH(AT28,"BID",StaticData.Today,StaticData.Today)))</f>
        <v/>
      </c>
      <c r="AX28" s="194" t="str">
        <f>IF(AT28="","",IF(StaticData.Today=TODAY(),_xll.BDP(AT28,"ASK"),_xll.BDH(AT28,"ASK",StaticData.Today,StaticData.Today)))</f>
        <v/>
      </c>
      <c r="AY28" s="194" t="str">
        <f>IF(AT28="","",IF(StaticData.Today=TODAY(),_xll.BDP(AT28,"LAST_PRICE"),_xll.BDH(AT28,"LAST_PRICE",StaticData.Today,StaticData.Today)))</f>
        <v/>
      </c>
      <c r="AZ28" s="195" t="str">
        <f t="shared" si="6"/>
        <v/>
      </c>
    </row>
    <row r="29" spans="2:55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194" t="str">
        <f>IF(AT29="","",IF(StaticData.Today=TODAY(),_xll.BDP(AT29,"BID"),_xll.BDH(AT29,"BID",StaticData.Today,StaticData.Today)))</f>
        <v/>
      </c>
      <c r="AX29" s="194" t="str">
        <f>IF(AT29="","",IF(StaticData.Today=TODAY(),_xll.BDP(AT29,"ASK"),_xll.BDH(AT29,"ASK",StaticData.Today,StaticData.Today)))</f>
        <v/>
      </c>
      <c r="AY29" s="194" t="str">
        <f>IF(AT29="","",IF(StaticData.Today=TODAY(),_xll.BDP(AT29,"LAST_PRICE"),_xll.BDH(AT29,"LAST_PRICE",StaticData.Today,StaticData.Today)))</f>
        <v/>
      </c>
      <c r="AZ29" s="195" t="str">
        <f t="shared" si="6"/>
        <v/>
      </c>
    </row>
    <row r="30" spans="2:55" x14ac:dyDescent="0.25"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194" t="str">
        <f>IF(AT30="","",IF(StaticData.Today=TODAY(),_xll.BDP(AT30,"BID"),_xll.BDH(AT30,"BID",StaticData.Today,StaticData.Today)))</f>
        <v/>
      </c>
      <c r="AX30" s="194" t="str">
        <f>IF(AT30="","",IF(StaticData.Today=TODAY(),_xll.BDP(AT30,"ASK"),_xll.BDH(AT30,"ASK",StaticData.Today,StaticData.Today)))</f>
        <v/>
      </c>
      <c r="AY30" s="194" t="str">
        <f>IF(AT30="","",IF(StaticData.Today=TODAY(),_xll.BDP(AT30,"LAST_PRICE"),_xll.BDH(AT30,"LAST_PRICE",StaticData.Today,StaticData.Today)))</f>
        <v/>
      </c>
      <c r="AZ30" s="195" t="str">
        <f t="shared" si="6"/>
        <v/>
      </c>
    </row>
    <row r="31" spans="2:55" x14ac:dyDescent="0.25">
      <c r="O31" s="24"/>
      <c r="P31" s="25"/>
      <c r="Q31" s="28"/>
      <c r="R31" s="29"/>
      <c r="S31" s="29"/>
      <c r="T31" s="30"/>
      <c r="U31" s="183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 t="str">
        <f>IF(AT31="","",IF(StaticData.Today=TODAY(),_xll.BDP(AT31,"LAST_PRICE"),_xll.BDH(AT31,"LAST_PRICE",StaticData.Today,StaticData.Today)))</f>
        <v/>
      </c>
      <c r="AZ31" s="27"/>
    </row>
    <row r="32" spans="2:55" x14ac:dyDescent="0.25">
      <c r="O32" s="24"/>
      <c r="P32" s="25"/>
      <c r="Q32" s="28"/>
      <c r="R32" s="29"/>
      <c r="S32" s="29"/>
      <c r="T32" s="30"/>
      <c r="U32" s="183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15:52" x14ac:dyDescent="0.25">
      <c r="O33" s="24"/>
      <c r="P33" s="25"/>
      <c r="Q33" s="28"/>
      <c r="R33" s="29"/>
      <c r="S33" s="29"/>
      <c r="T33" s="30"/>
      <c r="U33" s="183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15:52" x14ac:dyDescent="0.25">
      <c r="O34" s="24"/>
      <c r="P34" s="25"/>
      <c r="Q34" s="28"/>
      <c r="R34" s="29"/>
      <c r="S34" s="29"/>
      <c r="T34" s="30"/>
      <c r="U34" s="183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15:52" x14ac:dyDescent="0.25">
      <c r="O35" s="24"/>
      <c r="P35" s="25"/>
      <c r="Q35" s="28"/>
      <c r="R35" s="29"/>
      <c r="S35" s="29"/>
      <c r="T35" s="30"/>
      <c r="U35" s="183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24"/>
      <c r="P47" s="25"/>
      <c r="Q47" s="28"/>
      <c r="R47" s="29"/>
      <c r="S47" s="29"/>
      <c r="T47" s="30"/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24"/>
      <c r="P48" s="25"/>
      <c r="Q48" s="28"/>
      <c r="R48" s="29"/>
      <c r="S48" s="29"/>
      <c r="T48" s="30"/>
      <c r="U48" s="27"/>
      <c r="W48" s="38"/>
      <c r="X48" s="39"/>
      <c r="Y48" s="192"/>
      <c r="Z48" s="41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15:52" x14ac:dyDescent="0.25">
      <c r="O49" s="24"/>
      <c r="P49" s="25"/>
      <c r="Q49" s="28"/>
      <c r="R49" s="29"/>
      <c r="S49" s="29"/>
      <c r="T49" s="30"/>
      <c r="U49" s="27"/>
      <c r="AT49" s="38"/>
      <c r="AU49" s="39"/>
      <c r="AV49" s="42"/>
      <c r="AW49" s="43"/>
      <c r="AX49" s="43"/>
      <c r="AY49" s="44" t="str">
        <f>IF(AT49="","",IF(StaticData.Today=TODAY(),_xll.BDP(AT49,"LAST_PRICE"),_xll.BDH(AT49,"LAST_PRICE",StaticData.Today,StaticData.Today)))</f>
        <v/>
      </c>
      <c r="AZ49" s="41"/>
    </row>
    <row r="50" spans="15:52" x14ac:dyDescent="0.25">
      <c r="O50" s="24"/>
      <c r="P50" s="25"/>
      <c r="Q50" s="28"/>
      <c r="R50" s="29"/>
      <c r="S50" s="29"/>
      <c r="T50" s="30"/>
      <c r="U50" s="27"/>
    </row>
    <row r="51" spans="15:52" x14ac:dyDescent="0.25">
      <c r="O51" s="24"/>
      <c r="P51" s="25"/>
      <c r="Q51" s="28"/>
      <c r="R51" s="29"/>
      <c r="S51" s="29"/>
      <c r="T51" s="30"/>
      <c r="U51" s="27"/>
    </row>
    <row r="52" spans="15:52" x14ac:dyDescent="0.25">
      <c r="O52" s="24"/>
      <c r="P52" s="25"/>
      <c r="Q52" s="28"/>
      <c r="R52" s="29"/>
      <c r="S52" s="29"/>
      <c r="T52" s="30"/>
      <c r="U52" s="27"/>
    </row>
    <row r="53" spans="15:52" x14ac:dyDescent="0.25">
      <c r="O53" s="38"/>
      <c r="P53" s="39"/>
      <c r="Q53" s="42"/>
      <c r="R53" s="43"/>
      <c r="S53" s="43"/>
      <c r="T53" s="44"/>
      <c r="U53" s="41"/>
    </row>
  </sheetData>
  <dataValidations count="2">
    <dataValidation type="list" allowBlank="1" showInputMessage="1" showErrorMessage="1" sqref="AL2">
      <formula1>$U$99:$U$102</formula1>
    </dataValidation>
    <dataValidation type="list" allowBlank="1" showInputMessage="1" showErrorMessage="1" sqref="O1:O2">
      <formula1>$U$95:$U$98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'STATIC DATA'!$U$92:$U$95</xm:f>
          </x14:formula1>
          <xm:sqref>AT1</xm:sqref>
        </x14:dataValidation>
        <x14:dataValidation type="list" allowBlank="1" showInputMessage="1" showErrorMessage="1">
          <x14:formula1>
            <xm:f>'STATIC DATA'!$T$97:$T$100</xm:f>
          </x14:formula1>
          <xm:sqref>W2</xm:sqref>
        </x14:dataValidation>
        <x14:dataValidation type="list" allowBlank="1" showInputMessage="1" showErrorMessage="1">
          <x14:formula1>
            <xm:f>'STATIC DATA'!$R$92:$R$95</xm:f>
          </x14:formula1>
          <xm:sqref>G1</xm:sqref>
        </x14:dataValidation>
        <x14:dataValidation type="list" allowBlank="1" showInputMessage="1" showErrorMessage="1">
          <x14:formula1>
            <xm:f>'STATIC DATA'!$U$97:$U$100</xm:f>
          </x14:formula1>
          <xm:sqref>AT2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7" tint="0.79998168889431442"/>
  </sheetPr>
  <dimension ref="A1:BB52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22.28515625" style="6" bestFit="1" customWidth="1"/>
    <col min="24" max="24" width="12.7109375" style="6" customWidth="1"/>
    <col min="25" max="25" width="9.5703125" style="188" bestFit="1" customWidth="1"/>
    <col min="26" max="26" width="8.42578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9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10.570312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4" max="54" width="18.5703125" bestFit="1" customWidth="1"/>
  </cols>
  <sheetData>
    <row r="1" spans="1:54" x14ac:dyDescent="0.25">
      <c r="A1" t="s">
        <v>1296</v>
      </c>
      <c r="G1" s="6" t="s">
        <v>546</v>
      </c>
      <c r="O1" s="6" t="s">
        <v>586</v>
      </c>
      <c r="Q1" s="385">
        <f>StaticData.Today</f>
        <v>44083</v>
      </c>
      <c r="AT1" s="6" t="s">
        <v>849</v>
      </c>
    </row>
    <row r="2" spans="1:54" x14ac:dyDescent="0.25">
      <c r="G2" s="7"/>
      <c r="O2" s="6" t="s">
        <v>586</v>
      </c>
      <c r="Q2" s="6">
        <f>IF(StaticData.Today=TODAY(),1,0)</f>
        <v>1</v>
      </c>
      <c r="W2" s="6" t="s">
        <v>587</v>
      </c>
      <c r="AB2" s="6" t="s">
        <v>586</v>
      </c>
      <c r="AG2" s="6" t="s">
        <v>586</v>
      </c>
      <c r="AL2" s="6" t="s">
        <v>586</v>
      </c>
      <c r="AT2" s="6" t="s">
        <v>508</v>
      </c>
    </row>
    <row r="3" spans="1:54" x14ac:dyDescent="0.25">
      <c r="B3" s="7" t="s">
        <v>278</v>
      </c>
      <c r="C3" s="7"/>
      <c r="D3" s="7"/>
      <c r="E3" s="8" t="s">
        <v>279</v>
      </c>
      <c r="G3" s="2" t="s">
        <v>1584</v>
      </c>
      <c r="L3" s="8"/>
      <c r="O3" s="2" t="str">
        <f>$A$1&amp;"_3M"</f>
        <v>INR_3M</v>
      </c>
      <c r="T3" s="8" t="s">
        <v>282</v>
      </c>
      <c r="W3" s="2" t="str">
        <f>$A$1&amp;"_BASIS_6M"</f>
        <v>INR_BASIS_6M</v>
      </c>
      <c r="AB3" s="2" t="str">
        <f>$A$1&amp;"_BASIS_1M"</f>
        <v>INR_BASIS_1M</v>
      </c>
      <c r="AG3" s="2" t="str">
        <f>$A$1&amp;"USD_SPREAD"</f>
        <v>INRUSD_SPREAD</v>
      </c>
      <c r="AL3" s="2" t="str">
        <f>'STATIC DATA'!$C$4&amp;'STATIC DATA'!$W$4&amp;"_BASIS"</f>
        <v>USDAED_BASIS</v>
      </c>
      <c r="AQ3" s="8" t="s">
        <v>282</v>
      </c>
      <c r="AT3" s="2" t="str">
        <f>$A$1&amp;"_OFFSHORE_"&amp;'STATIC DATA'!AD68</f>
        <v>INR_OFFSHORE_USD_1D</v>
      </c>
      <c r="AY3" s="8" t="s">
        <v>282</v>
      </c>
    </row>
    <row r="4" spans="1:54" x14ac:dyDescent="0.25">
      <c r="B4" s="9" t="b">
        <f>SUM(C7:C17)=SUM(D7:D17)</f>
        <v>0</v>
      </c>
      <c r="E4" s="10">
        <f>SUM(E7:E17)</f>
        <v>2</v>
      </c>
      <c r="T4" s="6" t="str">
        <f>_xll.BDH(O9,"LAST_PRICE")</f>
        <v>#N/A Start Date</v>
      </c>
    </row>
    <row r="6" spans="1:54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4" x14ac:dyDescent="0.25">
      <c r="B7" s="11" t="str">
        <f>G3</f>
        <v>INROIS</v>
      </c>
      <c r="C7" s="12">
        <f>COUNTA(G7:G19)</f>
        <v>12</v>
      </c>
      <c r="D7" s="12">
        <f>COUNT(L7:L19)</f>
        <v>12</v>
      </c>
      <c r="E7" s="13">
        <f t="shared" ref="E7:E12" si="0">C7-D7</f>
        <v>0</v>
      </c>
      <c r="G7" s="14"/>
      <c r="H7" s="15" t="s">
        <v>298</v>
      </c>
      <c r="I7" s="15"/>
      <c r="J7" s="186"/>
      <c r="K7" s="186"/>
      <c r="L7" s="16"/>
      <c r="M7" s="17"/>
      <c r="O7" s="24" t="s">
        <v>599</v>
      </c>
      <c r="P7" s="15" t="s">
        <v>298</v>
      </c>
      <c r="Q7" s="18"/>
      <c r="R7" s="19"/>
      <c r="S7" s="19"/>
      <c r="T7" s="20">
        <f>IF(O7="","",IF(StaticData.Today=TODAY(),_xll.BDP(O7,"LAST_PRICE"),_xll.BDH(O7,"LAST_PRICE",StaticData.Today,StaticData.Today)))</f>
        <v>0.57125000000000004</v>
      </c>
      <c r="U7" s="184">
        <f>T7/100</f>
        <v>5.7125000000000006E-3</v>
      </c>
      <c r="W7" s="24" t="str">
        <f>O7</f>
        <v>SAIBON Index</v>
      </c>
      <c r="X7" s="25" t="str">
        <f>P7</f>
        <v>ON</v>
      </c>
      <c r="Y7" s="191">
        <f>T7</f>
        <v>0.57125000000000004</v>
      </c>
      <c r="Z7" s="27">
        <f>U7</f>
        <v>5.7125000000000006E-3</v>
      </c>
      <c r="AB7" s="14" t="str">
        <f>"SRBSVC"&amp;$AB$2&amp;" Curncy"</f>
        <v>SRBSVC GMGM Curncy</v>
      </c>
      <c r="AC7" s="15" t="s">
        <v>49</v>
      </c>
      <c r="AD7" s="16">
        <f>IF(AB7="","",IF(StaticData.Today=TODAY(),_xll.BDP(AB7,"MID"),_xll.BDH(AB7,"MID",StaticData.Today,StaticData.Today)))</f>
        <v>17</v>
      </c>
      <c r="AE7" s="17">
        <f t="shared" ref="AE7:AE9" si="1">AD7/10000</f>
        <v>1.6999999999999999E-3</v>
      </c>
      <c r="AG7" s="14" t="str">
        <f>"SRSSUS0F"&amp;$AG$2&amp;" Curncy"</f>
        <v>SRSSUS0F GMGM Curncy</v>
      </c>
      <c r="AH7" s="15" t="s">
        <v>46</v>
      </c>
      <c r="AI7" s="16">
        <f>IF(AG7="","",IF(StaticData.Today=TODAY(),_xll.BDP(AG7,"LAST_PRICE"),_xll.BDH(AG7,"LAST_PRICE",StaticData.Today,StaticData.Today)))</f>
        <v>66.5</v>
      </c>
      <c r="AJ7" s="17"/>
      <c r="AL7" s="14" t="str">
        <f>"SRUSSW1"&amp;$AL$2&amp;" Curncy"</f>
        <v>SRUSSW1 GMGM Curncy</v>
      </c>
      <c r="AM7" s="15" t="s">
        <v>47</v>
      </c>
      <c r="AN7" s="18"/>
      <c r="AO7" s="19">
        <f>IF(AL7="","",IF(StaticData.Today=TODAY(),_xll.BDP(AL7,"BID"),_xll.BDH(AL7,"BID",StaticData.Today,StaticData.Today)))</f>
        <v>-54</v>
      </c>
      <c r="AP7" s="19">
        <f>IF(AL7="","",IF(StaticData.Today=TODAY(),_xll.BDP(AL7,"ASK"),_xll.BDH(AL7,"ASK",StaticData.Today,StaticData.Today)))</f>
        <v>-44</v>
      </c>
      <c r="AQ7" s="179">
        <f>IF(AL7="","",IF(StaticData.Today=TODAY(),_xll.BDP(AL7,"PX_LAST"),_xll.BDH(AL7,"PX_LAST",StaticData.Today,StaticData.Today)))</f>
        <v>-49</v>
      </c>
      <c r="AR7" s="180">
        <f>AQ7</f>
        <v>-49</v>
      </c>
      <c r="AT7" s="24" t="s">
        <v>1297</v>
      </c>
      <c r="AU7" s="15"/>
      <c r="AV7" s="18"/>
      <c r="AW7" s="196">
        <f>IF(AT7="","",IF(StaticData.Today=TODAY(),_xll.BDP(AT7,"BID"),_xll.BDH(AT7,"BID",StaticData.Today,StaticData.Today)))</f>
        <v>73.540000000000006</v>
      </c>
      <c r="AX7" s="196">
        <f>IF(AT7="","",IF(StaticData.Today=TODAY(),_xll.BDP(AT7,"ASK"),_xll.BDH(AT7,"ASK",StaticData.Today,StaticData.Today)))</f>
        <v>73.56</v>
      </c>
      <c r="AY7" s="197">
        <f>IF(AT7="","",IF(StaticData.Today=TODAY(),_xll.BDP(AT7,"PX_LAST"),_xll.BDH(AT7,"PX_LAST",StaticData.Today,StaticData.Today)))</f>
        <v>73.55</v>
      </c>
      <c r="AZ7" s="483">
        <f>AY7</f>
        <v>73.55</v>
      </c>
    </row>
    <row r="8" spans="1:54" x14ac:dyDescent="0.25">
      <c r="B8" s="21" t="str">
        <f>O3</f>
        <v>INR_3M</v>
      </c>
      <c r="C8" s="22">
        <f>COUNTA(O7:O48)</f>
        <v>18</v>
      </c>
      <c r="D8" s="22">
        <f>COUNT(T7:T48)</f>
        <v>18</v>
      </c>
      <c r="E8" s="23">
        <f t="shared" si="0"/>
        <v>0</v>
      </c>
      <c r="G8" s="24" t="str">
        <f>"IRSWOA"&amp;$G$1&amp;" Curncy"</f>
        <v>IRSWOA FMDR Curncy</v>
      </c>
      <c r="H8" s="25" t="s">
        <v>300</v>
      </c>
      <c r="I8" s="25"/>
      <c r="J8" s="182">
        <f>IF(G8="","",IF(StaticData.Today=TODAY(),_xll.BDP(G8,"BID"),_xll.BDH(G8,"BID",StaticData.Today,StaticData.Today)))</f>
        <v>3.8769999999999998</v>
      </c>
      <c r="K8" s="182">
        <f>IF(G8="","",IF(StaticData.Today=TODAY(),_xll.BDP(G8,"ASK"),_xll.BDH(G8,"ASK",StaticData.Today,StaticData.Today)))</f>
        <v>3.907</v>
      </c>
      <c r="L8" s="30">
        <f>IF(G8="","",IF(StaticData.Today=TODAY(),_xll.BDP(G8,"LAST_PRICE"),_xll.BDH(G8,"LAST_PRICE",StaticData.Today,StaticData.Today)))</f>
        <v>3.8919999999999999</v>
      </c>
      <c r="M8" s="183">
        <f t="shared" ref="M8:M10" si="2">L8/100</f>
        <v>3.8919999999999996E-2</v>
      </c>
      <c r="O8" s="24" t="s">
        <v>600</v>
      </c>
      <c r="P8" s="25" t="s">
        <v>300</v>
      </c>
      <c r="Q8" s="28"/>
      <c r="R8" s="29"/>
      <c r="S8" s="29"/>
      <c r="T8" s="30">
        <f>IF(O8="","",IF(StaticData.Today=TODAY(),_xll.BDP(O8,"LAST_PRICE"),_xll.BDH(O8,"LAST_PRICE",StaticData.Today,StaticData.Today)))</f>
        <v>0.72499999999999998</v>
      </c>
      <c r="U8" s="183">
        <f>T8/100</f>
        <v>7.2499999999999995E-3</v>
      </c>
      <c r="W8" s="24" t="str">
        <f t="shared" ref="W8:X10" si="3">O8</f>
        <v>SAIB1M Index</v>
      </c>
      <c r="X8" s="25" t="str">
        <f t="shared" si="3"/>
        <v>1M</v>
      </c>
      <c r="Y8" s="191">
        <f>T8</f>
        <v>0.72499999999999998</v>
      </c>
      <c r="Z8" s="27">
        <f>U8</f>
        <v>7.2499999999999995E-3</v>
      </c>
      <c r="AB8" s="14" t="str">
        <f>"SRBSVD"&amp;$AB$2&amp;" Curncy"</f>
        <v>SRBSVD GMGM Curncy</v>
      </c>
      <c r="AC8" s="15" t="s">
        <v>46</v>
      </c>
      <c r="AD8" s="16">
        <f>IF(AB8="","",IF(StaticData.Today=TODAY(),_xll.BDP(AB8,"MID"),_xll.BDH(AB8,"LAST_PRICE",StaticData.Today,StaticData.Today)))</f>
        <v>18</v>
      </c>
      <c r="AE8" s="17">
        <f t="shared" si="1"/>
        <v>1.8E-3</v>
      </c>
      <c r="AG8" s="24" t="str">
        <f>"SRSSUS0I"&amp;$AG$2&amp;" Curncy"</f>
        <v>SRSSUS0I GMGM Curncy</v>
      </c>
      <c r="AH8" s="25" t="s">
        <v>376</v>
      </c>
      <c r="AI8" s="26">
        <f>IF(AG8="","",IF(StaticData.Today=TODAY(),_xll.BDP(AG8,"LAST_PRICE"),_xll.BDH(AG8,"LAST_PRICE",StaticData.Today,StaticData.Today)))</f>
        <v>68</v>
      </c>
      <c r="AJ8" s="27"/>
      <c r="AL8" s="24" t="str">
        <f>"SRUSSW2"&amp;$AL$2&amp;" Curncy"</f>
        <v>SRUSSW2 GMGM Curncy</v>
      </c>
      <c r="AM8" s="25" t="s">
        <v>308</v>
      </c>
      <c r="AN8" s="28"/>
      <c r="AO8" s="29">
        <f>IF(AL8="","",IF(StaticData.Today=TODAY(),_xll.BDP(AL8,"BID"),_xll.BDH(AL8,"BID",StaticData.Today,StaticData.Today)))</f>
        <v>-65</v>
      </c>
      <c r="AP8" s="29">
        <f>IF(AL8="","",IF(StaticData.Today=TODAY(),_xll.BDP(AL8,"ASK"),_xll.BDH(AL8,"ASK",StaticData.Today,StaticData.Today)))</f>
        <v>-50</v>
      </c>
      <c r="AQ8" s="177">
        <f>IF(AL8="","",IF(StaticData.Today=TODAY(),_xll.BDP(AL8,"PX_LAST"),_xll.BDH(AL8,"PX_LAST",StaticData.Today,StaticData.Today)))</f>
        <v>-57.5</v>
      </c>
      <c r="AR8" s="181">
        <f>AQ8</f>
        <v>-57.5</v>
      </c>
      <c r="AT8" s="24"/>
      <c r="AU8" s="25"/>
      <c r="AV8" s="28"/>
      <c r="AW8" s="196"/>
      <c r="AX8" s="196"/>
      <c r="AY8" s="197"/>
      <c r="AZ8" s="180"/>
    </row>
    <row r="9" spans="1:54" x14ac:dyDescent="0.25">
      <c r="B9" s="21" t="s">
        <v>511</v>
      </c>
      <c r="C9" s="22">
        <f>COUNTA(O11:O18)*2</f>
        <v>16</v>
      </c>
      <c r="D9" s="22">
        <f>COUNT(R11:S18)</f>
        <v>14</v>
      </c>
      <c r="E9" s="23">
        <f t="shared" si="0"/>
        <v>2</v>
      </c>
      <c r="G9" s="24" t="str">
        <f>"IRSWOB"&amp;$G$1&amp;" Curncy"</f>
        <v>IRSWOB FMDR Curncy</v>
      </c>
      <c r="H9" s="25" t="s">
        <v>335</v>
      </c>
      <c r="I9" s="25"/>
      <c r="J9" s="182">
        <f>IF(G9="","",IF(StaticData.Today=TODAY(),_xll.BDP(G9,"BID"),_xll.BDH(G9,"BID",StaticData.Today,StaticData.Today)))</f>
        <v>3.9009999999999998</v>
      </c>
      <c r="K9" s="182">
        <f>IF(G9="","",IF(StaticData.Today=TODAY(),_xll.BDP(G9,"ASK"),_xll.BDH(G9,"ASK",StaticData.Today,StaticData.Today)))</f>
        <v>3.931</v>
      </c>
      <c r="L9" s="30">
        <f>IF(G9="","",IF(StaticData.Today=TODAY(),_xll.BDP(G9,"LAST_PRICE"),_xll.BDH(G9,"LAST_PRICE",StaticData.Today,StaticData.Today)))</f>
        <v>3.9159999999999999</v>
      </c>
      <c r="M9" s="183">
        <f t="shared" si="2"/>
        <v>3.916E-2</v>
      </c>
      <c r="O9" s="24" t="s">
        <v>601</v>
      </c>
      <c r="P9" s="25" t="s">
        <v>49</v>
      </c>
      <c r="Q9" s="28"/>
      <c r="R9" s="29"/>
      <c r="S9" s="29"/>
      <c r="T9" s="30">
        <f>IF(O9="","",IF(StaticData.Today=TODAY(),_xll.BDP(O9,"LAST_PRICE"),_xll.BDH(O9,"LAST_PRICE",StaticData.Today,StaticData.Today)))</f>
        <v>0.89</v>
      </c>
      <c r="U9" s="183">
        <f>T9/100</f>
        <v>8.8999999999999999E-3</v>
      </c>
      <c r="W9" s="24" t="str">
        <f t="shared" si="3"/>
        <v>SAIB3M Index</v>
      </c>
      <c r="X9" s="25" t="str">
        <f t="shared" si="3"/>
        <v>3M</v>
      </c>
      <c r="Y9" s="191">
        <f t="shared" ref="Y9:Z10" si="4">T9</f>
        <v>0.89</v>
      </c>
      <c r="Z9" s="27">
        <f t="shared" si="4"/>
        <v>8.8999999999999999E-3</v>
      </c>
      <c r="AB9" s="14" t="str">
        <f>"SRBSVE"&amp;$AB$2&amp;" Curncy"</f>
        <v>SRBSVE GMGM Curncy</v>
      </c>
      <c r="AC9" s="15" t="s">
        <v>376</v>
      </c>
      <c r="AD9" s="16">
        <f>IF(AB9="","",IF(StaticData.Today=TODAY(),_xll.BDP(AB9,"MID"),_xll.BDH(AB9,"MID",StaticData.Today,StaticData.Today)))</f>
        <v>16.5</v>
      </c>
      <c r="AE9" s="17">
        <f t="shared" si="1"/>
        <v>1.65E-3</v>
      </c>
      <c r="AG9" s="24" t="str">
        <f>"SRSSUS1"&amp;$AG$2&amp;" Curncy"</f>
        <v>SRSSUS1 GMGM Curncy</v>
      </c>
      <c r="AH9" s="25" t="s">
        <v>47</v>
      </c>
      <c r="AI9" s="26">
        <f>IF(AG9="","",IF(StaticData.Today=TODAY(),_xll.BDP(AG9,"LAST_PRICE"),_xll.BDH(AG9,"LAST_PRICE",StaticData.Today,StaticData.Today)))</f>
        <v>69</v>
      </c>
      <c r="AJ9" s="27"/>
      <c r="AL9" s="24" t="str">
        <f>"SRUSSW3"&amp;$AL$2&amp;" Curncy"</f>
        <v>SRUSSW3 GMGM Curncy</v>
      </c>
      <c r="AM9" s="25" t="s">
        <v>316</v>
      </c>
      <c r="AN9" s="28"/>
      <c r="AO9" s="29">
        <f>IF(AL9="","",IF(StaticData.Today=TODAY(),_xll.BDP(AL9,"BID"),_xll.BDH(AL9,"BID",StaticData.Today,StaticData.Today)))</f>
        <v>-73</v>
      </c>
      <c r="AP9" s="29">
        <f>IF(AL9="","",IF(StaticData.Today=TODAY(),_xll.BDP(AL9,"ASK"),_xll.BDH(AL9,"ASK",StaticData.Today,StaticData.Today)))</f>
        <v>-58</v>
      </c>
      <c r="AQ9" s="177">
        <f>IF(AL9="","",IF(StaticData.Today=TODAY(),_xll.BDP(AL9,"PX_LAST"),_xll.BDH(AL9,"PX_LAST",StaticData.Today,StaticData.Today)))</f>
        <v>-65.5</v>
      </c>
      <c r="AR9" s="181">
        <f>AQ9</f>
        <v>-65.5</v>
      </c>
      <c r="AT9" s="24" t="str">
        <f t="shared" ref="AT9:AT18" si="5">"IRN+"&amp;AU9&amp;$AT$1&amp;" Curncy"</f>
        <v>IRN+1W CMPN Curncy</v>
      </c>
      <c r="AU9" s="25" t="s">
        <v>305</v>
      </c>
      <c r="AV9" s="28"/>
      <c r="AW9" s="196">
        <f>IF(AT9="","",IF(StaticData.Today=TODAY(),_xll.BDP(AT9,"BID"),_xll.BDH(AT9,"BID",StaticData.Today,StaticData.Today)))</f>
        <v>73.59</v>
      </c>
      <c r="AX9" s="196">
        <f>IF(AT9="","",IF(StaticData.Today=TODAY(),_xll.BDP(AT9,"ASK"),_xll.BDH(AT9,"ASK",StaticData.Today,StaticData.Today)))</f>
        <v>73.61</v>
      </c>
      <c r="AY9" s="197">
        <f>IF(AT9="","",IF(StaticData.Today=TODAY(),_xll.BDP(AT9,"PX_LAST"),_xll.BDH(AT9,"PX_LAST",StaticData.Today,StaticData.Today)))</f>
        <v>73.61</v>
      </c>
      <c r="AZ9" s="504">
        <f>100*(AY9-$AZ$7)</f>
        <v>6.0000000000002274</v>
      </c>
      <c r="BB9" s="503">
        <f>AZ9-AZ7</f>
        <v>-67.54999999999977</v>
      </c>
    </row>
    <row r="10" spans="1:54" x14ac:dyDescent="0.25">
      <c r="B10" s="21" t="s">
        <v>283</v>
      </c>
      <c r="C10" s="22">
        <f>COUNTA(W7:W52)</f>
        <v>11</v>
      </c>
      <c r="D10" s="22">
        <f>COUNT(Y7:Y52)</f>
        <v>11</v>
      </c>
      <c r="E10" s="23">
        <f t="shared" si="0"/>
        <v>0</v>
      </c>
      <c r="G10" s="24" t="str">
        <f>"IRSWOC"&amp;$G$1&amp;" Curncy"</f>
        <v>IRSWOC FMDR Curncy</v>
      </c>
      <c r="H10" s="25" t="s">
        <v>49</v>
      </c>
      <c r="I10" s="25"/>
      <c r="J10" s="182">
        <f>IF(G10="","",IF(StaticData.Today=TODAY(),_xll.BDP(G10,"BID"),_xll.BDH(G10,"BID",StaticData.Today,StaticData.Today)))</f>
        <v>3.9079999999999999</v>
      </c>
      <c r="K10" s="182">
        <f>IF(G10="","",IF(StaticData.Today=TODAY(),_xll.BDP(G10,"ASK"),_xll.BDH(G10,"ASK",StaticData.Today,StaticData.Today)))</f>
        <v>3.9380000000000002</v>
      </c>
      <c r="L10" s="30">
        <f>IF(G10="","",IF(StaticData.Today=TODAY(),_xll.BDP(G10,"LAST_PRICE"),_xll.BDH(G10,"LAST_PRICE",StaticData.Today,StaticData.Today)))</f>
        <v>3.923</v>
      </c>
      <c r="M10" s="183">
        <f t="shared" si="2"/>
        <v>3.9230000000000001E-2</v>
      </c>
      <c r="O10" s="24" t="s">
        <v>602</v>
      </c>
      <c r="P10" s="25" t="s">
        <v>46</v>
      </c>
      <c r="Q10" s="28"/>
      <c r="R10" s="29"/>
      <c r="S10" s="29"/>
      <c r="T10" s="30">
        <f>IF(O10="","",IF(StaticData.Today=TODAY(),_xll.BDP(O10,"LAST_PRICE"),_xll.BDH(O10,"LAST_PRICE",StaticData.Today,StaticData.Today)))</f>
        <v>0.94</v>
      </c>
      <c r="U10" s="183">
        <f>T10/100</f>
        <v>9.3999999999999986E-3</v>
      </c>
      <c r="W10" s="24" t="str">
        <f t="shared" si="3"/>
        <v>SAIB6M Index</v>
      </c>
      <c r="X10" s="25" t="str">
        <f t="shared" si="3"/>
        <v>6M</v>
      </c>
      <c r="Y10" s="191">
        <f t="shared" si="4"/>
        <v>0.94</v>
      </c>
      <c r="Z10" s="27">
        <f t="shared" si="4"/>
        <v>9.3999999999999986E-3</v>
      </c>
      <c r="AB10" s="14" t="str">
        <f>"SRBSV1"&amp;$AB$2&amp;" Curncy"</f>
        <v>SRBSV1 GMGM Curncy</v>
      </c>
      <c r="AC10" s="15" t="s">
        <v>47</v>
      </c>
      <c r="AD10" s="16">
        <f>IF(AB10="","",IF(StaticData.Today=TODAY(),_xll.BDP(AB10,"MID"),_xll.BDH(AB10,"MID",StaticData.Today,StaticData.Today)))</f>
        <v>15.5</v>
      </c>
      <c r="AE10" s="17">
        <f>AD10/10000</f>
        <v>1.5499999999999999E-3</v>
      </c>
      <c r="AG10" s="24" t="str">
        <f>"SRSSUS2"&amp;$AG$2&amp;" Curncy"</f>
        <v>SRSSUS2 GMGM Curncy</v>
      </c>
      <c r="AH10" s="25" t="s">
        <v>308</v>
      </c>
      <c r="AI10" s="26">
        <f>IF(AG10="","",IF(StaticData.Today=TODAY(),_xll.BDP(AG10,"LAST_PRICE"),_xll.BDH(AG10,"LAST_PRICE",StaticData.Today,StaticData.Today)))</f>
        <v>86</v>
      </c>
      <c r="AJ10" s="27"/>
      <c r="AL10" s="24" t="str">
        <f>"SRUSSW4"&amp;$AL$2&amp;" Curncy"</f>
        <v>SRUSSW4 GMGM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-83</v>
      </c>
      <c r="AP10" s="29">
        <f>IF(AL10="","",IF(StaticData.Today=TODAY(),_xll.BDP(AL10,"ASK"),_xll.BDH(AL10,"ASK",StaticData.Today,StaticData.Today)))</f>
        <v>-68</v>
      </c>
      <c r="AQ10" s="177">
        <f>IF(AL10="","",IF(StaticData.Today=TODAY(),_xll.BDP(AL10,"PX_LAST"),_xll.BDH(AL10,"PX_LAST",StaticData.Today,StaticData.Today)))</f>
        <v>-75.5</v>
      </c>
      <c r="AR10" s="181">
        <f>AQ10</f>
        <v>-75.5</v>
      </c>
      <c r="AT10" s="24" t="str">
        <f t="shared" si="5"/>
        <v>IRN+1M CMPN Curncy</v>
      </c>
      <c r="AU10" s="25" t="s">
        <v>300</v>
      </c>
      <c r="AV10" s="28"/>
      <c r="AW10" s="196">
        <f>IF(AT10="","",IF(StaticData.Today=TODAY(),_xll.BDP(AT10,"BID"),_xll.BDH(AT10,"BID",StaticData.Today,StaticData.Today)))</f>
        <v>73.790000000000006</v>
      </c>
      <c r="AX10" s="196">
        <f>IF(AT10="","",IF(StaticData.Today=TODAY(),_xll.BDP(AT10,"ASK"),_xll.BDH(AT10,"ASK",StaticData.Today,StaticData.Today)))</f>
        <v>73.81</v>
      </c>
      <c r="AY10" s="196">
        <f>IF(AT10="","",IF(StaticData.Today=TODAY(),_xll.BDP(AT10,"PX_LAST"),_xll.BDH(AT10,"PX_LAST",StaticData.Today,StaticData.Today)))</f>
        <v>73.819999999999993</v>
      </c>
      <c r="AZ10" s="504">
        <f t="shared" ref="AZ10:AZ18" si="6">100*(AY10-$AZ$7)</f>
        <v>26.999999999999602</v>
      </c>
    </row>
    <row r="11" spans="1:54" x14ac:dyDescent="0.25">
      <c r="B11" s="21" t="s">
        <v>284</v>
      </c>
      <c r="C11" s="22">
        <f>COUNTA(AB10:AB51)</f>
        <v>7</v>
      </c>
      <c r="D11" s="22">
        <f>COUNT(AD10:AD51)</f>
        <v>7</v>
      </c>
      <c r="E11" s="23">
        <f t="shared" si="0"/>
        <v>0</v>
      </c>
      <c r="G11" s="24" t="str">
        <f>"IRSWOF"&amp;$G$1&amp;" Curncy"</f>
        <v>IRSWOF FMDR Curncy</v>
      </c>
      <c r="H11" s="25" t="s">
        <v>46</v>
      </c>
      <c r="I11" s="25"/>
      <c r="J11" s="182">
        <f>IF(G11="","",IF(StaticData.Today=TODAY(),_xll.BDP(G11,"BID"),_xll.BDH(G11,"BID",StaticData.Today,StaticData.Today)))</f>
        <v>3.9409999999999998</v>
      </c>
      <c r="K11" s="182">
        <f>IF(G11="","",IF(StaticData.Today=TODAY(),_xll.BDP(G11,"ASK"),_xll.BDH(G11,"ASK",StaticData.Today,StaticData.Today)))</f>
        <v>3.9710000000000001</v>
      </c>
      <c r="L11" s="30">
        <f>IF(G11="","",IF(StaticData.Today=TODAY(),_xll.BDP(G11,"LAST_PRICE"),_xll.BDH(G11,"LAST_PRICE",StaticData.Today,StaticData.Today)))</f>
        <v>3.956</v>
      </c>
      <c r="M11" s="183">
        <f t="shared" ref="M11:M19" si="7">L11/100</f>
        <v>3.9559999999999998E-2</v>
      </c>
      <c r="O11" s="24" t="s">
        <v>603</v>
      </c>
      <c r="P11" s="25" t="s">
        <v>322</v>
      </c>
      <c r="Q11" s="31"/>
      <c r="R11" s="182"/>
      <c r="S11" s="182"/>
      <c r="T11" s="30">
        <f>IF(O11="","",IF(StaticData.Today=TODAY(),_xll.BDP(O11,"LAST_PRICE"),_xll.BDH(O11,"LAST_PRICE",StaticData.Today,StaticData.Today)))</f>
        <v>0.99375000000000002</v>
      </c>
      <c r="U11" s="183">
        <f>T11/100</f>
        <v>9.9375000000000002E-3</v>
      </c>
      <c r="W11" s="24" t="str">
        <f>"SRBS1"&amp;$W$2&amp;" Curncy"</f>
        <v>SRBS1 GFID Curncy</v>
      </c>
      <c r="X11" s="25" t="s">
        <v>47</v>
      </c>
      <c r="Y11" s="191">
        <f>IF(W11="","",IF(StaticData.Today=TODAY(),_xll.BDP(W11,"LAST_PRICE"),_xll.BDH(W11,"LAST_PRICE",StaticData.Today,StaticData.Today)))</f>
        <v>11</v>
      </c>
      <c r="Z11" s="27">
        <f>Y11/10000</f>
        <v>1.1000000000000001E-3</v>
      </c>
      <c r="AB11" s="24" t="str">
        <f>"SRBSV2"&amp;$AB$2&amp;" Curncy"</f>
        <v>SRBSV2 GMGM Curncy</v>
      </c>
      <c r="AC11" s="25" t="s">
        <v>308</v>
      </c>
      <c r="AD11" s="26">
        <f>IF(AB11="","",IF(StaticData.Today=TODAY(),_xll.BDP(AB11,"MID"),_xll.BDH(AB11,"MID",StaticData.Today,StaticData.Today)))</f>
        <v>13.5</v>
      </c>
      <c r="AE11" s="27">
        <f>AD11/10000</f>
        <v>1.3500000000000001E-3</v>
      </c>
      <c r="AG11" s="24" t="str">
        <f>"SRSSUS3"&amp;$AG$2&amp;" Curncy"</f>
        <v>SRSSUS3 GMGM Curncy</v>
      </c>
      <c r="AH11" s="25" t="s">
        <v>316</v>
      </c>
      <c r="AI11" s="26">
        <f>IF(AG11="","",IF(StaticData.Today=TODAY(),_xll.BDP(AG11,"LAST_PRICE"),_xll.BDH(AG11,"LAST_PRICE",StaticData.Today,StaticData.Today)))</f>
        <v>104</v>
      </c>
      <c r="AJ11" s="27"/>
      <c r="AL11" s="24" t="str">
        <f>"SRUSSW5"&amp;$AL$2&amp;" Curncy"</f>
        <v>SRUSSW5 GMGM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-93</v>
      </c>
      <c r="AP11" s="29">
        <f>IF(AL11="","",IF(StaticData.Today=TODAY(),_xll.BDP(AL11,"ASK"),_xll.BDH(AL11,"ASK",StaticData.Today,StaticData.Today)))</f>
        <v>-78</v>
      </c>
      <c r="AQ11" s="177">
        <f>IF(AL11="","",IF(StaticData.Today=TODAY(),_xll.BDP(AL11,"LAST_PRICE"),_xll.BDH(AL11,"LAST_PRICE",StaticData.Today,StaticData.Today)))</f>
        <v>-85.5</v>
      </c>
      <c r="AR11" s="181">
        <f>AQ11</f>
        <v>-85.5</v>
      </c>
      <c r="AT11" s="24" t="str">
        <f t="shared" si="5"/>
        <v>IRN+2M CMPN Curncy</v>
      </c>
      <c r="AU11" s="25" t="s">
        <v>335</v>
      </c>
      <c r="AV11" s="28"/>
      <c r="AW11" s="196">
        <f>IF(AT11="","",IF(StaticData.Today=TODAY(),_xll.BDP(AT11,"BID"),_xll.BDH(AT11,"BID",StaticData.Today,StaticData.Today)))</f>
        <v>74.03</v>
      </c>
      <c r="AX11" s="196">
        <f>IF(AT11="","",IF(StaticData.Today=TODAY(),_xll.BDP(AT11,"ASK"),_xll.BDH(AT11,"ASK",StaticData.Today,StaticData.Today)))</f>
        <v>74.06</v>
      </c>
      <c r="AY11" s="196">
        <f>IF(AT11="","",IF(StaticData.Today=TODAY(),_xll.BDP(AT11,"PX_LAST"),_xll.BDH(AT11,"PX_LAST",StaticData.Today,StaticData.Today)))</f>
        <v>74.06</v>
      </c>
      <c r="AZ11" s="504">
        <f t="shared" si="6"/>
        <v>51.000000000000512</v>
      </c>
    </row>
    <row r="12" spans="1:54" x14ac:dyDescent="0.25">
      <c r="B12" s="21" t="s">
        <v>285</v>
      </c>
      <c r="C12" s="22">
        <f>COUNTA(AG7:AG48)</f>
        <v>9</v>
      </c>
      <c r="D12" s="22">
        <f>COUNT(AI7:AI48)</f>
        <v>9</v>
      </c>
      <c r="E12" s="23">
        <f t="shared" si="0"/>
        <v>0</v>
      </c>
      <c r="G12" s="24" t="str">
        <f>"IRSWOI"&amp;$G$1&amp;" Curncy"</f>
        <v>IRSWOI FMDR Curncy</v>
      </c>
      <c r="H12" s="25" t="s">
        <v>376</v>
      </c>
      <c r="I12" s="25"/>
      <c r="J12" s="182">
        <f>IF(G12="","",IF(StaticData.Today=TODAY(),_xll.BDP(G12,"BID"),_xll.BDH(G12,"BID",StaticData.Today,StaticData.Today)))</f>
        <v>3.9830000000000001</v>
      </c>
      <c r="K12" s="182">
        <f>IF(G12="","",IF(StaticData.Today=TODAY(),_xll.BDP(G12,"ASK"),_xll.BDH(G12,"ASK",StaticData.Today,StaticData.Today)))</f>
        <v>4.0129999999999999</v>
      </c>
      <c r="L12" s="30">
        <f>IF(G12="","",IF(StaticData.Today=TODAY(),_xll.BDP(G12,"LAST_PRICE"),_xll.BDH(G12,"LAST_PRICE",StaticData.Today,StaticData.Today)))</f>
        <v>3.9980000000000002</v>
      </c>
      <c r="M12" s="183">
        <f t="shared" si="7"/>
        <v>3.9980000000000002E-2</v>
      </c>
      <c r="O12" s="24" t="str">
        <f>"SRFR0AD"&amp;$O$1&amp;" Curncy"</f>
        <v>SRFR0AD GMGM Curncy</v>
      </c>
      <c r="P12" s="25" t="s">
        <v>565</v>
      </c>
      <c r="Q12" s="31" t="s">
        <v>494</v>
      </c>
      <c r="R12" s="182">
        <f>IF(O12="","",IF(StaticData.Today=TODAY(),_xll.BDP(O12,"BID"),_xll.BDH(O12,"BID",StaticData.Today,StaticData.Today)))</f>
        <v>0.87</v>
      </c>
      <c r="S12" s="182">
        <f>IF(O12="","",IF(StaticData.Today=TODAY(),_xll.BDP(O12,"ASK"),_xll.BDH(O12,"ASK",StaticData.Today,StaticData.Today)))</f>
        <v>0.95</v>
      </c>
      <c r="T12" s="30">
        <f>IF(O12="","",IF(StaticData.Today=TODAY(),_xll.BDP(O12,"LAST_PRICE"),_xll.BDH(O12,"LAST_PRICE",StaticData.Today,StaticData.Today)))</f>
        <v>0.91</v>
      </c>
      <c r="U12" s="183">
        <f t="shared" ref="U12:U24" si="8">T12/100</f>
        <v>9.1000000000000004E-3</v>
      </c>
      <c r="W12" s="24" t="str">
        <f>"SRBS2"&amp;$W$2&amp;" Curncy"</f>
        <v>SRBS2 GFID Curncy</v>
      </c>
      <c r="X12" s="25" t="s">
        <v>308</v>
      </c>
      <c r="Y12" s="191">
        <f>IF(W12="","",IF(StaticData.Today=TODAY(),_xll.BDP(W12,"LAST_PRICE"),_xll.BDH(W12,"LAST_PRICE",StaticData.Today,StaticData.Today)))</f>
        <v>12</v>
      </c>
      <c r="Z12" s="27">
        <f>Y12/10000</f>
        <v>1.1999999999999999E-3</v>
      </c>
      <c r="AB12" s="24" t="str">
        <f>"SRBSV3"&amp;$AB$2&amp;" Curncy"</f>
        <v>SRBSV3 GMGM Curncy</v>
      </c>
      <c r="AC12" s="25" t="s">
        <v>316</v>
      </c>
      <c r="AD12" s="26">
        <f>IF(AB12="","",IF(StaticData.Today=TODAY(),_xll.BDP(AB12,"MID"),_xll.BDH(AB12,"MID",StaticData.Today,StaticData.Today)))</f>
        <v>12.5</v>
      </c>
      <c r="AE12" s="27">
        <f t="shared" ref="AE12:AE16" si="9">AD12/10000</f>
        <v>1.25E-3</v>
      </c>
      <c r="AG12" s="24" t="str">
        <f>"SRSSUS4"&amp;$AG$2&amp;" Curncy"</f>
        <v>SRSSUS4 GMGM Curncy</v>
      </c>
      <c r="AH12" s="25" t="s">
        <v>324</v>
      </c>
      <c r="AI12" s="26">
        <f>IF(AG12="","",IF(StaticData.Today=TODAY(),_xll.BDP(AG12,"LAST_PRICE"),_xll.BDH(AG12,"LAST_PRICE",StaticData.Today,StaticData.Today)))</f>
        <v>119</v>
      </c>
      <c r="AJ12" s="27"/>
      <c r="AL12" s="24" t="str">
        <f>"SRUSSW7"&amp;$AL$2&amp;" Curncy"</f>
        <v>SRUSSW7 GMGM Curncy</v>
      </c>
      <c r="AM12" s="25" t="s">
        <v>342</v>
      </c>
      <c r="AN12" s="31"/>
      <c r="AO12" s="29">
        <f>IF(AL12="","",IF(StaticData.Today=TODAY(),_xll.BDP(AL12,"BID"),_xll.BDH(AL12,"BID",StaticData.Today,StaticData.Today)))</f>
        <v>-114</v>
      </c>
      <c r="AP12" s="29">
        <f>IF(AL12="","",IF(StaticData.Today=TODAY(),_xll.BDP(AL12,"ASK"),_xll.BDH(AL12,"ASK",StaticData.Today,StaticData.Today)))</f>
        <v>-94</v>
      </c>
      <c r="AQ12" s="177">
        <f>IF(AL12="","",IF(StaticData.Today=TODAY(),_xll.BDP(AL12,"LAST_PRICE"),_xll.BDH(AL12,"LAST_PRICE",StaticData.Today,StaticData.Today)))</f>
        <v>-104</v>
      </c>
      <c r="AR12" s="181">
        <f t="shared" ref="AR12:AR13" si="10">AQ12</f>
        <v>-104</v>
      </c>
      <c r="AT12" s="24" t="str">
        <f t="shared" si="5"/>
        <v>IRN+3M CMPN Curncy</v>
      </c>
      <c r="AU12" s="25" t="s">
        <v>49</v>
      </c>
      <c r="AV12" s="28"/>
      <c r="AW12" s="196">
        <f>IF(AT12="","",IF(StaticData.Today=TODAY(),_xll.BDP(AT12,"BID"),_xll.BDH(AT12,"BID",StaticData.Today,StaticData.Today)))</f>
        <v>74.25</v>
      </c>
      <c r="AX12" s="196">
        <f>IF(AT12="","",IF(StaticData.Today=TODAY(),_xll.BDP(AT12,"ASK"),_xll.BDH(AT12,"ASK",StaticData.Today,StaticData.Today)))</f>
        <v>74.28</v>
      </c>
      <c r="AY12" s="196">
        <f>IF(AT12="","",IF(StaticData.Today=TODAY(),_xll.BDP(AT12,"PX_LAST"),_xll.BDH(AT12,"PX_LAST",StaticData.Today,StaticData.Today)))</f>
        <v>74.28</v>
      </c>
      <c r="AZ12" s="504">
        <f t="shared" si="6"/>
        <v>73.000000000000398</v>
      </c>
    </row>
    <row r="13" spans="1:54" x14ac:dyDescent="0.25">
      <c r="B13" s="21"/>
      <c r="C13" s="22"/>
      <c r="D13" s="22"/>
      <c r="E13" s="22"/>
      <c r="G13" s="24" t="str">
        <f>"IRSWO1"&amp;$G$1&amp;" Curncy"</f>
        <v>IRSWO1 FMDR Curncy</v>
      </c>
      <c r="H13" s="25" t="s">
        <v>47</v>
      </c>
      <c r="I13" s="25"/>
      <c r="J13" s="182">
        <f>IF(G13="","",IF(StaticData.Today=TODAY(),_xll.BDP(G13,"BID"),_xll.BDH(G13,"BID",StaticData.Today,StaticData.Today)))</f>
        <v>3.9620000000000002</v>
      </c>
      <c r="K13" s="182">
        <f>IF(G13="","",IF(StaticData.Today=TODAY(),_xll.BDP(G13,"ASK"),_xll.BDH(G13,"ASK",StaticData.Today,StaticData.Today)))</f>
        <v>3.992</v>
      </c>
      <c r="L13" s="30">
        <f>IF(G13="","",IF(StaticData.Today=TODAY(),_xll.BDP(G13,"LAST_PRICE"),_xll.BDH(G13,"LAST_PRICE",StaticData.Today,StaticData.Today)))</f>
        <v>3.9769999999999999</v>
      </c>
      <c r="M13" s="183">
        <f t="shared" si="7"/>
        <v>3.977E-2</v>
      </c>
      <c r="O13" s="24" t="str">
        <f>"SRFR0BE"&amp;$O$1&amp;" Curncy"</f>
        <v>SRFR0BE GMGM Curncy</v>
      </c>
      <c r="P13" s="25" t="s">
        <v>566</v>
      </c>
      <c r="Q13" s="31" t="s">
        <v>495</v>
      </c>
      <c r="R13" s="182">
        <f>IF(O13="","",IF(StaticData.Today=TODAY(),_xll.BDP(O13,"BID"),_xll.BDH(O13,"BID",StaticData.Today,StaticData.Today)))</f>
        <v>0.89</v>
      </c>
      <c r="S13" s="182">
        <f>IF(O13="","",IF(StaticData.Today=TODAY(),_xll.BDP(O13,"ASK"),_xll.BDH(O13,"ASK",StaticData.Today,StaticData.Today)))</f>
        <v>0.97</v>
      </c>
      <c r="T13" s="30">
        <f>IF(O13="","",IF(StaticData.Today=TODAY(),_xll.BDP(O13,"LAST_PRICE"),_xll.BDH(O13,"LAST_PRICE",StaticData.Today,StaticData.Today)))</f>
        <v>0.93</v>
      </c>
      <c r="U13" s="183">
        <f t="shared" si="8"/>
        <v>9.300000000000001E-3</v>
      </c>
      <c r="W13" s="24" t="str">
        <f>"SRBS3"&amp;$W$2&amp;" Curncy"</f>
        <v>SRBS3 GFID Curncy</v>
      </c>
      <c r="X13" s="25" t="s">
        <v>316</v>
      </c>
      <c r="Y13" s="191">
        <f>IF(W13="","",IF(StaticData.Today=TODAY(),_xll.BDP(W13,"LAST_PRICE"),_xll.BDH(W13,"LAST_PRICE",StaticData.Today,StaticData.Today)))</f>
        <v>13</v>
      </c>
      <c r="Z13" s="27">
        <f t="shared" ref="Z13:Z17" si="11">Y13/10000</f>
        <v>1.2999999999999999E-3</v>
      </c>
      <c r="AB13" s="24" t="str">
        <f>"SRBSV4"&amp;$AB$2&amp;" Curncy"</f>
        <v>SRBSV4 GMGM Curncy</v>
      </c>
      <c r="AC13" s="25" t="s">
        <v>324</v>
      </c>
      <c r="AD13" s="26">
        <f>IF(AB13="","",IF(StaticData.Today=TODAY(),_xll.BDP(AB13,"MID"),_xll.BDH(AB13,"MID",StaticData.Today,StaticData.Today)))</f>
        <v>12.5</v>
      </c>
      <c r="AE13" s="27">
        <f t="shared" si="9"/>
        <v>1.25E-3</v>
      </c>
      <c r="AG13" s="24" t="str">
        <f>"SRSSUS5"&amp;$AG$2&amp;" Curncy"</f>
        <v>SRSSUS5 GMGM Curncy</v>
      </c>
      <c r="AH13" s="25" t="s">
        <v>331</v>
      </c>
      <c r="AI13" s="26">
        <f>IF(AG13="","",IF(StaticData.Today=TODAY(),_xll.BDP(AG13,"LAST_PRICE"),_xll.BDH(AG13,"LAST_PRICE",StaticData.Today,StaticData.Today)))</f>
        <v>133</v>
      </c>
      <c r="AJ13" s="27"/>
      <c r="AL13" s="24" t="str">
        <f>"SRUSSW10"&amp;$AL$2&amp;" Curncy"</f>
        <v>SRUSSW10 GMGM Curncy</v>
      </c>
      <c r="AM13" s="25" t="s">
        <v>349</v>
      </c>
      <c r="AN13" s="31"/>
      <c r="AO13" s="29">
        <f>IF(AL13="","",IF(StaticData.Today=TODAY(),_xll.BDP(AL13,"BID"),_xll.BDH(AL13,"BID",StaticData.Today,StaticData.Today)))</f>
        <v>-139</v>
      </c>
      <c r="AP13" s="29">
        <f>IF(AL13="","",IF(StaticData.Today=TODAY(),_xll.BDP(AL13,"ASK"),_xll.BDH(AL13,"ASK",StaticData.Today,StaticData.Today)))</f>
        <v>-119</v>
      </c>
      <c r="AQ13" s="177">
        <f>IF(AL13="","",IF(StaticData.Today=TODAY(),_xll.BDP(AL13,"LAST_PRICE"),_xll.BDH(AL13,"LAST_PRICE",StaticData.Today,StaticData.Today)))</f>
        <v>-129</v>
      </c>
      <c r="AR13" s="181">
        <f t="shared" si="10"/>
        <v>-129</v>
      </c>
      <c r="AT13" s="24" t="str">
        <f t="shared" si="5"/>
        <v>IRN+6M CMPN Curncy</v>
      </c>
      <c r="AU13" s="25" t="s">
        <v>46</v>
      </c>
      <c r="AV13" s="31"/>
      <c r="AW13" s="196">
        <f>IF(AT13="","",IF(StaticData.Today=TODAY(),_xll.BDP(AT13,"BID"),_xll.BDH(AT13,"BID",StaticData.Today,StaticData.Today)))</f>
        <v>75</v>
      </c>
      <c r="AX13" s="196">
        <f>IF(AT13="","",IF(StaticData.Today=TODAY(),_xll.BDP(AT13,"ASK"),_xll.BDH(AT13,"ASK",StaticData.Today,StaticData.Today)))</f>
        <v>75.03</v>
      </c>
      <c r="AY13" s="196">
        <f>IF(AT13="","",IF(StaticData.Today=TODAY(),_xll.BDP(AT13,"LAST_PRICE"),_xll.BDH(AT13,"LAST_PRICE",StaticData.Today,StaticData.Today)))</f>
        <v>75.02</v>
      </c>
      <c r="AZ13" s="504">
        <f t="shared" si="6"/>
        <v>146.99999999999989</v>
      </c>
    </row>
    <row r="14" spans="1:54" x14ac:dyDescent="0.25">
      <c r="B14" s="21"/>
      <c r="C14" s="22"/>
      <c r="D14" s="22"/>
      <c r="E14" s="22"/>
      <c r="G14" s="24" t="str">
        <f>"IRSWO2"&amp;$G$1&amp;" Curncy"</f>
        <v>IRSWO2 FMDR Curncy</v>
      </c>
      <c r="H14" s="25" t="s">
        <v>308</v>
      </c>
      <c r="I14" s="25"/>
      <c r="J14" s="182">
        <f>IF(G14="","",IF(StaticData.Today=TODAY(),_xll.BDP(G14,"BID"),_xll.BDH(G14,"BID",StaticData.Today,StaticData.Today)))</f>
        <v>4.1020000000000003</v>
      </c>
      <c r="K14" s="182">
        <f>IF(G14="","",IF(StaticData.Today=TODAY(),_xll.BDP(G14,"ASK"),_xll.BDH(G14,"ASK",StaticData.Today,StaticData.Today)))</f>
        <v>4.1319999999999997</v>
      </c>
      <c r="L14" s="30">
        <f>IF(G14="","",IF(StaticData.Today=TODAY(),_xll.BDP(G14,"LAST_PRICE"),_xll.BDH(G14,"LAST_PRICE",StaticData.Today,StaticData.Today)))</f>
        <v>4.117</v>
      </c>
      <c r="M14" s="183">
        <f t="shared" si="7"/>
        <v>4.1169999999999998E-2</v>
      </c>
      <c r="O14" s="24" t="str">
        <f>"SRFR0CF"&amp;$O$1&amp;" Curncy"</f>
        <v>SRFR0CF GMGM Curncy</v>
      </c>
      <c r="P14" s="25" t="s">
        <v>596</v>
      </c>
      <c r="Q14" s="31" t="s">
        <v>496</v>
      </c>
      <c r="R14" s="182">
        <f>IF(O14="","",IF(StaticData.Today=TODAY(),_xll.BDP(O14,"BID"),_xll.BDH(O14,"BID",StaticData.Today,StaticData.Today)))</f>
        <v>0.94</v>
      </c>
      <c r="S14" s="182">
        <f>IF(O14="","",IF(StaticData.Today=TODAY(),_xll.BDP(O14,"ASK"),_xll.BDH(O14,"ASK",StaticData.Today,StaticData.Today)))</f>
        <v>1.02</v>
      </c>
      <c r="T14" s="30">
        <f>IF(O14="","",IF(StaticData.Today=TODAY(),_xll.BDP(O14,"LAST_PRICE"),_xll.BDH(O14,"LAST_PRICE",StaticData.Today,StaticData.Today)))</f>
        <v>0.98</v>
      </c>
      <c r="U14" s="183">
        <f t="shared" si="8"/>
        <v>9.7999999999999997E-3</v>
      </c>
      <c r="W14" s="24" t="str">
        <f>"SRBS4"&amp;$W$2&amp;" Curncy"</f>
        <v>SRBS4 GFID Curncy</v>
      </c>
      <c r="X14" s="25" t="s">
        <v>324</v>
      </c>
      <c r="Y14" s="191">
        <f>IF(W14="","",IF(StaticData.Today=TODAY(),_xll.BDP(W14,"LAST_PRICE"),_xll.BDH(W14,"LAST_PRICE",StaticData.Today,StaticData.Today)))</f>
        <v>14</v>
      </c>
      <c r="Z14" s="27">
        <f t="shared" si="11"/>
        <v>1.4E-3</v>
      </c>
      <c r="AB14" s="24" t="str">
        <f>"SRBSV5"&amp;$AB$2&amp;" Curncy"</f>
        <v>SRBSV5 GMGM Curncy</v>
      </c>
      <c r="AC14" s="25" t="s">
        <v>331</v>
      </c>
      <c r="AD14" s="26">
        <f>IF(AB14="","",IF(StaticData.Today=TODAY(),_xll.BDP(AB14,"MID"),_xll.BDH(AB14,"MID",StaticData.Today,StaticData.Today)))</f>
        <v>12</v>
      </c>
      <c r="AE14" s="27">
        <f t="shared" si="9"/>
        <v>1.1999999999999999E-3</v>
      </c>
      <c r="AG14" s="24" t="str">
        <f>"SRSSUS7"&amp;$AG$2&amp;" Curncy"</f>
        <v>SRSSUS7 GMGM Curncy</v>
      </c>
      <c r="AH14" s="25" t="s">
        <v>342</v>
      </c>
      <c r="AI14" s="26">
        <f>IF(AG14="","",IF(StaticData.Today=TODAY(),_xll.BDP(AG14,"LAST_PRICE"),_xll.BDH(AG14,"LAST_PRICE",StaticData.Today,StaticData.Today)))</f>
        <v>154</v>
      </c>
      <c r="AJ14" s="27"/>
      <c r="AL14" s="344" t="s">
        <v>942</v>
      </c>
      <c r="AM14" s="345"/>
      <c r="AN14" s="428"/>
      <c r="AO14" s="429"/>
      <c r="AP14" s="429"/>
      <c r="AQ14" s="430">
        <f>2*(AQ12-AQ13)/3</f>
        <v>16.666666666666668</v>
      </c>
      <c r="AR14" s="431">
        <f>AR13-AQ14</f>
        <v>-145.66666666666666</v>
      </c>
      <c r="AS14" s="2"/>
      <c r="AT14" s="24" t="str">
        <f t="shared" si="5"/>
        <v>IRN+9M CMPN Curncy</v>
      </c>
      <c r="AU14" s="25" t="s">
        <v>376</v>
      </c>
      <c r="AV14" s="31"/>
      <c r="AW14" s="196">
        <f>IF(AT14="","",IF(StaticData.Today=TODAY(),_xll.BDP(AT14,"BID"),_xll.BDH(AT14,"BID",StaticData.Today,StaticData.Today)))</f>
        <v>75.819999999999993</v>
      </c>
      <c r="AX14" s="196">
        <f>IF(AT14="","",IF(StaticData.Today=TODAY(),_xll.BDP(AT14,"ASK"),_xll.BDH(AT14,"ASK",StaticData.Today,StaticData.Today)))</f>
        <v>75.89</v>
      </c>
      <c r="AY14" s="196">
        <f>IF(AT14="","",IF(StaticData.Today=TODAY(),_xll.BDP(AT14,"LAST_PRICE"),_xll.BDH(AT14,"LAST_PRICE",StaticData.Today,StaticData.Today)))</f>
        <v>75.86</v>
      </c>
      <c r="AZ14" s="504">
        <f t="shared" si="6"/>
        <v>231.00000000000023</v>
      </c>
    </row>
    <row r="15" spans="1:54" x14ac:dyDescent="0.25">
      <c r="B15" s="21"/>
      <c r="C15" s="22"/>
      <c r="D15" s="22"/>
      <c r="E15" s="22"/>
      <c r="G15" s="24" t="str">
        <f>"IRSWO3"&amp;$G$1&amp;" Curncy"</f>
        <v>IRSWO3 FMDR Curncy</v>
      </c>
      <c r="H15" s="25" t="s">
        <v>316</v>
      </c>
      <c r="I15" s="25"/>
      <c r="J15" s="182">
        <f>IF(G15="","",IF(StaticData.Today=TODAY(),_xll.BDP(G15,"BID"),_xll.BDH(G15,"BID",StaticData.Today,StaticData.Today)))</f>
        <v>4.2850000000000001</v>
      </c>
      <c r="K15" s="182">
        <f>IF(G15="","",IF(StaticData.Today=TODAY(),_xll.BDP(G15,"ASK"),_xll.BDH(G15,"ASK",StaticData.Today,StaticData.Today)))</f>
        <v>4.3150000000000004</v>
      </c>
      <c r="L15" s="30">
        <f>IF(G15="","",IF(StaticData.Today=TODAY(),_xll.BDP(G15,"LAST_PRICE"),_xll.BDH(G15,"LAST_PRICE",StaticData.Today,StaticData.Today)))</f>
        <v>4.3</v>
      </c>
      <c r="M15" s="183">
        <f t="shared" si="7"/>
        <v>4.2999999999999997E-2</v>
      </c>
      <c r="O15" s="24" t="str">
        <f>"SRFR0FI"&amp;$O$1&amp;" Curncy"</f>
        <v>SRFR0FI GMGM Curncy</v>
      </c>
      <c r="P15" s="25" t="s">
        <v>595</v>
      </c>
      <c r="Q15" s="31" t="s">
        <v>497</v>
      </c>
      <c r="R15" s="182">
        <f>IF(O15="","",IF(StaticData.Today=TODAY(),_xll.BDP(O15,"BID"),_xll.BDH(O15,"BID",StaticData.Today,StaticData.Today)))</f>
        <v>0.88</v>
      </c>
      <c r="S15" s="182">
        <f>IF(O15="","",IF(StaticData.Today=TODAY(),_xll.BDP(O15,"ASK"),_xll.BDH(O15,"ASK",StaticData.Today,StaticData.Today)))</f>
        <v>0.96</v>
      </c>
      <c r="T15" s="30">
        <f>IF(O15="","",IF(StaticData.Today=TODAY(),_xll.BDP(O15,"LAST_PRICE"),_xll.BDH(O15,"LAST_PRICE",StaticData.Today,StaticData.Today)))</f>
        <v>0.92</v>
      </c>
      <c r="U15" s="183">
        <f t="shared" si="8"/>
        <v>9.1999999999999998E-3</v>
      </c>
      <c r="W15" s="24" t="str">
        <f>"SRBS5"&amp;$W$2&amp;" Curncy"</f>
        <v>SRBS5 GFID Curncy</v>
      </c>
      <c r="X15" s="25" t="s">
        <v>331</v>
      </c>
      <c r="Y15" s="191">
        <f>IF(W15="","",IF(StaticData.Today=TODAY(),_xll.BDP(W15,"LAST_PRICE"),_xll.BDH(W15,"LAST_PRICE",StaticData.Today,StaticData.Today)))</f>
        <v>15</v>
      </c>
      <c r="Z15" s="27">
        <f t="shared" si="11"/>
        <v>1.5E-3</v>
      </c>
      <c r="AB15" s="24" t="str">
        <f>"SRBSV7"&amp;$AB$2&amp;" Curncy"</f>
        <v>SRBSV7 GMGM Curncy</v>
      </c>
      <c r="AC15" s="25" t="s">
        <v>342</v>
      </c>
      <c r="AD15" s="26">
        <f>IF(AB15="","",IF(StaticData.Today=TODAY(),_xll.BDP(AB15,"MID"),_xll.BDH(AB15,"MID",StaticData.Today,StaticData.Today)))</f>
        <v>12</v>
      </c>
      <c r="AE15" s="27">
        <f t="shared" si="9"/>
        <v>1.1999999999999999E-3</v>
      </c>
      <c r="AG15" s="24" t="str">
        <f>"SRSSUS10"&amp;$AG$2&amp;" Curncy"</f>
        <v>SRSSUS10 GMGM Curncy</v>
      </c>
      <c r="AH15" s="25" t="s">
        <v>349</v>
      </c>
      <c r="AI15" s="26">
        <f>IF(AG15="","",IF(StaticData.Today=TODAY(),_xll.BDP(AG15,"LAST_PRICE"),_xll.BDH(AG15,"LAST_PRICE",StaticData.Today,StaticData.Today)))</f>
        <v>180</v>
      </c>
      <c r="AJ15" s="27"/>
      <c r="AL15" s="24"/>
      <c r="AM15" s="25"/>
      <c r="AN15" s="31"/>
      <c r="AO15" s="29"/>
      <c r="AP15" s="29"/>
      <c r="AQ15" s="177"/>
      <c r="AR15" s="181"/>
      <c r="AT15" s="24" t="str">
        <f t="shared" si="5"/>
        <v>IRN+12M CMPN Curncy</v>
      </c>
      <c r="AU15" s="25" t="s">
        <v>322</v>
      </c>
      <c r="AV15" s="31"/>
      <c r="AW15" s="196">
        <f>IF(AT15="","",IF(StaticData.Today=TODAY(),_xll.BDP(AT15,"BID"),_xll.BDH(AT15,"BID",StaticData.Today,StaticData.Today)))</f>
        <v>76.62</v>
      </c>
      <c r="AX15" s="196">
        <f>IF(AT15="","",IF(StaticData.Today=TODAY(),_xll.BDP(AT15,"ASK"),_xll.BDH(AT15,"ASK",StaticData.Today,StaticData.Today)))</f>
        <v>76.709999999999994</v>
      </c>
      <c r="AY15" s="196">
        <f>IF(AT15="","",IF(StaticData.Today=TODAY(),_xll.BDP(AT15,"LAST_PRICE"),_xll.BDH(AT15,"LAST_PRICE",StaticData.Today,StaticData.Today)))</f>
        <v>76.67</v>
      </c>
      <c r="AZ15" s="504">
        <f t="shared" si="6"/>
        <v>312.00000000000045</v>
      </c>
    </row>
    <row r="16" spans="1:54" x14ac:dyDescent="0.25">
      <c r="B16" s="21"/>
      <c r="C16" s="22"/>
      <c r="D16" s="22"/>
      <c r="E16" s="22"/>
      <c r="G16" s="24" t="str">
        <f>"IRSWO4"&amp;$G$1&amp;" Curncy"</f>
        <v>IRSWO4 FMDR Curncy</v>
      </c>
      <c r="H16" s="25" t="s">
        <v>324</v>
      </c>
      <c r="I16" s="25"/>
      <c r="J16" s="182">
        <f>IF(G16="","",IF(StaticData.Today=TODAY(),_xll.BDP(G16,"BID"),_xll.BDH(G16,"BID",StaticData.Today,StaticData.Today)))</f>
        <v>4.4640000000000004</v>
      </c>
      <c r="K16" s="182">
        <f>IF(G16="","",IF(StaticData.Today=TODAY(),_xll.BDP(G16,"ASK"),_xll.BDH(G16,"ASK",StaticData.Today,StaticData.Today)))</f>
        <v>4.4939999999999998</v>
      </c>
      <c r="L16" s="30">
        <f>IF(G16="","",IF(StaticData.Today=TODAY(),_xll.BDP(G16,"LAST_PRICE"),_xll.BDH(G16,"LAST_PRICE",StaticData.Today,StaticData.Today)))</f>
        <v>4.4790000000000001</v>
      </c>
      <c r="M16" s="183">
        <f t="shared" si="7"/>
        <v>4.4790000000000003E-2</v>
      </c>
      <c r="O16" s="24" t="str">
        <f>"SRFR0I1"&amp;$O$1&amp;" Curncy"</f>
        <v>SRFR0I1 GMGM Curncy</v>
      </c>
      <c r="P16" s="25" t="s">
        <v>594</v>
      </c>
      <c r="Q16" s="31" t="s">
        <v>498</v>
      </c>
      <c r="R16" s="182">
        <f>IF(O16="","",IF(StaticData.Today=TODAY(),_xll.BDP(O16,"BID"),_xll.BDH(O16,"BID",StaticData.Today,StaticData.Today)))</f>
        <v>0.87</v>
      </c>
      <c r="S16" s="182">
        <f>IF(O16="","",IF(StaticData.Today=TODAY(),_xll.BDP(O16,"ASK"),_xll.BDH(O16,"ASK",StaticData.Today,StaticData.Today)))</f>
        <v>0.95</v>
      </c>
      <c r="T16" s="30">
        <f>IF(O16="","",IF(StaticData.Today=TODAY(),_xll.BDP(O16,"LAST_PRICE"),_xll.BDH(O16,"LAST_PRICE",StaticData.Today,StaticData.Today)))</f>
        <v>0.91</v>
      </c>
      <c r="U16" s="183">
        <f t="shared" si="8"/>
        <v>9.1000000000000004E-3</v>
      </c>
      <c r="W16" s="24" t="str">
        <f>"SRBS7"&amp;$W$2&amp;" Curncy"</f>
        <v>SRBS7 GFID Curncy</v>
      </c>
      <c r="X16" s="25" t="s">
        <v>342</v>
      </c>
      <c r="Y16" s="191">
        <f>IF(W16="","",IF(StaticData.Today=TODAY(),_xll.BDP(W16,"LAST_PRICE"),_xll.BDH(W16,"LAST_PRICE",StaticData.Today,StaticData.Today)))</f>
        <v>15</v>
      </c>
      <c r="Z16" s="27">
        <f t="shared" si="11"/>
        <v>1.5E-3</v>
      </c>
      <c r="AB16" s="24" t="str">
        <f>"SRBSV10"&amp;$AB$2&amp;" Curncy"</f>
        <v>SRBSV10 GMGM Curncy</v>
      </c>
      <c r="AC16" s="25" t="s">
        <v>349</v>
      </c>
      <c r="AD16" s="26">
        <f>IF(AB16="","",IF(StaticData.Today=TODAY(),_xll.BDP(AB16,"MID"),_xll.BDH(AB16,"MID",StaticData.Today,StaticData.Today)))</f>
        <v>12</v>
      </c>
      <c r="AE16" s="27">
        <f t="shared" si="9"/>
        <v>1.1999999999999999E-3</v>
      </c>
      <c r="AG16" s="24"/>
      <c r="AH16" s="25"/>
      <c r="AI16" s="26" t="str">
        <f>IF(AG16="","",IF(StaticData.Today=TODAY(),_xll.BDP(AG16,"LAST_PRICE"),_xll.BDH(AG16,"LAST_PRICE",StaticData.Today,StaticData.Today)))</f>
        <v/>
      </c>
      <c r="AJ16" s="27"/>
      <c r="AL16" s="24"/>
      <c r="AM16" s="25"/>
      <c r="AN16" s="31"/>
      <c r="AO16" s="29"/>
      <c r="AP16" s="29"/>
      <c r="AQ16" s="177"/>
      <c r="AR16" s="181"/>
      <c r="AT16" s="24" t="str">
        <f t="shared" si="5"/>
        <v>IRN+2Y CMPN Curncy</v>
      </c>
      <c r="AU16" s="25" t="s">
        <v>308</v>
      </c>
      <c r="AV16" s="31"/>
      <c r="AW16" s="196">
        <f>IF(AT16="","",IF(StaticData.Today=TODAY(),_xll.BDP(AT16,"BID"),_xll.BDH(AT16,"BID",StaticData.Today,StaticData.Today)))</f>
        <v>79.89</v>
      </c>
      <c r="AX16" s="196">
        <f>IF(AT16="","",IF(StaticData.Today=TODAY(),_xll.BDP(AT16,"ASK"),_xll.BDH(AT16,"ASK",StaticData.Today,StaticData.Today)))</f>
        <v>80.209999999999994</v>
      </c>
      <c r="AY16" s="196">
        <f>IF(AT16="","",IF(StaticData.Today=TODAY(),_xll.BDP(AT16,"LAST_PRICE"),_xll.BDH(AT16,"LAST_PRICE",StaticData.Today,StaticData.Today)))</f>
        <v>80.05</v>
      </c>
      <c r="AZ16" s="504">
        <f t="shared" si="6"/>
        <v>650</v>
      </c>
    </row>
    <row r="17" spans="2:52" x14ac:dyDescent="0.25">
      <c r="B17" s="34"/>
      <c r="C17" s="35"/>
      <c r="D17" s="35"/>
      <c r="E17" s="35"/>
      <c r="G17" s="24" t="str">
        <f>"IRSWO5"&amp;$G$1&amp;" Curncy"</f>
        <v>IRSWO5 FMDR Curncy</v>
      </c>
      <c r="H17" s="25" t="s">
        <v>331</v>
      </c>
      <c r="I17" s="25"/>
      <c r="J17" s="182">
        <f>IF(G17="","",IF(StaticData.Today=TODAY(),_xll.BDP(G17,"BID"),_xll.BDH(G17,"BID",StaticData.Today,StaticData.Today)))</f>
        <v>4.5919999999999996</v>
      </c>
      <c r="K17" s="182">
        <f>IF(G17="","",IF(StaticData.Today=TODAY(),_xll.BDP(G17,"ASK"),_xll.BDH(G17,"ASK",StaticData.Today,StaticData.Today)))</f>
        <v>4.6219999999999999</v>
      </c>
      <c r="L17" s="30">
        <f>IF(G17="","",IF(StaticData.Today=TODAY(),_xll.BDP(G17,"LAST_PRICE"),_xll.BDH(G17,"LAST_PRICE",StaticData.Today,StaticData.Today)))</f>
        <v>4.6070000000000002</v>
      </c>
      <c r="M17" s="183">
        <f t="shared" si="7"/>
        <v>4.607E-2</v>
      </c>
      <c r="O17" s="24" t="str">
        <f>"SRSW1"&amp;$O$2&amp;" Curncy"</f>
        <v>SRSW1 GMGM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0.89800000000000002</v>
      </c>
      <c r="S17" s="182">
        <f>IF(O17="","",IF(StaticData.Today=TODAY(),_xll.BDP(O17,"ASK"),_xll.BDH(O17,"ASK",StaticData.Today,StaticData.Today)))</f>
        <v>0.95799999999999996</v>
      </c>
      <c r="T17" s="30">
        <f>IF(O17="","",IF(StaticData.Today=TODAY(),_xll.BDP(O17,"LAST_PRICE"),_xll.BDH(O17,"LAST_PRICE",StaticData.Today,StaticData.Today)))</f>
        <v>0.92800000000000005</v>
      </c>
      <c r="U17" s="183">
        <f t="shared" si="8"/>
        <v>9.2800000000000001E-3</v>
      </c>
      <c r="W17" s="24" t="str">
        <f>"SRBS10"&amp;$W$2&amp;" Curncy"</f>
        <v>SRBS10 GFID Curncy</v>
      </c>
      <c r="X17" s="25" t="s">
        <v>349</v>
      </c>
      <c r="Y17" s="191">
        <f>IF(W17="","",IF(StaticData.Today=TODAY(),_xll.BDP(W17,"LAST_PRICE"),_xll.BDH(W17,"LAST_PRICE",StaticData.Today,StaticData.Today)))</f>
        <v>17</v>
      </c>
      <c r="Z17" s="27">
        <f t="shared" si="11"/>
        <v>1.6999999999999999E-3</v>
      </c>
      <c r="AB17" s="24"/>
      <c r="AC17" s="25"/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/>
      <c r="AI17" s="26" t="str">
        <f>IF(AG17="","",IF(StaticData.Today=TODAY(),_xll.BDP(AG17,"LAST_PRICE"),_xll.BDH(AG17,"LAST_PRICE",StaticData.Today,StaticData.Today)))</f>
        <v/>
      </c>
      <c r="AJ17" s="27"/>
      <c r="AL17" s="24"/>
      <c r="AM17" s="25"/>
      <c r="AN17" s="31"/>
      <c r="AO17" s="29"/>
      <c r="AP17" s="29"/>
      <c r="AQ17" s="177"/>
      <c r="AR17" s="181"/>
      <c r="AT17" s="24" t="str">
        <f t="shared" si="5"/>
        <v>IRN+3Y CMPN Curncy</v>
      </c>
      <c r="AU17" s="25" t="s">
        <v>316</v>
      </c>
      <c r="AV17" s="31"/>
      <c r="AW17" s="196">
        <f>IF(AT17="","",IF(StaticData.Today=TODAY(),_xll.BDP(AT17,"BID"),_xll.BDH(AT17,"BID",StaticData.Today,StaticData.Today)))</f>
        <v>83.57</v>
      </c>
      <c r="AX17" s="196">
        <f>IF(AT17="","",IF(StaticData.Today=TODAY(),_xll.BDP(AT17,"ASK"),_xll.BDH(AT17,"ASK",StaticData.Today,StaticData.Today)))</f>
        <v>83.87</v>
      </c>
      <c r="AY17" s="196">
        <f>IF(AT17="","",IF(StaticData.Today=TODAY(),_xll.BDP(AT17,"LAST_PRICE"),_xll.BDH(AT17,"LAST_PRICE",StaticData.Today,StaticData.Today)))</f>
        <v>83.73</v>
      </c>
      <c r="AZ17" s="504">
        <f t="shared" si="6"/>
        <v>1018.0000000000007</v>
      </c>
    </row>
    <row r="18" spans="2:52" x14ac:dyDescent="0.25">
      <c r="B18" s="36"/>
      <c r="C18" s="36"/>
      <c r="D18" s="36"/>
      <c r="E18" s="36"/>
      <c r="G18" s="24" t="str">
        <f>"IRSWO7"&amp;$G$1&amp;" Curncy"</f>
        <v>IRSWO7 FMDR Curncy</v>
      </c>
      <c r="H18" s="25" t="s">
        <v>342</v>
      </c>
      <c r="I18" s="25"/>
      <c r="J18" s="182">
        <f>IF(G18="","",IF(StaticData.Today=TODAY(),_xll.BDP(G18,"BID"),_xll.BDH(G18,"BID",StaticData.Today,StaticData.Today)))</f>
        <v>4.8529999999999998</v>
      </c>
      <c r="K18" s="182">
        <f>IF(G18="","",IF(StaticData.Today=TODAY(),_xll.BDP(G18,"ASK"),_xll.BDH(G18,"ASK",StaticData.Today,StaticData.Today)))</f>
        <v>4.883</v>
      </c>
      <c r="L18" s="30">
        <f>IF(G18="","",IF(StaticData.Today=TODAY(),_xll.BDP(G18,"LAST_PRICE"),_xll.BDH(G18,"LAST_PRICE",StaticData.Today,StaticData.Today)))</f>
        <v>4.8680000000000003</v>
      </c>
      <c r="M18" s="183">
        <f t="shared" si="7"/>
        <v>4.8680000000000001E-2</v>
      </c>
      <c r="O18" s="24" t="str">
        <f>"SRSW2"&amp;$O$2&amp;" Curncy"</f>
        <v>SRSW2 GMGM Curncy</v>
      </c>
      <c r="P18" s="25" t="s">
        <v>308</v>
      </c>
      <c r="Q18" s="31"/>
      <c r="R18" s="182">
        <f>IF(O18="","",IF(StaticData.Today=TODAY(),_xll.BDP(O18,"BID"),_xll.BDH(O18,"BID",StaticData.Today,StaticData.Today)))</f>
        <v>1.056</v>
      </c>
      <c r="S18" s="182">
        <f>IF(O18="","",IF(StaticData.Today=TODAY(),_xll.BDP(O18,"ASK"),_xll.BDH(O18,"ASK",StaticData.Today,StaticData.Today)))</f>
        <v>1.1160000000000001</v>
      </c>
      <c r="T18" s="30">
        <f>IF(O18="","",IF(StaticData.Today=TODAY(),_xll.BDP(O18,"LAST_PRICE"),_xll.BDH(O18,"LAST_PRICE",StaticData.Today,StaticData.Today)))</f>
        <v>1.0860000000000001</v>
      </c>
      <c r="U18" s="183">
        <f t="shared" si="8"/>
        <v>1.0860000000000002E-2</v>
      </c>
      <c r="W18" s="24"/>
      <c r="X18" s="25"/>
      <c r="Y18" s="191"/>
      <c r="Z18" s="27"/>
      <c r="AB18" s="24"/>
      <c r="AC18" s="25"/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/>
      <c r="AI18" s="26" t="str">
        <f>IF(AG18="","",IF(StaticData.Today=TODAY(),_xll.BDP(AG18,"LAST_PRICE"),_xll.BDH(AG18,"LAST_PRICE",StaticData.Today,StaticData.Today)))</f>
        <v/>
      </c>
      <c r="AJ18" s="27"/>
      <c r="AL18" s="24"/>
      <c r="AM18" s="25"/>
      <c r="AN18" s="31"/>
      <c r="AO18" s="29"/>
      <c r="AP18" s="29"/>
      <c r="AQ18" s="177"/>
      <c r="AR18" s="181"/>
      <c r="AT18" s="24" t="str">
        <f t="shared" si="5"/>
        <v>IRN+5Y CMPN Curncy</v>
      </c>
      <c r="AU18" s="25" t="s">
        <v>331</v>
      </c>
      <c r="AV18" s="31"/>
      <c r="AW18" s="196">
        <f>IF(AT18="","",IF(StaticData.Today=TODAY(),_xll.BDP(AT18,"BID"),_xll.BDH(AT18,"BID",StaticData.Today,StaticData.Today)))</f>
        <v>90.98</v>
      </c>
      <c r="AX18" s="196">
        <f>IF(AT18="","",IF(StaticData.Today=TODAY(),_xll.BDP(AT18,"ASK"),_xll.BDH(AT18,"ASK",StaticData.Today,StaticData.Today)))</f>
        <v>91.19</v>
      </c>
      <c r="AY18" s="196">
        <f>IF(AT18="","",IF(StaticData.Today=TODAY(),_xll.BDP(AT18,"LAST_PRICE"),_xll.BDH(AT18,"LAST_PRICE",StaticData.Today,StaticData.Today)))</f>
        <v>91.09</v>
      </c>
      <c r="AZ18" s="504">
        <f t="shared" si="6"/>
        <v>1754.0000000000007</v>
      </c>
    </row>
    <row r="19" spans="2:52" x14ac:dyDescent="0.25">
      <c r="B19" s="36"/>
      <c r="C19" s="36"/>
      <c r="D19" s="36"/>
      <c r="E19" s="36"/>
      <c r="G19" s="24" t="str">
        <f>"IRSWO10"&amp;$G$1&amp;" Curncy"</f>
        <v>IRSWO10 FMDR Curncy</v>
      </c>
      <c r="H19" s="39" t="s">
        <v>349</v>
      </c>
      <c r="I19" s="39"/>
      <c r="J19" s="182">
        <f>IF(G19="","",IF(StaticData.Today=TODAY(),_xll.BDP(G19,"BID"),_xll.BDH(G19,"BID",StaticData.Today,StaticData.Today)))</f>
        <v>5.2450000000000001</v>
      </c>
      <c r="K19" s="182">
        <f>IF(G19="","",IF(StaticData.Today=TODAY(),_xll.BDP(G19,"ASK"),_xll.BDH(G19,"ASK",StaticData.Today,StaticData.Today)))</f>
        <v>5.274</v>
      </c>
      <c r="L19" s="30">
        <f>IF(G19="","",IF(StaticData.Today=TODAY(),_xll.BDP(G19,"LAST_PRICE"),_xll.BDH(G19,"LAST_PRICE",StaticData.Today,StaticData.Today)))</f>
        <v>5.2595000000000001</v>
      </c>
      <c r="M19" s="183">
        <f t="shared" si="7"/>
        <v>5.2595000000000003E-2</v>
      </c>
      <c r="O19" s="24" t="str">
        <f>"SRSW3"&amp;$O$2&amp;" Curncy"</f>
        <v>SRSW3 GMGM Curncy</v>
      </c>
      <c r="P19" s="25" t="s">
        <v>316</v>
      </c>
      <c r="Q19" s="28"/>
      <c r="R19" s="29">
        <f>IF(O19="","",IF(StaticData.Today=TODAY(),_xll.BDP(O19,"BID"),_xll.BDH(O19,"BID",StaticData.Today,StaticData.Today)))</f>
        <v>1.248</v>
      </c>
      <c r="S19" s="29">
        <f>IF(O19="","",IF(StaticData.Today=TODAY(),_xll.BDP(O19,"ASK"),_xll.BDH(O19,"ASK",StaticData.Today,StaticData.Today)))</f>
        <v>1.3080000000000001</v>
      </c>
      <c r="T19" s="30">
        <f>IF(O19="","",IF(StaticData.Today=TODAY(),_xll.BDP(O19,"LAST_PRICE"),_xll.BDH(O19,"LAST_PRICE",StaticData.Today,StaticData.Today)))</f>
        <v>1.278</v>
      </c>
      <c r="U19" s="183">
        <f t="shared" si="8"/>
        <v>1.278E-2</v>
      </c>
      <c r="W19" s="24"/>
      <c r="X19" s="25"/>
      <c r="Y19" s="191"/>
      <c r="Z19" s="27"/>
      <c r="AB19" s="24"/>
      <c r="AC19" s="25"/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25"/>
      <c r="AN19" s="28"/>
      <c r="AO19" s="29"/>
      <c r="AP19" s="29"/>
      <c r="AQ19" s="177"/>
      <c r="AR19" s="181"/>
      <c r="AT19" s="24"/>
      <c r="AU19" s="25"/>
      <c r="AV19" s="31"/>
      <c r="AW19" s="196"/>
      <c r="AX19" s="196"/>
      <c r="AY19" s="196"/>
      <c r="AZ19" s="181"/>
    </row>
    <row r="20" spans="2:52" x14ac:dyDescent="0.25">
      <c r="B20" s="36"/>
      <c r="C20" s="36"/>
      <c r="D20" s="36"/>
      <c r="E20" s="36"/>
      <c r="O20" s="24" t="str">
        <f>"SRSW4"&amp;$O$2&amp;" Curncy"</f>
        <v>SRSW4 GMGM Curncy</v>
      </c>
      <c r="P20" s="25" t="s">
        <v>324</v>
      </c>
      <c r="Q20" s="28"/>
      <c r="R20" s="29">
        <f>IF(O20="","",IF(StaticData.Today=TODAY(),_xll.BDP(O20,"BID"),_xll.BDH(O20,"BID",StaticData.Today,StaticData.Today)))</f>
        <v>1.4330000000000001</v>
      </c>
      <c r="S20" s="29">
        <f>IF(O20="","",IF(StaticData.Today=TODAY(),_xll.BDP(O20,"ASK"),_xll.BDH(O20,"ASK",StaticData.Today,StaticData.Today)))</f>
        <v>1.4930000000000001</v>
      </c>
      <c r="T20" s="30">
        <f>IF(O20="","",IF(StaticData.Today=TODAY(),_xll.BDP(O20,"LAST_PRICE"),_xll.BDH(O20,"LAST_PRICE",StaticData.Today,StaticData.Today)))</f>
        <v>1.4630000000000001</v>
      </c>
      <c r="U20" s="183">
        <f t="shared" si="8"/>
        <v>1.4630000000000001E-2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25"/>
      <c r="AN20" s="28"/>
      <c r="AO20" s="29"/>
      <c r="AP20" s="29"/>
      <c r="AQ20" s="177"/>
      <c r="AR20" s="181"/>
      <c r="AT20" s="24" t="str">
        <f>"IRSWN1"&amp;$AT$2&amp;" Curncy"</f>
        <v>IRSWN1 BGN Curncy</v>
      </c>
      <c r="AU20" s="25" t="s">
        <v>47</v>
      </c>
      <c r="AV20" s="28"/>
      <c r="AW20" s="196">
        <f>IF(AT20="","",IF(StaticData.Today=TODAY(),_xll.BDP(AT20,"BID"),_xll.BDH(AT20,"BID",StaticData.Today,StaticData.Today)))</f>
        <v>4.3285999999999998</v>
      </c>
      <c r="AX20" s="196">
        <f>IF(AT20="","",IF(StaticData.Today=TODAY(),_xll.BDP(AT20,"ASK"),_xll.BDH(AT20,"ASK",StaticData.Today,StaticData.Today)))</f>
        <v>4.5313999999999997</v>
      </c>
      <c r="AY20" s="196">
        <f>IF(AT20="","",IF(StaticData.Today=TODAY(),_xll.BDP(AT20,"PX_LAST"),_xll.BDH(AT20,"PX_LAST",StaticData.Today,StaticData.Today)))</f>
        <v>4.43</v>
      </c>
      <c r="AZ20" s="27">
        <f>AY20/100</f>
        <v>4.4299999999999999E-2</v>
      </c>
    </row>
    <row r="21" spans="2:52" x14ac:dyDescent="0.25">
      <c r="B21" s="36"/>
      <c r="C21" s="36"/>
      <c r="D21" s="36"/>
      <c r="E21" s="36"/>
      <c r="O21" s="24" t="str">
        <f>"SRSW5"&amp;$O$2&amp;" Curncy"</f>
        <v>SRSW5 GMGM Curncy</v>
      </c>
      <c r="P21" s="25" t="s">
        <v>331</v>
      </c>
      <c r="Q21" s="28"/>
      <c r="R21" s="29">
        <f>IF(O21="","",IF(StaticData.Today=TODAY(),_xll.BDP(O21,"BID"),_xll.BDH(O21,"BID",StaticData.Today,StaticData.Today)))</f>
        <v>1.629</v>
      </c>
      <c r="S21" s="29">
        <f>IF(O21="","",IF(StaticData.Today=TODAY(),_xll.BDP(O21,"ASK"),_xll.BDH(O21,"ASK",StaticData.Today,StaticData.Today)))</f>
        <v>1.6890000000000001</v>
      </c>
      <c r="T21" s="30">
        <f>IF(O21="","",IF(StaticData.Today=TODAY(),_xll.BDP(O21,"LAST_PRICE"),_xll.BDH(O21,"LAST_PRICE",StaticData.Today,StaticData.Today)))</f>
        <v>1.659</v>
      </c>
      <c r="U21" s="183">
        <f t="shared" si="8"/>
        <v>1.6590000000000001E-2</v>
      </c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>"IRSWN2"&amp;$AT$2&amp;" Curncy"</f>
        <v>IRSWN2 BGN Curncy</v>
      </c>
      <c r="AU21" s="25" t="s">
        <v>308</v>
      </c>
      <c r="AV21" s="28"/>
      <c r="AW21" s="196">
        <f>IF(AT21="","",IF(StaticData.Today=TODAY(),_xll.BDP(AT21,"BID"),_xll.BDH(AT21,"BID",StaticData.Today,StaticData.Today)))</f>
        <v>4.4924999999999997</v>
      </c>
      <c r="AX21" s="196">
        <f>IF(AT21="","",IF(StaticData.Today=TODAY(),_xll.BDP(AT21,"ASK"),_xll.BDH(AT21,"ASK",StaticData.Today,StaticData.Today)))</f>
        <v>4.6074999999999999</v>
      </c>
      <c r="AY21" s="196">
        <f>IF(AT21="","",IF(StaticData.Today=TODAY(),_xll.BDP(AT21,"PX_LAST"),_xll.BDH(AT21,"PX_LAST",StaticData.Today,StaticData.Today)))</f>
        <v>4.55</v>
      </c>
      <c r="AZ21" s="27">
        <f t="shared" ref="AZ21:AZ25" si="12">AY21/100</f>
        <v>4.5499999999999999E-2</v>
      </c>
    </row>
    <row r="22" spans="2:52" x14ac:dyDescent="0.25">
      <c r="B22" s="36"/>
      <c r="C22" s="36"/>
      <c r="D22" s="36"/>
      <c r="E22" s="36"/>
      <c r="O22" s="24" t="str">
        <f>"SRSW6"&amp;$O$2&amp;" Curncy"</f>
        <v>SRSW6 GMGM Curncy</v>
      </c>
      <c r="P22" s="25" t="s">
        <v>339</v>
      </c>
      <c r="Q22" s="28"/>
      <c r="R22" s="29">
        <f>IF(O22="","",IF(StaticData.Today=TODAY(),_xll.BDP(O22,"BID"),_xll.BDH(O22,"BID",StaticData.Today,StaticData.Today)))</f>
        <v>1.82</v>
      </c>
      <c r="S22" s="29">
        <f>IF(O22="","",IF(StaticData.Today=TODAY(),_xll.BDP(O22,"ASK"),_xll.BDH(O22,"ASK",StaticData.Today,StaticData.Today)))</f>
        <v>1.88</v>
      </c>
      <c r="T22" s="30">
        <f>IF(O22="","",IF(StaticData.Today=TODAY(),_xll.BDP(O22,"LAST_PRICE"),_xll.BDH(O22,"LAST_PRICE",StaticData.Today,StaticData.Today)))</f>
        <v>1.85</v>
      </c>
      <c r="U22" s="183">
        <f t="shared" si="8"/>
        <v>1.8500000000000003E-2</v>
      </c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>"IRSWN3"&amp;$AT$2&amp;" Curncy"</f>
        <v>IRSWN3 BGN Curncy</v>
      </c>
      <c r="AU22" s="25" t="s">
        <v>316</v>
      </c>
      <c r="AV22" s="28"/>
      <c r="AW22" s="196">
        <f>IF(AT22="","",IF(StaticData.Today=TODAY(),_xll.BDP(AT22,"BID"),_xll.BDH(AT22,"BID",StaticData.Today,StaticData.Today)))</f>
        <v>4.6989999999999998</v>
      </c>
      <c r="AX22" s="196">
        <f>IF(AT22="","",IF(StaticData.Today=TODAY(),_xll.BDP(AT22,"ASK"),_xll.BDH(AT22,"ASK",StaticData.Today,StaticData.Today)))</f>
        <v>4.8209999999999997</v>
      </c>
      <c r="AY22" s="196">
        <f>IF(AT22="","",IF(StaticData.Today=TODAY(),_xll.BDP(AT22,"PX_LAST"),_xll.BDH(AT22,"PX_LAST",StaticData.Today,StaticData.Today)))</f>
        <v>4.76</v>
      </c>
      <c r="AZ22" s="27">
        <f t="shared" si="12"/>
        <v>4.7599999999999996E-2</v>
      </c>
    </row>
    <row r="23" spans="2:52" x14ac:dyDescent="0.25">
      <c r="B23" s="36"/>
      <c r="C23" s="36"/>
      <c r="D23" s="36"/>
      <c r="E23" s="36"/>
      <c r="O23" s="24" t="str">
        <f>"SRSW7"&amp;$O$2&amp;" Curncy"</f>
        <v>SRSW7 GMGM Curncy</v>
      </c>
      <c r="P23" s="25" t="s">
        <v>342</v>
      </c>
      <c r="Q23" s="28"/>
      <c r="R23" s="29">
        <f>IF(O23="","",IF(StaticData.Today=TODAY(),_xll.BDP(O23,"BID"),_xll.BDH(O23,"BID",StaticData.Today,StaticData.Today)))</f>
        <v>1.9850000000000001</v>
      </c>
      <c r="S23" s="29">
        <f>IF(O23="","",IF(StaticData.Today=TODAY(),_xll.BDP(O23,"ASK"),_xll.BDH(O23,"ASK",StaticData.Today,StaticData.Today)))</f>
        <v>2.0449999999999999</v>
      </c>
      <c r="T23" s="30">
        <f>IF(O23="","",IF(StaticData.Today=TODAY(),_xll.BDP(O23,"LAST_PRICE"),_xll.BDH(O23,"LAST_PRICE",StaticData.Today,StaticData.Today)))</f>
        <v>2.0150000000000001</v>
      </c>
      <c r="U23" s="183">
        <f t="shared" si="8"/>
        <v>2.0150000000000001E-2</v>
      </c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>"IRSWN5"&amp;$AT$2&amp;" Curncy"</f>
        <v>IRSWN5 BGN Curncy</v>
      </c>
      <c r="AU23" s="25" t="s">
        <v>331</v>
      </c>
      <c r="AV23" s="28"/>
      <c r="AW23" s="196">
        <f>IF(AT23="","",IF(StaticData.Today=TODAY(),_xll.BDP(AT23,"BID"),_xll.BDH(AT23,"BID",StaticData.Today,StaticData.Today)))</f>
        <v>5.1759000000000004</v>
      </c>
      <c r="AX23" s="196">
        <f>IF(AT23="","",IF(StaticData.Today=TODAY(),_xll.BDP(AT23,"ASK"),_xll.BDH(AT23,"ASK",StaticData.Today,StaticData.Today)))</f>
        <v>5.2840999999999996</v>
      </c>
      <c r="AY23" s="196">
        <f>IF(AT23="","",IF(StaticData.Today=TODAY(),_xll.BDP(AT23,"PX_LAST"),_xll.BDH(AT23,"PX_LAST",StaticData.Today,StaticData.Today)))</f>
        <v>5.23</v>
      </c>
      <c r="AZ23" s="27">
        <f t="shared" si="12"/>
        <v>5.2300000000000006E-2</v>
      </c>
    </row>
    <row r="24" spans="2:52" x14ac:dyDescent="0.25">
      <c r="O24" s="24" t="str">
        <f>"SRSW10"&amp;$O$2&amp;" Curncy"</f>
        <v>SRSW10 GMGM Curncy</v>
      </c>
      <c r="P24" s="25" t="s">
        <v>349</v>
      </c>
      <c r="Q24" s="28"/>
      <c r="R24" s="29">
        <f>IF(O24="","",IF(StaticData.Today=TODAY(),_xll.BDP(O24,"BID"),_xll.BDH(O24,"BID",StaticData.Today,StaticData.Today)))</f>
        <v>2.4340000000000002</v>
      </c>
      <c r="S24" s="29">
        <f>IF(O24="","",IF(StaticData.Today=TODAY(),_xll.BDP(O24,"ASK"),_xll.BDH(O24,"ASK",StaticData.Today,StaticData.Today)))</f>
        <v>2.5139999999999998</v>
      </c>
      <c r="T24" s="30">
        <f>IF(O24="","",IF(StaticData.Today=TODAY(),_xll.BDP(O24,"LAST_PRICE"),_xll.BDH(O24,"LAST_PRICE",StaticData.Today,StaticData.Today)))</f>
        <v>2.4740000000000002</v>
      </c>
      <c r="U24" s="183">
        <f t="shared" si="8"/>
        <v>2.4740000000000002E-2</v>
      </c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>"IRSWN7"&amp;$AT$2&amp;" Curncy"</f>
        <v>IRSWN7 BGN Curncy</v>
      </c>
      <c r="AU24" s="25" t="s">
        <v>342</v>
      </c>
      <c r="AV24" s="28"/>
      <c r="AW24" s="196">
        <f>IF(AT24="","",IF(StaticData.Today=TODAY(),_xll.BDP(AT24,"BID"),_xll.BDH(AT24,"BID",StaticData.Today,StaticData.Today)))</f>
        <v>5.1756000000000002</v>
      </c>
      <c r="AX24" s="196">
        <f>IF(AT24="","",IF(StaticData.Today=TODAY(),_xll.BDP(AT24,"ASK"),_xll.BDH(AT24,"ASK",StaticData.Today,StaticData.Today)))</f>
        <v>5.2843999999999998</v>
      </c>
      <c r="AY24" s="196">
        <f>IF(AT24="","",IF(StaticData.Today=TODAY(),_xll.BDP(AT24,"PX_LAST"),_xll.BDH(AT24,"PX_LAST",StaticData.Today,StaticData.Today)))</f>
        <v>5.23</v>
      </c>
      <c r="AZ24" s="27">
        <f t="shared" si="12"/>
        <v>5.2300000000000006E-2</v>
      </c>
    </row>
    <row r="25" spans="2:52" x14ac:dyDescent="0.25"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>"IRSWN10"&amp;$AT$2&amp;" Curncy"</f>
        <v>IRSWN10 BGN Curncy</v>
      </c>
      <c r="AU25" s="25" t="s">
        <v>349</v>
      </c>
      <c r="AV25" s="28"/>
      <c r="AW25" s="196">
        <f>IF(AT25="","",IF(StaticData.Today=TODAY(),_xll.BDP(AT25,"BID"),_xll.BDH(AT25,"BID",StaticData.Today,StaticData.Today)))</f>
        <v>5.0721999999999996</v>
      </c>
      <c r="AX25" s="196">
        <f>IF(AT25="","",IF(StaticData.Today=TODAY(),_xll.BDP(AT25,"ASK"),_xll.BDH(AT25,"ASK",StaticData.Today,StaticData.Today)))</f>
        <v>5.2877999999999998</v>
      </c>
      <c r="AY25" s="196">
        <f>IF(AT25="","",IF(StaticData.Today=TODAY(),_xll.BDP(AT25,"PX_LAST"),_xll.BDH(AT25,"PX_LAST",StaticData.Today,StaticData.Today)))</f>
        <v>5.18</v>
      </c>
      <c r="AZ25" s="27">
        <f t="shared" si="12"/>
        <v>5.1799999999999999E-2</v>
      </c>
    </row>
    <row r="26" spans="2:52" x14ac:dyDescent="0.25">
      <c r="O26" s="24"/>
      <c r="P26" s="25"/>
      <c r="Q26" s="28"/>
      <c r="R26" s="29"/>
      <c r="S26" s="29"/>
      <c r="T26" s="30"/>
      <c r="U26" s="183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/>
      <c r="AU26" s="25"/>
      <c r="AV26" s="28"/>
      <c r="AW26" s="196"/>
      <c r="AX26" s="196"/>
      <c r="AY26" s="196"/>
      <c r="AZ26" s="181"/>
    </row>
    <row r="27" spans="2:52" x14ac:dyDescent="0.25">
      <c r="O27" s="24"/>
      <c r="P27" s="25"/>
      <c r="Q27" s="28"/>
      <c r="R27" s="29"/>
      <c r="S27" s="29"/>
      <c r="T27" s="30"/>
      <c r="U27" s="183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/>
      <c r="AU27" s="25"/>
      <c r="AV27" s="28"/>
      <c r="AW27" s="196"/>
      <c r="AX27" s="196"/>
      <c r="AY27" s="196"/>
      <c r="AZ27" s="181"/>
    </row>
    <row r="28" spans="2:52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/>
      <c r="AU28" s="25"/>
      <c r="AV28" s="28"/>
      <c r="AW28" s="196"/>
      <c r="AX28" s="196"/>
      <c r="AY28" s="196"/>
      <c r="AZ28" s="181"/>
    </row>
    <row r="29" spans="2:52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/>
      <c r="AU29" s="25"/>
      <c r="AV29" s="28"/>
      <c r="AW29" s="196"/>
      <c r="AX29" s="196"/>
      <c r="AY29" s="196"/>
      <c r="AZ29" s="181"/>
    </row>
    <row r="30" spans="2:52" x14ac:dyDescent="0.25"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/>
      <c r="AU30" s="25"/>
      <c r="AV30" s="28"/>
      <c r="AW30" s="196"/>
      <c r="AX30" s="196"/>
      <c r="AY30" s="196"/>
      <c r="AZ30" s="181"/>
    </row>
    <row r="31" spans="2:52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196"/>
      <c r="AX31" s="196"/>
      <c r="AY31" s="196"/>
      <c r="AZ31" s="181"/>
    </row>
    <row r="32" spans="2:52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196"/>
      <c r="AX32" s="196"/>
      <c r="AY32" s="196"/>
      <c r="AZ32" s="181"/>
    </row>
    <row r="33" spans="15:52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24"/>
      <c r="P47" s="25"/>
      <c r="Q47" s="28"/>
      <c r="R47" s="29"/>
      <c r="S47" s="29"/>
      <c r="T47" s="30"/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38"/>
      <c r="P48" s="39"/>
      <c r="Q48" s="42"/>
      <c r="R48" s="43"/>
      <c r="S48" s="43"/>
      <c r="T48" s="44"/>
      <c r="U48" s="41"/>
      <c r="W48" s="24"/>
      <c r="X48" s="25"/>
      <c r="Y48" s="191"/>
      <c r="Z48" s="27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23:52" x14ac:dyDescent="0.25">
      <c r="W49" s="24"/>
      <c r="X49" s="25"/>
      <c r="Y49" s="191"/>
      <c r="Z49" s="27"/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  <c r="AT49" s="38"/>
      <c r="AU49" s="39"/>
      <c r="AV49" s="42"/>
      <c r="AW49" s="43"/>
      <c r="AX49" s="43"/>
      <c r="AY49" s="44" t="str">
        <f>IF(AT49="","",IF(StaticData.Today=TODAY(),_xll.BDP(AT49,"LAST_PRICE"),_xll.BDH(AT49,"LAST_PRICE",StaticData.Today,StaticData.Today)))</f>
        <v/>
      </c>
      <c r="AZ49" s="41"/>
    </row>
    <row r="50" spans="23:52" x14ac:dyDescent="0.25">
      <c r="W50" s="24"/>
      <c r="X50" s="25"/>
      <c r="Y50" s="191"/>
      <c r="Z50" s="27"/>
      <c r="AB50" s="24"/>
      <c r="AC50" s="25"/>
      <c r="AD50" s="26" t="str">
        <f>IF(AB50="","",IF(StaticData.Today=TODAY(),_xll.BDP(AB50,"LAST_PRICE"),_xll.BDH(AB50,"LAST_PRICE",StaticData.Today,StaticData.Today)))</f>
        <v/>
      </c>
      <c r="AE50" s="27"/>
    </row>
    <row r="51" spans="23:52" x14ac:dyDescent="0.25">
      <c r="W51" s="24"/>
      <c r="X51" s="25"/>
      <c r="Y51" s="191"/>
      <c r="Z51" s="27"/>
      <c r="AB51" s="38"/>
      <c r="AC51" s="39"/>
      <c r="AD51" s="40" t="str">
        <f>IF(AB51="","",IF(StaticData.Today=TODAY(),_xll.BDP(AB51,"LAST_PRICE"),_xll.BDH(AB51,"LAST_PRICE",StaticData.Today,StaticData.Today)))</f>
        <v/>
      </c>
      <c r="AE51" s="41"/>
    </row>
    <row r="52" spans="23:52" x14ac:dyDescent="0.25">
      <c r="W52" s="38"/>
      <c r="X52" s="39"/>
      <c r="Y52" s="192"/>
      <c r="Z52" s="41"/>
    </row>
  </sheetData>
  <dataValidations disablePrompts="1" count="2">
    <dataValidation type="list" allowBlank="1" showInputMessage="1" showErrorMessage="1" sqref="W2">
      <formula1>$X$95:$X$98</formula1>
    </dataValidation>
    <dataValidation type="list" allowBlank="1" showInputMessage="1" showErrorMessage="1" sqref="AL2 AG2">
      <formula1>$X$98:$X$101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'STATIC DATA'!$AD$92:$AD$95</xm:f>
          </x14:formula1>
          <xm:sqref>AT1</xm:sqref>
        </x14:dataValidation>
        <x14:dataValidation type="list" allowBlank="1" showInputMessage="1" showErrorMessage="1">
          <x14:formula1>
            <xm:f>'STATIC DATA'!$X$97:$X$100</xm:f>
          </x14:formula1>
          <xm:sqref>O1:O2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  <x14:dataValidation type="list" allowBlank="1" showInputMessage="1" showErrorMessage="1">
          <x14:formula1>
            <xm:f>'STATIC DATA'!$W$97:$W$100</xm:f>
          </x14:formula1>
          <xm:sqref>AB2</xm:sqref>
        </x14:dataValidation>
        <x14:dataValidation type="list" allowBlank="1" showInputMessage="1" showErrorMessage="1">
          <x14:formula1>
            <xm:f>'STATIC DATA'!$AD$97:$AD$100</xm:f>
          </x14:formula1>
          <xm:sqref>AT2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79998168889431442"/>
  </sheetPr>
  <dimension ref="A1:BM56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9.5703125" style="188" bestFit="1" customWidth="1"/>
    <col min="26" max="26" width="8.42578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9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6" max="56" width="12.28515625" bestFit="1" customWidth="1"/>
    <col min="59" max="59" width="10" bestFit="1" customWidth="1"/>
    <col min="60" max="60" width="18.85546875" customWidth="1"/>
    <col min="61" max="62" width="8.28515625" customWidth="1"/>
    <col min="63" max="63" width="10.5703125" bestFit="1" customWidth="1"/>
    <col min="64" max="64" width="8.28515625" customWidth="1"/>
    <col min="65" max="65" width="10.5703125" style="392" bestFit="1" customWidth="1"/>
  </cols>
  <sheetData>
    <row r="1" spans="1:65" x14ac:dyDescent="0.25">
      <c r="A1" t="s">
        <v>172</v>
      </c>
      <c r="G1" s="6" t="s">
        <v>545</v>
      </c>
      <c r="O1" s="6" t="s">
        <v>529</v>
      </c>
      <c r="AT1" s="6" t="s">
        <v>528</v>
      </c>
      <c r="BC1" s="510"/>
      <c r="BD1" s="536">
        <f>WORKDAY(TODAY(),2)</f>
        <v>44085</v>
      </c>
      <c r="BE1" s="323"/>
      <c r="BF1" s="299"/>
      <c r="BG1" s="299"/>
      <c r="BH1" s="299"/>
    </row>
    <row r="2" spans="1:65" x14ac:dyDescent="0.25">
      <c r="G2" s="7"/>
      <c r="O2" s="6" t="s">
        <v>528</v>
      </c>
      <c r="W2" s="6" t="s">
        <v>528</v>
      </c>
      <c r="AB2" s="6" t="s">
        <v>528</v>
      </c>
      <c r="AL2" s="6" t="s">
        <v>528</v>
      </c>
      <c r="AT2" s="6" t="s">
        <v>528</v>
      </c>
      <c r="BC2" s="416"/>
      <c r="BD2" s="416"/>
      <c r="BE2" s="511"/>
      <c r="BF2" s="332"/>
      <c r="BG2" s="332" t="s">
        <v>993</v>
      </c>
      <c r="BH2" s="332" t="s">
        <v>929</v>
      </c>
    </row>
    <row r="3" spans="1:65" x14ac:dyDescent="0.25">
      <c r="B3" s="7" t="s">
        <v>278</v>
      </c>
      <c r="C3" s="7"/>
      <c r="D3" s="7"/>
      <c r="E3" s="8" t="s">
        <v>279</v>
      </c>
      <c r="G3" s="2" t="s">
        <v>175</v>
      </c>
      <c r="L3" s="8"/>
      <c r="O3" s="2" t="str">
        <f>$A$1&amp;"_6M"</f>
        <v>PLN_6M</v>
      </c>
      <c r="T3" s="8" t="s">
        <v>282</v>
      </c>
      <c r="W3" s="2" t="str">
        <f>$A$1&amp;"_BASIS_6M"</f>
        <v>PLN_BASIS_6M</v>
      </c>
      <c r="AB3" s="2" t="str">
        <f>$A$1&amp;"_BASIS_1M"</f>
        <v>PLN_BASIS_1M</v>
      </c>
      <c r="AG3" s="2" t="str">
        <f>$A$1&amp;"_BASIS_12M"</f>
        <v>PLN_BASIS_12M</v>
      </c>
      <c r="AL3" s="2" t="str">
        <f>'STATIC DATA'!$C$4&amp;'STATIC DATA'!$S$4&amp;"_BASIS"</f>
        <v>USDPLN_BASIS</v>
      </c>
      <c r="AQ3" s="8" t="s">
        <v>282</v>
      </c>
      <c r="AT3" s="2" t="str">
        <f>$A$1&amp;"_"&amp;'STATIC DATA'!S67</f>
        <v>PLN_USD_1D</v>
      </c>
      <c r="AY3" s="8" t="s">
        <v>282</v>
      </c>
      <c r="BC3" s="416"/>
      <c r="BD3" s="416"/>
      <c r="BE3" s="313"/>
      <c r="BF3" s="512"/>
      <c r="BG3" s="316" t="s">
        <v>1386</v>
      </c>
      <c r="BH3" s="316" t="s">
        <v>437</v>
      </c>
    </row>
    <row r="4" spans="1:65" x14ac:dyDescent="0.25">
      <c r="B4" s="9" t="b">
        <f>SUM(C7:C17)=SUM(D7:D17)</f>
        <v>0</v>
      </c>
      <c r="E4" s="10">
        <f>SUM(E7:E17)</f>
        <v>1</v>
      </c>
      <c r="BC4" s="416"/>
      <c r="BD4" s="416"/>
      <c r="BE4" s="313"/>
      <c r="BF4" s="512"/>
      <c r="BG4" s="316" t="s">
        <v>994</v>
      </c>
      <c r="BH4" s="316">
        <f>FX!B3</f>
        <v>1.1763999999999999</v>
      </c>
    </row>
    <row r="5" spans="1:65" x14ac:dyDescent="0.25">
      <c r="BC5" s="416"/>
      <c r="BD5" s="416"/>
      <c r="BE5" s="514"/>
      <c r="BF5" s="515"/>
      <c r="BG5" s="529">
        <v>360</v>
      </c>
      <c r="BH5" s="321"/>
      <c r="BJ5">
        <v>365</v>
      </c>
    </row>
    <row r="6" spans="1:65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  <c r="BC6" s="416"/>
      <c r="BD6" s="440" t="s">
        <v>1445</v>
      </c>
      <c r="BE6" s="313"/>
      <c r="BF6" s="512" t="s">
        <v>1388</v>
      </c>
      <c r="BG6" s="316" t="s">
        <v>1387</v>
      </c>
      <c r="BH6" s="527" t="s">
        <v>1393</v>
      </c>
      <c r="BI6" t="s">
        <v>1401</v>
      </c>
      <c r="BJ6" t="s">
        <v>1402</v>
      </c>
      <c r="BK6" s="445" t="s">
        <v>1397</v>
      </c>
      <c r="BL6" s="445" t="s">
        <v>1460</v>
      </c>
      <c r="BM6" s="392" t="s">
        <v>1403</v>
      </c>
    </row>
    <row r="7" spans="1:65" x14ac:dyDescent="0.25">
      <c r="B7" s="11" t="s">
        <v>257</v>
      </c>
      <c r="C7" s="12">
        <f>COUNTA(G7:G19)</f>
        <v>10</v>
      </c>
      <c r="D7" s="12">
        <f>COUNT(L7:L19)</f>
        <v>9</v>
      </c>
      <c r="E7" s="13">
        <f t="shared" ref="E7:E12" si="0">C7-D7</f>
        <v>1</v>
      </c>
      <c r="G7" s="14" t="s">
        <v>547</v>
      </c>
      <c r="H7" s="15" t="s">
        <v>298</v>
      </c>
      <c r="I7" s="15"/>
      <c r="J7" s="186"/>
      <c r="K7" s="186"/>
      <c r="L7" s="26">
        <f>IF(G7="","",IF(StaticData.Today=TODAY(),_xll.BDP(G7,"LAST_PRICE"),_xll.BDH(G7,"LAST_PRICE",StaticData.Today,StaticData.Today)))</f>
        <v>0.02</v>
      </c>
      <c r="M7" s="17">
        <f>L7/100</f>
        <v>2.0000000000000001E-4</v>
      </c>
      <c r="O7" s="14" t="s">
        <v>548</v>
      </c>
      <c r="P7" s="15" t="s">
        <v>298</v>
      </c>
      <c r="Q7" s="18"/>
      <c r="R7" s="19"/>
      <c r="S7" s="19"/>
      <c r="T7" s="30">
        <f>IF(O7="","",IF(StaticData.Today=TODAY(),_xll.BDP(O7,"LAST_PRICE"),_xll.BDH(O7,"LAST_PRICE",StaticData.Today,StaticData.Today)))</f>
        <v>0.09</v>
      </c>
      <c r="U7" s="337">
        <f>T7/100</f>
        <v>8.9999999999999998E-4</v>
      </c>
      <c r="W7" s="24" t="str">
        <f>"PZFR0AD"&amp;$O$1&amp;" Curncy"</f>
        <v>PZFR0AD TPRA Curncy</v>
      </c>
      <c r="X7" s="25" t="s">
        <v>494</v>
      </c>
      <c r="Y7" s="31"/>
      <c r="Z7" s="435">
        <f>IF(W7="","",IF(StaticData.Today=TODAY(),_xll.BDP(W7,"MID"),_xll.BDH(W7,"MID",StaticData.Today,StaticData.Today)))/100</f>
        <v>2.1099999999999999E-3</v>
      </c>
      <c r="AB7" s="14" t="str">
        <f>"PZBSAV1"&amp;$W$2&amp;" Curncy"</f>
        <v>PZBSAV1 ICPL Curncy</v>
      </c>
      <c r="AC7" s="15" t="s">
        <v>47</v>
      </c>
      <c r="AD7" s="16">
        <f>IF(AB7="","",IF(StaticData.Today=TODAY(),_xll.BDP(AB7,"LAST_PRICE"),_xll.BDH(AB7,"LAST_PRICE",StaticData.Today,StaticData.Today)))</f>
        <v>2.6</v>
      </c>
      <c r="AE7" s="17">
        <f>AD7/10000</f>
        <v>2.6000000000000003E-4</v>
      </c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 t="str">
        <f>"PZBSEC1"&amp;$AL$2&amp;" Curncy"</f>
        <v>PZBSEC1 ICPL Curncy</v>
      </c>
      <c r="AM7" s="15" t="s">
        <v>47</v>
      </c>
      <c r="AN7" s="18"/>
      <c r="AO7" s="19">
        <f>IF(AL7="","",IF(StaticData.Today=TODAY(),_xll.BDP(AL7,"BID"),_xll.BDH(AL7,"BID",StaticData.Today,StaticData.Today)))</f>
        <v>2.25</v>
      </c>
      <c r="AP7" s="19">
        <f>IF(AL7="","",IF(StaticData.Today=TODAY(),_xll.BDP(AL7,"ASK"),_xll.BDH(AL7,"ASK",StaticData.Today,StaticData.Today)))</f>
        <v>12.25</v>
      </c>
      <c r="AQ7" s="179">
        <f>IF(AL7="","",IF(StaticData.Today=TODAY(),_xll.BDP(AL7,"PX_LAST"),_xll.BDH(AL7,"PX_LAST",StaticData.Today,StaticData.Today)))</f>
        <v>7.25</v>
      </c>
      <c r="AR7" s="337">
        <f>AQ7/10000</f>
        <v>7.2499999999999995E-4</v>
      </c>
      <c r="AT7" s="24" t="s">
        <v>1340</v>
      </c>
      <c r="AU7" s="15"/>
      <c r="AV7" s="18"/>
      <c r="AW7" s="19">
        <f>IF(AT7="","",IF(StaticData.Today=TODAY(),_xll.BDP(AT7,"BID"),_xll.BDH(AT7,"BID",StaticData.Today,StaticData.Today)))</f>
        <v>3.7856999999999998</v>
      </c>
      <c r="AX7" s="19">
        <f>IF(AT7="","",IF(StaticData.Today=TODAY(),_xll.BDP(AT7,"ASK"),_xll.BDH(AT7,"ASK",StaticData.Today,StaticData.Today)))</f>
        <v>3.7869000000000002</v>
      </c>
      <c r="AY7" s="434">
        <f>IF(AT7="","",IF(StaticData.Today=TODAY(),_xll.BDP(AT7,"PX_LAST"),_xll.BDH(AT7,"PX_LAST",StaticData.Today,StaticData.Today)))</f>
        <v>3.7841</v>
      </c>
      <c r="AZ7" s="180"/>
      <c r="BC7" s="519" t="s">
        <v>1348</v>
      </c>
      <c r="BD7" s="516">
        <f>BD1</f>
        <v>44085</v>
      </c>
      <c r="BE7" s="313">
        <v>0</v>
      </c>
      <c r="BF7" s="518">
        <f>_xll.meCurveDiscountFactorsForwardStarting($BD$7,BD7,"EURYC","EUR6ML")</f>
        <v>1</v>
      </c>
      <c r="BG7" s="316">
        <f>BF7*BE7</f>
        <v>0</v>
      </c>
      <c r="BH7" s="527">
        <f>BH8</f>
        <v>-12.874999999997044</v>
      </c>
      <c r="BI7" s="316">
        <f>_xll.meCurveDiscountFactorsForwardStarting($BD$7,CZK_DATA!BD7,"PLNYC","WIB6M")</f>
        <v>1</v>
      </c>
      <c r="BJ7" s="316">
        <f>BI7*CZK_DATA!BE7</f>
        <v>0</v>
      </c>
      <c r="BK7" s="530">
        <f>BK8</f>
        <v>-12.921387607083773</v>
      </c>
      <c r="BL7" s="535">
        <f>BL9</f>
        <v>7.25</v>
      </c>
      <c r="BM7" s="392">
        <f>BL7+BK7</f>
        <v>-5.6713876070837728</v>
      </c>
    </row>
    <row r="8" spans="1:65" x14ac:dyDescent="0.25">
      <c r="B8" s="21" t="s">
        <v>281</v>
      </c>
      <c r="C8" s="22">
        <f>COUNTA(O7:O49)</f>
        <v>23</v>
      </c>
      <c r="D8" s="22">
        <f>COUNT(T7:T49)</f>
        <v>23</v>
      </c>
      <c r="E8" s="23">
        <f t="shared" si="0"/>
        <v>0</v>
      </c>
      <c r="G8" s="24" t="str">
        <f>"PZSO1Z"&amp;G$1&amp;" Curncy"</f>
        <v>PZSO1Z BLC3 Curncy</v>
      </c>
      <c r="H8" s="25" t="s">
        <v>305</v>
      </c>
      <c r="I8" s="25"/>
      <c r="J8" s="187" t="str">
        <f>IF(G8="","",IF(StaticData.Today=TODAY(),_xll.BDP(G8,"BID"),_xll.BDH(G8,"BID",StaticData.Today,StaticData.Today)))</f>
        <v>#N/A N/A</v>
      </c>
      <c r="K8" s="187" t="str">
        <f>IF(G8="","",IF(StaticData.Today=TODAY(),_xll.BDP(G8,"ASK"),_xll.BDH(G8,"ASK",StaticData.Today,StaticData.Today)))</f>
        <v>#N/A N/A</v>
      </c>
      <c r="L8" s="26">
        <f>L7</f>
        <v>0.02</v>
      </c>
      <c r="M8" s="27">
        <f t="shared" ref="M8:M14" si="1">L8/100</f>
        <v>2.0000000000000001E-4</v>
      </c>
      <c r="O8" s="24" t="s">
        <v>549</v>
      </c>
      <c r="P8" s="25" t="s">
        <v>300</v>
      </c>
      <c r="Q8" s="28"/>
      <c r="R8" s="29"/>
      <c r="S8" s="29"/>
      <c r="T8" s="30">
        <f>IF(O8="","",IF(StaticData.Today=TODAY(),_xll.BDP(O8,"LAST_PRICE"),_xll.BDH(O8,"LAST_PRICE",StaticData.Today,StaticData.Today)))</f>
        <v>0.2</v>
      </c>
      <c r="U8" s="338">
        <f>T8/100</f>
        <v>2E-3</v>
      </c>
      <c r="W8" s="24" t="str">
        <f>"PZFR0BE"&amp;$O$1&amp;" Curncy"</f>
        <v>PZFR0BE TPRA Curncy</v>
      </c>
      <c r="X8" s="25" t="s">
        <v>495</v>
      </c>
      <c r="Y8" s="31"/>
      <c r="Z8" s="435">
        <f>IF(W8="","",IF(StaticData.Today=TODAY(),_xll.BDP(W8,"MID"),_xll.BDH(W8,"MID",StaticData.Today,StaticData.Today)))/100</f>
        <v>1.9E-3</v>
      </c>
      <c r="AB8" s="24" t="str">
        <f>"PZBSAV2"&amp;$W$2&amp;" Curncy"</f>
        <v>PZBSAV2 ICPL Curncy</v>
      </c>
      <c r="AC8" s="25" t="s">
        <v>308</v>
      </c>
      <c r="AD8" s="26">
        <f>IF(AB8="","",IF(StaticData.Today=TODAY(),_xll.BDP(AB8,"LAST_PRICE"),_xll.BDH(AB8,"LAST_PRICE",StaticData.Today,StaticData.Today)))</f>
        <v>2.4500000000000002</v>
      </c>
      <c r="AE8" s="17">
        <f t="shared" ref="AE8:AE16" si="2">AD8/10000</f>
        <v>2.4499999999999999E-4</v>
      </c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14" t="str">
        <f>"PZBSEC2"&amp;$AL$2&amp;" Curncy"</f>
        <v>PZBSEC2 ICPL Curncy</v>
      </c>
      <c r="AM8" s="25" t="s">
        <v>308</v>
      </c>
      <c r="AN8" s="28"/>
      <c r="AO8" s="29">
        <f>IF(AL8="","",IF(StaticData.Today=TODAY(),_xll.BDP(AL8,"BID"),_xll.BDH(AL8,"BID",StaticData.Today,StaticData.Today)))</f>
        <v>5.75</v>
      </c>
      <c r="AP8" s="29">
        <f>IF(AL8="","",IF(StaticData.Today=TODAY(),_xll.BDP(AL8,"ASK"),_xll.BDH(AL8,"ASK",StaticData.Today,StaticData.Today)))</f>
        <v>15.75</v>
      </c>
      <c r="AQ8" s="177">
        <f>IF(AL8="","",IF(StaticData.Today=TODAY(),_xll.BDP(AL8,"PX_LAST"),_xll.BDH(AL8,"PX_LAST",StaticData.Today,StaticData.Today)))</f>
        <v>10.75</v>
      </c>
      <c r="AR8" s="338">
        <f>AQ8/10000</f>
        <v>1.075E-3</v>
      </c>
      <c r="AT8" s="24" t="str">
        <f t="shared" ref="AT8:AT29" si="3">"PLN"&amp;AU8&amp;$AT$1&amp;" Curncy"</f>
        <v>PLNON ICPL Curncy</v>
      </c>
      <c r="AU8" s="15" t="s">
        <v>298</v>
      </c>
      <c r="AV8" s="18"/>
      <c r="AW8" s="177">
        <f>IF(AT8="","",IF(StaticData.Today=TODAY(),_xll.BDP(AT8,"BID"),_xll.BDH(AT8,"BID",StaticData.Today,StaticData.Today)))</f>
        <v>-0.2</v>
      </c>
      <c r="AX8" s="177">
        <f>IF(AT8="","",IF(StaticData.Today=TODAY(),_xll.BDP(AT8,"ASK"),_xll.BDH(AT8,"ASK",StaticData.Today,StaticData.Today)))</f>
        <v>-0.05</v>
      </c>
      <c r="AY8" s="179">
        <f>IF(AT8="","",IF(StaticData.Today=TODAY(),_xll.BDP(AT8,"PX_LAST"),_xll.BDH(AT8,"PX_LAST",StaticData.Today,StaticData.Today)))</f>
        <v>-0.13</v>
      </c>
      <c r="AZ8" s="180">
        <f t="shared" ref="AZ8:AZ13" si="4">AY8</f>
        <v>-0.13</v>
      </c>
      <c r="BC8" s="519" t="s">
        <v>46</v>
      </c>
      <c r="BD8" s="516">
        <f>_xll.meDateFromTenor($BD$7,BC8,"MF",$BD$6)</f>
        <v>44266</v>
      </c>
      <c r="BE8" s="517">
        <f t="shared" ref="BE8:BE47" si="5">BD8-BD7</f>
        <v>181</v>
      </c>
      <c r="BF8" s="518">
        <f>_xll.meCurveDiscountFactorsForwardStarting($BD$7,BD8,"EURYC","EUR6ML")</f>
        <v>1.0025086528686968</v>
      </c>
      <c r="BG8" s="316">
        <f>BG7+(BE8*BF8)/$BJ$5</f>
        <v>0.49713442786091538</v>
      </c>
      <c r="BH8" s="527">
        <f>_xll.meLWOSwapParSpread(_xll.meLWOXccySwapCreateFromGenerator("TEST","EUR_XCCY","PAy",$BD$7,BD8,1,1,"Float","Float",,,,,"USD",TRUE,"LEG2:FLOAT"),$BG$2:$BH$4)</f>
        <v>-12.874999999997044</v>
      </c>
      <c r="BI8" s="316">
        <f>_xll.meCurveDiscountFactorsForwardStarting($BD$7,BD8,"PLNYC","WIB6M")</f>
        <v>0.99890966033752138</v>
      </c>
      <c r="BJ8" s="316">
        <f>BJ7+(BE8*BI8)/$BJ$5</f>
        <v>0.49534972197559274</v>
      </c>
      <c r="BK8" s="530">
        <f>BH8*BG8/BJ8</f>
        <v>-12.921387607083773</v>
      </c>
      <c r="BL8" s="535"/>
    </row>
    <row r="9" spans="1:65" x14ac:dyDescent="0.25">
      <c r="B9" s="21" t="s">
        <v>511</v>
      </c>
      <c r="C9" s="22">
        <f>COUNTA(O11:O19)*2</f>
        <v>18</v>
      </c>
      <c r="D9" s="22">
        <f>COUNT(R11:S19)</f>
        <v>18</v>
      </c>
      <c r="E9" s="23">
        <f t="shared" si="0"/>
        <v>0</v>
      </c>
      <c r="G9" s="24" t="str">
        <f>"PZSO1"&amp;G1&amp;" Curncy"</f>
        <v>PZSO1 BLC3 Curncy</v>
      </c>
      <c r="H9" s="25" t="s">
        <v>313</v>
      </c>
      <c r="I9" s="25"/>
      <c r="J9" s="187">
        <f>IF(G9="","",IF(StaticData.Today=TODAY(),_xll.BDP(G9,"BID"),_xll.BDH(G9,"BID",StaticData.Today,StaticData.Today)))</f>
        <v>0.02</v>
      </c>
      <c r="K9" s="187">
        <f>IF(G9="","",IF(StaticData.Today=TODAY(),_xll.BDP(G9,"ASK"),_xll.BDH(G9,"ASK",StaticData.Today,StaticData.Today)))</f>
        <v>0.02</v>
      </c>
      <c r="L9" s="26">
        <f>IF(G9="","",IF(StaticData.Today=TODAY(),_xll.BDP(G9,"LAST_PRICE"),_xll.BDH(G9,"LAST_PRICE",StaticData.Today,StaticData.Today)))</f>
        <v>0.02</v>
      </c>
      <c r="M9" s="27">
        <f t="shared" si="1"/>
        <v>2.0000000000000001E-4</v>
      </c>
      <c r="O9" s="24" t="s">
        <v>550</v>
      </c>
      <c r="P9" s="25" t="s">
        <v>49</v>
      </c>
      <c r="Q9" s="28"/>
      <c r="R9" s="29"/>
      <c r="S9" s="29"/>
      <c r="T9" s="30">
        <f>IF(O9="","",IF(StaticData.Today=TODAY(),_xll.BDP(O9,"LAST_PRICE"),_xll.BDH(O9,"LAST_PRICE",StaticData.Today,StaticData.Today)))</f>
        <v>0.23</v>
      </c>
      <c r="U9" s="338">
        <f>T9/100</f>
        <v>2.3E-3</v>
      </c>
      <c r="W9" s="24" t="str">
        <f>"PZFR0CF"&amp;$O$1&amp;" Curncy"</f>
        <v>PZFR0CF TPRA Curncy</v>
      </c>
      <c r="X9" s="25" t="s">
        <v>496</v>
      </c>
      <c r="Y9" s="31"/>
      <c r="Z9" s="435">
        <f>IF(W9="","",IF(StaticData.Today=TODAY(),_xll.BDP(W9,"MID"),_xll.BDH(W9,"MID",StaticData.Today,StaticData.Today)))/100</f>
        <v>1.7499999999999998E-3</v>
      </c>
      <c r="AB9" s="24" t="str">
        <f>"PZBSAV3"&amp;$W$2&amp;" Curncy"</f>
        <v>PZBSAV3 ICPL Curncy</v>
      </c>
      <c r="AC9" s="25" t="s">
        <v>316</v>
      </c>
      <c r="AD9" s="26">
        <f>IF(AB9="","",IF(StaticData.Today=TODAY(),_xll.BDP(AB9,"LAST_PRICE"),_xll.BDH(AB9,"LAST_PRICE",StaticData.Today,StaticData.Today)))</f>
        <v>2.35</v>
      </c>
      <c r="AE9" s="17">
        <f t="shared" si="2"/>
        <v>2.3500000000000002E-4</v>
      </c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14" t="str">
        <f>"PZBSEC3"&amp;$AL$2&amp;" Curncy"</f>
        <v>PZBSEC3 ICPL Curncy</v>
      </c>
      <c r="AM9" s="25" t="s">
        <v>316</v>
      </c>
      <c r="AN9" s="28"/>
      <c r="AO9" s="29">
        <f>IF(AL9="","",IF(StaticData.Today=TODAY(),_xll.BDP(AL9,"BID"),_xll.BDH(AL9,"BID",StaticData.Today,StaticData.Today)))</f>
        <v>8.75</v>
      </c>
      <c r="AP9" s="29">
        <f>IF(AL9="","",IF(StaticData.Today=TODAY(),_xll.BDP(AL9,"ASK"),_xll.BDH(AL9,"ASK",StaticData.Today,StaticData.Today)))</f>
        <v>18.75</v>
      </c>
      <c r="AQ9" s="177">
        <f>IF(AL9="","",IF(StaticData.Today=TODAY(),_xll.BDP(AL9,"PX_LAST"),_xll.BDH(AL9,"PX_LAST",StaticData.Today,StaticData.Today)))</f>
        <v>13.75</v>
      </c>
      <c r="AR9" s="338">
        <f t="shared" ref="AR9:AR11" si="6">AQ9/10000</f>
        <v>1.3749999999999999E-3</v>
      </c>
      <c r="AT9" s="24" t="str">
        <f t="shared" si="3"/>
        <v>PLNTN ICPL Curncy</v>
      </c>
      <c r="AU9" s="25" t="s">
        <v>506</v>
      </c>
      <c r="AV9" s="28"/>
      <c r="AW9" s="177">
        <f>IF(AT9="","",IF(StaticData.Today=TODAY(),_xll.BDP(AT9,"BID"),_xll.BDH(AT9,"BID",StaticData.Today,StaticData.Today)))</f>
        <v>-0.2</v>
      </c>
      <c r="AX9" s="177">
        <f>IF(AT9="","",IF(StaticData.Today=TODAY(),_xll.BDP(AT9,"ASK"),_xll.BDH(AT9,"ASK",StaticData.Today,StaticData.Today)))</f>
        <v>-0.15</v>
      </c>
      <c r="AY9" s="177">
        <f>IF(AT9="","",IF(StaticData.Today=TODAY(),_xll.BDP(AT9,"PX_LAST"),_xll.BDH(AT9,"PX_LAST",StaticData.Today,StaticData.Today)))</f>
        <v>-0.17499999999999999</v>
      </c>
      <c r="AZ9" s="181">
        <f t="shared" si="4"/>
        <v>-0.17499999999999999</v>
      </c>
      <c r="BC9" s="519" t="s">
        <v>322</v>
      </c>
      <c r="BD9" s="516">
        <f>_xll.meDateFromTenor($BD$7,BC9,"MF",$BD$6)</f>
        <v>44452</v>
      </c>
      <c r="BE9" s="517">
        <f t="shared" si="5"/>
        <v>186</v>
      </c>
      <c r="BF9" s="518">
        <f>_xll.meCurveDiscountFactorsForwardStarting($BD$7,BD9,"EURYC","EUR6ML")</f>
        <v>1.0049021623356866</v>
      </c>
      <c r="BG9" s="316">
        <f t="shared" ref="BG9:BG47" si="7">BG8+(BE9*BF9)/$BJ$5</f>
        <v>1.0092215571607448</v>
      </c>
      <c r="BH9" s="527">
        <f>_xll.meLWOSwapParSpread(_xll.meLWOXccySwapCreateFromGenerator("TEST","EUR_XCCY","PAy",$BD$7,BD9,1,1,"Float","Float",,,,,"USD",TRUE,"LEG2:FLOAT"),$BG$2:$BH$4)</f>
        <v>-11.535505471114858</v>
      </c>
      <c r="BI9" s="316">
        <f>_xll.meCurveDiscountFactorsForwardStarting($BD$7,BD9,"PLNYC","WIB6M")</f>
        <v>0.99857062898279836</v>
      </c>
      <c r="BJ9" s="316">
        <f t="shared" ref="BJ9:BJ47" si="8">BJ8+(BE9*BI9)/$BJ$5</f>
        <v>1.0042103712654571</v>
      </c>
      <c r="BK9" s="530">
        <f t="shared" ref="BK9:BK47" si="9">BH9*BG9/BJ9</f>
        <v>-11.593069666791328</v>
      </c>
      <c r="BL9" s="535">
        <f>PLN_DATA!AQ7</f>
        <v>7.25</v>
      </c>
      <c r="BM9" s="392">
        <f>BL9+BK9</f>
        <v>-4.3430696667913278</v>
      </c>
    </row>
    <row r="10" spans="1:65" x14ac:dyDescent="0.25">
      <c r="B10" s="21" t="s">
        <v>283</v>
      </c>
      <c r="C10" s="22">
        <f>COUNTA(W14:W55)</f>
        <v>13</v>
      </c>
      <c r="D10" s="22">
        <f>COUNT(Y14:Y55)</f>
        <v>13</v>
      </c>
      <c r="E10" s="23">
        <f t="shared" si="0"/>
        <v>0</v>
      </c>
      <c r="G10" s="24" t="str">
        <f>"PZSOA"&amp;$G$1&amp;" Curncy"</f>
        <v>PZSOA BLC3 Curncy</v>
      </c>
      <c r="H10" s="25" t="s">
        <v>300</v>
      </c>
      <c r="I10" s="25"/>
      <c r="J10" s="187">
        <f>IF(G10="","",IF(StaticData.Today=TODAY(),_xll.BDP(G10,"BID"),_xll.BDH(G10,"BID",StaticData.Today,StaticData.Today)))</f>
        <v>0.02</v>
      </c>
      <c r="K10" s="187">
        <f>IF(G10="","",IF(StaticData.Today=TODAY(),_xll.BDP(G10,"ASK"),_xll.BDH(G10,"ASK",StaticData.Today,StaticData.Today)))</f>
        <v>0.02</v>
      </c>
      <c r="L10" s="26">
        <f>IF(G10="","",IF(StaticData.Today=TODAY(),_xll.BDP(G10,"LAST_PRICE"),_xll.BDH(G10,"LAST_PRICE",StaticData.Today,StaticData.Today)))</f>
        <v>0.02</v>
      </c>
      <c r="M10" s="27">
        <f t="shared" si="1"/>
        <v>2.0000000000000001E-4</v>
      </c>
      <c r="O10" s="24" t="s">
        <v>551</v>
      </c>
      <c r="P10" s="25" t="s">
        <v>46</v>
      </c>
      <c r="Q10" s="28"/>
      <c r="R10" s="29"/>
      <c r="S10" s="29"/>
      <c r="T10" s="30">
        <f>IF(O10="","",IF(StaticData.Today=TODAY(),_xll.BDP(O10,"LAST_PRICE"),_xll.BDH(O10,"LAST_PRICE",StaticData.Today,StaticData.Today)))</f>
        <v>0.27</v>
      </c>
      <c r="U10" s="338">
        <f>T10/100</f>
        <v>2.7000000000000001E-3</v>
      </c>
      <c r="W10" s="24" t="str">
        <f>"PZFR0DG"&amp;$O$1&amp;" Curncy"</f>
        <v>PZFR0DG TPRA Curncy</v>
      </c>
      <c r="X10" s="25" t="s">
        <v>1068</v>
      </c>
      <c r="Y10" s="31"/>
      <c r="Z10" s="435">
        <f>IF(W10="","",IF(StaticData.Today=TODAY(),_xll.BDP(W10,"MID"),_xll.BDH(W10,"MID",StaticData.Today,StaticData.Today)))/100</f>
        <v>1.7699999999999999E-3</v>
      </c>
      <c r="AB10" s="24" t="str">
        <f>"PZBSAV4"&amp;$W$2&amp;" Curncy"</f>
        <v>PZBSAV4 ICPL Curncy</v>
      </c>
      <c r="AC10" s="25" t="s">
        <v>324</v>
      </c>
      <c r="AD10" s="26">
        <f>IF(AB10="","",IF(StaticData.Today=TODAY(),_xll.BDP(AB10,"LAST_PRICE"),_xll.BDH(AB10,"LAST_PRICE",StaticData.Today,StaticData.Today)))</f>
        <v>2.35</v>
      </c>
      <c r="AE10" s="17">
        <f t="shared" si="2"/>
        <v>2.3500000000000002E-4</v>
      </c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14" t="str">
        <f>"PZBSEC4"&amp;$AL$2&amp;" Curncy"</f>
        <v>PZBSEC4 ICPL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12.25</v>
      </c>
      <c r="AP10" s="29">
        <f>IF(AL10="","",IF(StaticData.Today=TODAY(),_xll.BDP(AL10,"ASK"),_xll.BDH(AL10,"ASK",StaticData.Today,StaticData.Today)))</f>
        <v>22.25</v>
      </c>
      <c r="AQ10" s="177">
        <f>IF(AL10="","",IF(StaticData.Today=TODAY(),_xll.BDP(AL10,"PX_LAST"),_xll.BDH(AL10,"PX_LAST",StaticData.Today,StaticData.Today)))</f>
        <v>17.25</v>
      </c>
      <c r="AR10" s="338">
        <f t="shared" si="6"/>
        <v>1.725E-3</v>
      </c>
      <c r="AT10" s="24" t="str">
        <f t="shared" si="3"/>
        <v>PLNSN ICPL Curncy</v>
      </c>
      <c r="AU10" s="25" t="s">
        <v>1483</v>
      </c>
      <c r="AV10" s="28"/>
      <c r="AW10" s="177">
        <f>IF(AT10="","",IF(StaticData.Today=TODAY(),_xll.BDP(AT10,"BID"),_xll.BDH(AT10,"BID",StaticData.Today,StaticData.Today)))</f>
        <v>-0.6</v>
      </c>
      <c r="AX10" s="177">
        <f>IF(AT10="","",IF(StaticData.Today=TODAY(),_xll.BDP(AT10,"ASK"),_xll.BDH(AT10,"ASK",StaticData.Today,StaticData.Today)))</f>
        <v>-0.4</v>
      </c>
      <c r="AY10" s="177">
        <f>IF(AT10="","",IF(StaticData.Today=TODAY(),_xll.BDP(AT10,"PX_LAST"),_xll.BDH(AT10,"PX_LAST",StaticData.Today,StaticData.Today)))</f>
        <v>-0.5</v>
      </c>
      <c r="AZ10" s="181">
        <f t="shared" si="4"/>
        <v>-0.5</v>
      </c>
      <c r="BC10" s="519" t="s">
        <v>501</v>
      </c>
      <c r="BD10" s="516">
        <f>_xll.meDateFromTenor($BD$7,BC10,"MF",$BD$6)</f>
        <v>44631</v>
      </c>
      <c r="BE10" s="517">
        <f t="shared" si="5"/>
        <v>179</v>
      </c>
      <c r="BF10" s="518">
        <f>_xll.meCurveDiscountFactorsForwardStarting($BD$7,BD10,"EURYC","EUR6ML")</f>
        <v>1.0072467912107272</v>
      </c>
      <c r="BG10" s="316">
        <f t="shared" si="7"/>
        <v>1.503186421891485</v>
      </c>
      <c r="BH10" s="527">
        <f>_xll.meLWOSwapParSpread(_xll.meLWOXccySwapCreateFromGenerator("TEST","EUR_XCCY","PAy",$BD$7,BD10,1,1,"Float","Float",,,,,"USD",TRUE,"LEG2:FLOAT"),$BG$2:$BH$4)</f>
        <v>-12.000000000024459</v>
      </c>
      <c r="BI10" s="316">
        <f>_xll.meCurveDiscountFactorsForwardStarting($BD$7,BD10,"PLNYC","WIB6M")</f>
        <v>0.99730107767247467</v>
      </c>
      <c r="BJ10" s="316">
        <f t="shared" si="8"/>
        <v>1.4932977490829171</v>
      </c>
      <c r="BK10" s="530">
        <f t="shared" si="9"/>
        <v>-12.079464442916661</v>
      </c>
      <c r="BL10" s="530"/>
    </row>
    <row r="11" spans="1:65" x14ac:dyDescent="0.25">
      <c r="B11" s="21" t="s">
        <v>284</v>
      </c>
      <c r="C11" s="22">
        <f>COUNTA(AB7:AB48)</f>
        <v>10</v>
      </c>
      <c r="D11" s="22">
        <f>COUNT(AD7:AD48)</f>
        <v>10</v>
      </c>
      <c r="E11" s="23">
        <f t="shared" si="0"/>
        <v>0</v>
      </c>
      <c r="G11" s="24" t="str">
        <f>"PZSOB"&amp;$G$1&amp;" Curncy"</f>
        <v>PZSOB BLC3 Curncy</v>
      </c>
      <c r="H11" s="25" t="s">
        <v>335</v>
      </c>
      <c r="I11" s="25"/>
      <c r="J11" s="187">
        <f>IF(G11="","",IF(StaticData.Today=TODAY(),_xll.BDP(G11,"BID"),_xll.BDH(G11,"BID",StaticData.Today,StaticData.Today)))</f>
        <v>0.02</v>
      </c>
      <c r="K11" s="187">
        <f>IF(G11="","",IF(StaticData.Today=TODAY(),_xll.BDP(G11,"ASK"),_xll.BDH(G11,"ASK",StaticData.Today,StaticData.Today)))</f>
        <v>0.02</v>
      </c>
      <c r="L11" s="26">
        <f>IF(G11="","",IF(StaticData.Today=TODAY(),_xll.BDP(G11,"LAST_PRICE"),_xll.BDH(G11,"LAST_PRICE",StaticData.Today,StaticData.Today)))</f>
        <v>0.02</v>
      </c>
      <c r="M11" s="27">
        <f t="shared" si="1"/>
        <v>2.0000000000000001E-4</v>
      </c>
      <c r="O11" s="24" t="str">
        <f>"PZFR0AG"&amp;$O$1&amp;" Curncy"</f>
        <v>PZFR0AG TPRA Curncy</v>
      </c>
      <c r="P11" s="25" t="s">
        <v>1070</v>
      </c>
      <c r="Q11" s="31"/>
      <c r="R11" s="182">
        <f>IF(O11="","",IF(StaticData.Today=TODAY(),_xll.BDP(O11,"BID"),_xll.BDH(O11,"BID",StaticData.Today,StaticData.Today)))</f>
        <v>0.20200000000000001</v>
      </c>
      <c r="S11" s="182">
        <f>IF(O11="","",IF(StaticData.Today=TODAY(),_xll.BDP(O11,"ASK"),_xll.BDH(O11,"ASK",StaticData.Today,StaticData.Today)))</f>
        <v>0.26200000000000001</v>
      </c>
      <c r="T11" s="30">
        <f>IF(O11="","",IF(StaticData.Today=TODAY(),_xll.BDP(O11,"LAST_PRICE"),_xll.BDH(O11,"LAST_PRICE",StaticData.Today,StaticData.Today)))</f>
        <v>0.23200000000000001</v>
      </c>
      <c r="U11" s="338">
        <f>T11/100</f>
        <v>2.32E-3</v>
      </c>
      <c r="W11" s="24" t="str">
        <f>"PZFR0EH"&amp;$O$1&amp;" Curncy"</f>
        <v>PZFR0EH TPRA Curncy</v>
      </c>
      <c r="X11" s="25" t="s">
        <v>1069</v>
      </c>
      <c r="Y11" s="31"/>
      <c r="Z11" s="435">
        <f>IF(W11="","",IF(StaticData.Today=TODAY(),_xll.BDP(W11,"MID"),_xll.BDH(W11,"MID",StaticData.Today,StaticData.Today)))/100</f>
        <v>1.7499999999999998E-3</v>
      </c>
      <c r="AB11" s="24" t="str">
        <f>"PZBSAV5"&amp;$W$2&amp;" Curncy"</f>
        <v>PZBSAV5 ICPL Curncy</v>
      </c>
      <c r="AC11" s="25" t="s">
        <v>331</v>
      </c>
      <c r="AD11" s="26">
        <f>IF(AB11="","",IF(StaticData.Today=TODAY(),_xll.BDP(AB11,"LAST_PRICE"),_xll.BDH(AB11,"LAST_PRICE",StaticData.Today,StaticData.Today)))</f>
        <v>2.35</v>
      </c>
      <c r="AE11" s="17">
        <f t="shared" si="2"/>
        <v>2.3500000000000002E-4</v>
      </c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14" t="str">
        <f>"PZBSEC5"&amp;$AL$2&amp;" Curncy"</f>
        <v>PZBSEC5 ICPL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15</v>
      </c>
      <c r="AP11" s="29">
        <f>IF(AL11="","",IF(StaticData.Today=TODAY(),_xll.BDP(AL11,"ASK"),_xll.BDH(AL11,"ASK",StaticData.Today,StaticData.Today)))</f>
        <v>25</v>
      </c>
      <c r="AQ11" s="177">
        <f>IF(AL11="","",IF(StaticData.Today=TODAY(),_xll.BDP(AL11,"LAST_PRICE"),_xll.BDH(AL11,"LAST_PRICE",StaticData.Today,StaticData.Today)))</f>
        <v>20</v>
      </c>
      <c r="AR11" s="338">
        <f t="shared" si="6"/>
        <v>2E-3</v>
      </c>
      <c r="AT11" s="24" t="str">
        <f t="shared" si="3"/>
        <v>PLN1W ICPL Curncy</v>
      </c>
      <c r="AU11" s="25" t="s">
        <v>305</v>
      </c>
      <c r="AV11" s="28"/>
      <c r="AW11" s="177">
        <f>IF(AT11="","",IF(StaticData.Today=TODAY(),_xll.BDP(AT11,"BID"),_xll.BDH(AT11,"BID",StaticData.Today,StaticData.Today)))</f>
        <v>-1.6</v>
      </c>
      <c r="AX11" s="177">
        <f>IF(AT11="","",IF(StaticData.Today=TODAY(),_xll.BDP(AT11,"ASK"),_xll.BDH(AT11,"ASK",StaticData.Today,StaticData.Today)))</f>
        <v>-1.2</v>
      </c>
      <c r="AY11" s="177">
        <f>IF(AT11="","",IF(StaticData.Today=TODAY(),_xll.BDP(AT11,"PX_LAST"),_xll.BDH(AT11,"PX_LAST",StaticData.Today,StaticData.Today)))</f>
        <v>-1.4</v>
      </c>
      <c r="AZ11" s="181">
        <f t="shared" si="4"/>
        <v>-1.4</v>
      </c>
      <c r="BC11" s="552" t="s">
        <v>1349</v>
      </c>
      <c r="BD11" s="553">
        <f>_xll.meDateFromTenor($BD$7,BC11,"MF",$BD$6)</f>
        <v>44816</v>
      </c>
      <c r="BE11" s="554">
        <f t="shared" si="5"/>
        <v>185</v>
      </c>
      <c r="BF11" s="555">
        <f>_xll.meCurveDiscountFactorsForwardStarting($BD$7,BD11,"EURYC","EUR6ML")</f>
        <v>1.0095463412067018</v>
      </c>
      <c r="BG11" s="316">
        <f t="shared" si="7"/>
        <v>2.0148742934620052</v>
      </c>
      <c r="BH11" s="527">
        <f>_xll.meLWOSwapParSpread(_xll.meLWOXccySwapCreateFromGenerator("TEST","EUR_XCCY","PAy",$BD$7,BD11,1,1,"Float","Float",,,,,"USD",TRUE,"LEG2:FLOAT"),$BG$2:$BH$4)</f>
        <v>-11.899269076252644</v>
      </c>
      <c r="BI11" s="316">
        <f>_xll.meCurveDiscountFactorsForwardStarting($BD$7,BD11,"PLNYC","WIB6M")</f>
        <v>0.99472883068637485</v>
      </c>
      <c r="BJ11" s="316">
        <f t="shared" si="8"/>
        <v>1.9974753755951893</v>
      </c>
      <c r="BK11" s="530">
        <f t="shared" si="9"/>
        <v>-12.002917115103271</v>
      </c>
      <c r="BL11" s="560">
        <f>PLN_DATA!AQ8</f>
        <v>10.75</v>
      </c>
      <c r="BM11" s="562">
        <f>BL11+BK11</f>
        <v>-1.252917115103271</v>
      </c>
    </row>
    <row r="12" spans="1:65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"PZSOC"&amp;$G$1&amp;" Curncy"</f>
        <v>PZSOC BLC3 Curncy</v>
      </c>
      <c r="H12" s="25" t="s">
        <v>49</v>
      </c>
      <c r="I12" s="25"/>
      <c r="J12" s="187">
        <f>IF(G12="","",IF(StaticData.Today=TODAY(),_xll.BDP(G12,"BID"),_xll.BDH(G12,"BID",StaticData.Today,StaticData.Today)))</f>
        <v>0.02</v>
      </c>
      <c r="K12" s="187">
        <f>IF(G12="","",IF(StaticData.Today=TODAY(),_xll.BDP(G12,"ASK"),_xll.BDH(G12,"ASK",StaticData.Today,StaticData.Today)))</f>
        <v>0.02</v>
      </c>
      <c r="L12" s="26">
        <f>IF(G12="","",IF(StaticData.Today=TODAY(),_xll.BDP(G12,"LAST_PRICE"),_xll.BDH(G12,"LAST_PRICE",StaticData.Today,StaticData.Today)))</f>
        <v>0.02</v>
      </c>
      <c r="M12" s="27">
        <f t="shared" si="1"/>
        <v>2.0000000000000001E-4</v>
      </c>
      <c r="O12" s="24" t="str">
        <f>"PZFR0BH"&amp;$O$1&amp;" Curncy"</f>
        <v>PZFR0BH TPRA Curncy</v>
      </c>
      <c r="P12" s="25" t="s">
        <v>1071</v>
      </c>
      <c r="Q12" s="31"/>
      <c r="R12" s="182">
        <f>IF(O12="","",IF(StaticData.Today=TODAY(),_xll.BDP(O12,"BID"),_xll.BDH(O12,"BID",StaticData.Today,StaticData.Today)))</f>
        <v>0.19</v>
      </c>
      <c r="S12" s="182">
        <f>IF(O12="","",IF(StaticData.Today=TODAY(),_xll.BDP(O12,"ASK"),_xll.BDH(O12,"ASK",StaticData.Today,StaticData.Today)))</f>
        <v>0.25</v>
      </c>
      <c r="T12" s="30">
        <f>IF(O12="","",IF(StaticData.Today=TODAY(),_xll.BDP(O12,"LAST_PRICE"),_xll.BDH(O12,"LAST_PRICE",StaticData.Today,StaticData.Today)))</f>
        <v>0.22</v>
      </c>
      <c r="U12" s="338">
        <f t="shared" ref="U12:U29" si="10">T12/100</f>
        <v>2.2000000000000001E-3</v>
      </c>
      <c r="W12" s="24" t="str">
        <f>"PZFR0FI"&amp;$O$1&amp;" Curncy"</f>
        <v>PZFR0FI TPRA Curncy</v>
      </c>
      <c r="X12" s="25" t="s">
        <v>497</v>
      </c>
      <c r="Y12" s="31"/>
      <c r="Z12" s="435">
        <f>IF(W12="","",IF(StaticData.Today=TODAY(),_xll.BDP(W12,"MID"),_xll.BDH(W12,"MID",StaticData.Today,StaticData.Today)))/100</f>
        <v>1.7499999999999998E-3</v>
      </c>
      <c r="AB12" s="24" t="str">
        <f>"PZBSAV6"&amp;$W$2&amp;" Curncy"</f>
        <v>PZBSAV6 ICPL Curncy</v>
      </c>
      <c r="AC12" s="25" t="s">
        <v>339</v>
      </c>
      <c r="AD12" s="26">
        <f>IF(AB12="","",IF(StaticData.Today=TODAY(),_xll.BDP(AB12,"LAST_PRICE"),_xll.BDH(AB12,"LAST_PRICE",StaticData.Today,StaticData.Today)))</f>
        <v>2.35</v>
      </c>
      <c r="AE12" s="17">
        <f t="shared" si="2"/>
        <v>2.3500000000000002E-4</v>
      </c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14" t="str">
        <f>"PZBSEC6"&amp;$AL$2&amp;" Curncy"</f>
        <v>PZBSEC6 ICPL Curncy</v>
      </c>
      <c r="AM12" s="25" t="s">
        <v>339</v>
      </c>
      <c r="AN12" s="31"/>
      <c r="AO12" s="29">
        <f>IF(AL12="","",IF(StaticData.Today=TODAY(),_xll.BDP(AL12,"BID"),_xll.BDH(AL12,"BID",StaticData.Today,StaticData.Today)))</f>
        <v>16.5</v>
      </c>
      <c r="AP12" s="29">
        <f>IF(AL12="","",IF(StaticData.Today=TODAY(),_xll.BDP(AL12,"ASK"),_xll.BDH(AL12,"ASK",StaticData.Today,StaticData.Today)))</f>
        <v>26.5</v>
      </c>
      <c r="AQ12" s="177">
        <f>IF(AL12="","",IF(StaticData.Today=TODAY(),_xll.BDP(AL12,"LAST_PRICE"),_xll.BDH(AL12,"LAST_PRICE",StaticData.Today,StaticData.Today)))</f>
        <v>21.5</v>
      </c>
      <c r="AR12" s="338">
        <f t="shared" ref="AR12:AR19" si="11">AQ12/10000</f>
        <v>2.15E-3</v>
      </c>
      <c r="AT12" s="24" t="str">
        <f t="shared" si="3"/>
        <v>PLN2W ICPL Curncy</v>
      </c>
      <c r="AU12" s="25" t="s">
        <v>313</v>
      </c>
      <c r="AV12" s="28"/>
      <c r="AW12" s="177">
        <f>IF(AT12="","",IF(StaticData.Today=TODAY(),_xll.BDP(AT12,"BID"),_xll.BDH(AT12,"BID",StaticData.Today,StaticData.Today)))</f>
        <v>-3</v>
      </c>
      <c r="AX12" s="177">
        <f>IF(AT12="","",IF(StaticData.Today=TODAY(),_xll.BDP(AT12,"ASK"),_xll.BDH(AT12,"ASK",StaticData.Today,StaticData.Today)))</f>
        <v>-2.5</v>
      </c>
      <c r="AY12" s="177">
        <f>IF(AT12="","",IF(StaticData.Today=TODAY(),_xll.BDP(AT12,"PX_LAST"),_xll.BDH(AT12,"PX_LAST",StaticData.Today,StaticData.Today)))</f>
        <v>-2.75</v>
      </c>
      <c r="AZ12" s="181">
        <f t="shared" si="4"/>
        <v>-2.75</v>
      </c>
      <c r="BC12" s="390" t="s">
        <v>1350</v>
      </c>
      <c r="BD12" s="516">
        <f>_xll.meDateFromTenor($BD$7,BC12,"MF",$BD$6)</f>
        <v>44998</v>
      </c>
      <c r="BE12" s="517">
        <f t="shared" si="5"/>
        <v>182</v>
      </c>
      <c r="BF12" s="518">
        <f>_xll.meCurveDiscountFactorsForwardStarting($BD$7,BD12,"EURYC","EUR6ML")</f>
        <v>1.0118916715674875</v>
      </c>
      <c r="BG12" s="316">
        <f t="shared" si="7"/>
        <v>2.519433976270999</v>
      </c>
      <c r="BH12" s="527">
        <f>_xll.meLWOSwapParSpread(_xll.meLWOXccySwapCreateFromGenerator("TEST","EUR_XCCY","PAy",$BD$7,BD12,1,1,"Float","Float",,,,,"USD",TRUE,"LEG2:FLOAT"),$BG$2:$BH$4)</f>
        <v>-12.66495057442733</v>
      </c>
      <c r="BI12" s="316">
        <f>_xll.meCurveDiscountFactorsForwardStarting($BD$7,BD12,"PLNYC","WIB6M")</f>
        <v>0.9922789805352632</v>
      </c>
      <c r="BJ12" s="316">
        <f t="shared" si="8"/>
        <v>2.4922555795881149</v>
      </c>
      <c r="BK12" s="530">
        <f t="shared" si="9"/>
        <v>-12.803063636947904</v>
      </c>
      <c r="BL12" s="530"/>
    </row>
    <row r="13" spans="1:65" x14ac:dyDescent="0.25">
      <c r="B13" s="21"/>
      <c r="C13" s="22"/>
      <c r="D13" s="22"/>
      <c r="E13" s="22"/>
      <c r="G13" s="24" t="str">
        <f>"PZSOF"&amp;$G$1&amp;" Curncy"</f>
        <v>PZSOF BLC3 Curncy</v>
      </c>
      <c r="H13" s="25" t="s">
        <v>46</v>
      </c>
      <c r="I13" s="25"/>
      <c r="J13" s="187">
        <f>IF(G13="","",IF(StaticData.Today=TODAY(),_xll.BDP(G13,"BID"),_xll.BDH(G13,"BID",StaticData.Today,StaticData.Today)))</f>
        <v>0.02</v>
      </c>
      <c r="K13" s="187">
        <f>IF(G13="","",IF(StaticData.Today=TODAY(),_xll.BDP(G13,"ASK"),_xll.BDH(G13,"ASK",StaticData.Today,StaticData.Today)))</f>
        <v>0.02</v>
      </c>
      <c r="L13" s="26">
        <f>IF(G13="","",IF(StaticData.Today=TODAY(),_xll.BDP(G13,"LAST_PRICE"),_xll.BDH(G13,"LAST_PRICE",StaticData.Today,StaticData.Today)))</f>
        <v>0.02</v>
      </c>
      <c r="M13" s="27">
        <f t="shared" si="1"/>
        <v>2.0000000000000001E-4</v>
      </c>
      <c r="O13" s="24" t="str">
        <f>"PZFR0CI"&amp;$O$1&amp;" Curncy"</f>
        <v>PZFR0CI TPRA Curncy</v>
      </c>
      <c r="P13" s="25" t="s">
        <v>1072</v>
      </c>
      <c r="Q13" s="31"/>
      <c r="R13" s="182">
        <f>IF(O13="","",IF(StaticData.Today=TODAY(),_xll.BDP(O13,"BID"),_xll.BDH(O13,"BID",StaticData.Today,StaticData.Today)))</f>
        <v>0.18</v>
      </c>
      <c r="S13" s="182">
        <f>IF(O13="","",IF(StaticData.Today=TODAY(),_xll.BDP(O13,"ASK"),_xll.BDH(O13,"ASK",StaticData.Today,StaticData.Today)))</f>
        <v>0.24</v>
      </c>
      <c r="T13" s="30">
        <f>IF(O13="","",IF(StaticData.Today=TODAY(),_xll.BDP(O13,"LAST_PRICE"),_xll.BDH(O13,"LAST_PRICE",StaticData.Today,StaticData.Today)))</f>
        <v>0.21</v>
      </c>
      <c r="U13" s="338">
        <f t="shared" si="10"/>
        <v>2.0999999999999999E-3</v>
      </c>
      <c r="W13" s="24" t="str">
        <f>"PZFR0I1"&amp;$O$1&amp;" Curncy"</f>
        <v>PZFR0I1 TPRA Curncy</v>
      </c>
      <c r="X13" s="25" t="s">
        <v>498</v>
      </c>
      <c r="Y13" s="31"/>
      <c r="Z13" s="435">
        <f>IF(W13="","",IF(StaticData.Today=TODAY(),_xll.BDP(W13,"MID"),_xll.BDH(W13,"MID",StaticData.Today,StaticData.Today)))/100</f>
        <v>1.8500000000000001E-3</v>
      </c>
      <c r="AB13" s="24" t="str">
        <f>"PZBSAV7"&amp;$W$2&amp;" Curncy"</f>
        <v>PZBSAV7 ICPL Curncy</v>
      </c>
      <c r="AC13" s="25" t="s">
        <v>342</v>
      </c>
      <c r="AD13" s="26">
        <f>IF(AB13="","",IF(StaticData.Today=TODAY(),_xll.BDP(AB13,"LAST_PRICE"),_xll.BDH(AB13,"LAST_PRICE",StaticData.Today,StaticData.Today)))</f>
        <v>2.35</v>
      </c>
      <c r="AE13" s="17">
        <f t="shared" si="2"/>
        <v>2.3500000000000002E-4</v>
      </c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14" t="str">
        <f>"PZBSEC7"&amp;$AL$2&amp;" Curncy"</f>
        <v>PZBSEC7 ICPL Curncy</v>
      </c>
      <c r="AM13" s="25" t="s">
        <v>342</v>
      </c>
      <c r="AN13" s="31"/>
      <c r="AO13" s="29">
        <f>IF(AL13="","",IF(StaticData.Today=TODAY(),_xll.BDP(AL13,"BID"),_xll.BDH(AL13,"BID",StaticData.Today,StaticData.Today)))</f>
        <v>18.25</v>
      </c>
      <c r="AP13" s="29">
        <f>IF(AL13="","",IF(StaticData.Today=TODAY(),_xll.BDP(AL13,"ASK"),_xll.BDH(AL13,"ASK",StaticData.Today,StaticData.Today)))</f>
        <v>28.25</v>
      </c>
      <c r="AQ13" s="177">
        <f>IF(AL13="","",IF(StaticData.Today=TODAY(),_xll.BDP(AL13,"LAST_PRICE"),_xll.BDH(AL13,"LAST_PRICE",StaticData.Today,StaticData.Today)))</f>
        <v>23.25</v>
      </c>
      <c r="AR13" s="338">
        <f t="shared" si="11"/>
        <v>2.3249999999999998E-3</v>
      </c>
      <c r="AT13" s="24" t="str">
        <f t="shared" si="3"/>
        <v>PLN1M ICPL Curncy</v>
      </c>
      <c r="AU13" s="25" t="s">
        <v>300</v>
      </c>
      <c r="AV13" s="31"/>
      <c r="AW13" s="177">
        <f>IF(AT13="","",IF(StaticData.Today=TODAY(),_xll.BDP(AT13,"BID"),_xll.BDH(AT13,"BID",StaticData.Today,StaticData.Today)))</f>
        <v>-8.75</v>
      </c>
      <c r="AX13" s="177">
        <f>IF(AT13="","",IF(StaticData.Today=TODAY(),_xll.BDP(AT13,"ASK"),_xll.BDH(AT13,"ASK",StaticData.Today,StaticData.Today)))</f>
        <v>-8</v>
      </c>
      <c r="AY13" s="177">
        <f>IF(AT13="","",IF(StaticData.Today=TODAY(),_xll.BDP(AT13,"LAST_PRICE"),_xll.BDH(AT13,"LAST_PRICE",StaticData.Today,StaticData.Today)))</f>
        <v>-8.375</v>
      </c>
      <c r="AZ13" s="181">
        <f t="shared" si="4"/>
        <v>-8.375</v>
      </c>
      <c r="BC13" s="390" t="s">
        <v>1351</v>
      </c>
      <c r="BD13" s="516">
        <f>_xll.meDateFromTenor($BD$7,BC13,"MF",$BD$6)</f>
        <v>45180</v>
      </c>
      <c r="BE13" s="517">
        <f t="shared" si="5"/>
        <v>182</v>
      </c>
      <c r="BF13" s="518">
        <f>_xll.meCurveDiscountFactorsForwardStarting($BD$7,BD13,"EURYC","EUR6ML")</f>
        <v>1.0141812205868401</v>
      </c>
      <c r="BG13" s="316">
        <f t="shared" si="7"/>
        <v>3.0251352972211496</v>
      </c>
      <c r="BH13" s="527">
        <f>_xll.meLWOSwapParSpread(_xll.meLWOXccySwapCreateFromGenerator("TEST","EUR_XCCY","PAy",$BD$7,BD13,1,1,"Float","Float",,,,,"USD",TRUE,"LEG2:FLOAT"),$BG$2:$BH$4)</f>
        <v>-12.750000000101478</v>
      </c>
      <c r="BI13" s="316">
        <f>_xll.meCurveDiscountFactorsForwardStarting($BD$7,BD13,"PLNYC","WIB6M")</f>
        <v>0.98944243606250837</v>
      </c>
      <c r="BJ13" s="316">
        <f t="shared" si="8"/>
        <v>2.9856213970220233</v>
      </c>
      <c r="BK13" s="530">
        <f t="shared" si="9"/>
        <v>-12.918742838039798</v>
      </c>
      <c r="BL13" s="535">
        <f>PLN_DATA!AQ9</f>
        <v>13.75</v>
      </c>
      <c r="BM13" s="392">
        <f>BL13+BK13</f>
        <v>0.8312571619602025</v>
      </c>
    </row>
    <row r="14" spans="1:65" x14ac:dyDescent="0.25">
      <c r="B14" s="21"/>
      <c r="C14" s="22"/>
      <c r="D14" s="22"/>
      <c r="E14" s="22"/>
      <c r="G14" s="24" t="str">
        <f>"PZSOI"&amp;$G$1&amp;" Curncy"</f>
        <v>PZSOI BLC3 Curncy</v>
      </c>
      <c r="H14" s="25" t="s">
        <v>376</v>
      </c>
      <c r="I14" s="25"/>
      <c r="J14" s="187">
        <f>IF(G14="","",IF(StaticData.Today=TODAY(),_xll.BDP(G14,"BID"),_xll.BDH(G14,"BID",StaticData.Today,StaticData.Today)))</f>
        <v>0.02</v>
      </c>
      <c r="K14" s="187">
        <f>IF(G14="","",IF(StaticData.Today=TODAY(),_xll.BDP(G14,"ASK"),_xll.BDH(G14,"ASK",StaticData.Today,StaticData.Today)))</f>
        <v>0.02</v>
      </c>
      <c r="L14" s="26">
        <f>IF(G14="","",IF(StaticData.Today=TODAY(),_xll.BDP(G14,"LAST_PRICE"),_xll.BDH(G14,"LAST_PRICE",StaticData.Today,StaticData.Today)))</f>
        <v>0.02</v>
      </c>
      <c r="M14" s="27">
        <f t="shared" si="1"/>
        <v>2.0000000000000001E-4</v>
      </c>
      <c r="O14" s="24" t="str">
        <f>"PZFR0DJ"&amp;$O$1&amp;" Curncy"</f>
        <v>PZFR0DJ TPRA Curncy</v>
      </c>
      <c r="P14" s="25" t="s">
        <v>1073</v>
      </c>
      <c r="Q14" s="31"/>
      <c r="R14" s="182">
        <f>IF(O14="","",IF(StaticData.Today=TODAY(),_xll.BDP(O14,"BID"),_xll.BDH(O14,"BID",StaticData.Today,StaticData.Today)))</f>
        <v>0.184</v>
      </c>
      <c r="S14" s="182">
        <f>IF(O14="","",IF(StaticData.Today=TODAY(),_xll.BDP(O14,"ASK"),_xll.BDH(O14,"ASK",StaticData.Today,StaticData.Today)))</f>
        <v>0.24399999999999999</v>
      </c>
      <c r="T14" s="30">
        <f>IF(O14="","",IF(StaticData.Today=TODAY(),_xll.BDP(O14,"LAST_PRICE"),_xll.BDH(O14,"LAST_PRICE",StaticData.Today,StaticData.Today)))</f>
        <v>0.214</v>
      </c>
      <c r="U14" s="338">
        <f t="shared" si="10"/>
        <v>2.14E-3</v>
      </c>
      <c r="W14" s="14" t="str">
        <f>"PZBSV1"&amp;$W$2&amp;" Curncy"</f>
        <v>PZBSV1 ICPL Curncy</v>
      </c>
      <c r="X14" s="15" t="s">
        <v>47</v>
      </c>
      <c r="Y14" s="190">
        <f>IF(W14="","",IF(StaticData.Today=TODAY(),_xll.BDP(W14,"LAST_PRICE"),_xll.BDH(W14,"LAST_PRICE",StaticData.Today,StaticData.Today)))</f>
        <v>5</v>
      </c>
      <c r="Z14" s="17">
        <f>Y14/10000</f>
        <v>5.0000000000000001E-4</v>
      </c>
      <c r="AB14" s="24" t="str">
        <f>"PZBSAV8"&amp;$W$2&amp;" Curncy"</f>
        <v>PZBSAV8 ICPL Curncy</v>
      </c>
      <c r="AC14" s="25" t="s">
        <v>355</v>
      </c>
      <c r="AD14" s="26">
        <f>IF(AB14="","",IF(StaticData.Today=TODAY(),_xll.BDP(AB14,"LAST_PRICE"),_xll.BDH(AB14,"LAST_PRICE",StaticData.Today,StaticData.Today)))</f>
        <v>2.4</v>
      </c>
      <c r="AE14" s="17">
        <f t="shared" si="2"/>
        <v>2.3999999999999998E-4</v>
      </c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14" t="str">
        <f>"PZBSEC8"&amp;$AL$2&amp;" Curncy"</f>
        <v>PZBSEC8 ICPL Curncy</v>
      </c>
      <c r="AM14" s="25" t="s">
        <v>355</v>
      </c>
      <c r="AN14" s="31"/>
      <c r="AO14" s="29">
        <f>IF(AL14="","",IF(StaticData.Today=TODAY(),_xll.BDP(AL14,"BID"),_xll.BDH(AL14,"BID",StaticData.Today,StaticData.Today)))</f>
        <v>19.75</v>
      </c>
      <c r="AP14" s="29">
        <f>IF(AL14="","",IF(StaticData.Today=TODAY(),_xll.BDP(AL14,"ASK"),_xll.BDH(AL14,"ASK",StaticData.Today,StaticData.Today)))</f>
        <v>29.75</v>
      </c>
      <c r="AQ14" s="177">
        <f>IF(AL14="","",IF(StaticData.Today=TODAY(),_xll.BDP(AL14,"LAST_PRICE"),_xll.BDH(AL14,"LAST_PRICE",StaticData.Today,StaticData.Today)))</f>
        <v>24.75</v>
      </c>
      <c r="AR14" s="338">
        <f t="shared" si="11"/>
        <v>2.4750000000000002E-3</v>
      </c>
      <c r="AT14" s="24" t="str">
        <f t="shared" si="3"/>
        <v>PLN2M ICPL Curncy</v>
      </c>
      <c r="AU14" s="25" t="s">
        <v>335</v>
      </c>
      <c r="AV14" s="31"/>
      <c r="AW14" s="177">
        <f>IF(AT14="","",IF(StaticData.Today=TODAY(),_xll.BDP(AT14,"BID"),_xll.BDH(AT14,"BID",StaticData.Today,StaticData.Today)))</f>
        <v>-14.5</v>
      </c>
      <c r="AX14" s="177">
        <f>IF(AT14="","",IF(StaticData.Today=TODAY(),_xll.BDP(AT14,"ASK"),_xll.BDH(AT14,"ASK",StaticData.Today,StaticData.Today)))</f>
        <v>-12.5</v>
      </c>
      <c r="AY14" s="177">
        <f>IF(AT14="","",IF(StaticData.Today=TODAY(),_xll.BDP(AT14,"LAST_PRICE"),_xll.BDH(AT14,"LAST_PRICE",StaticData.Today,StaticData.Today)))</f>
        <v>-13.5</v>
      </c>
      <c r="AZ14" s="181">
        <f t="shared" ref="AZ14:AZ27" si="12">AY14</f>
        <v>-13.5</v>
      </c>
      <c r="BC14" s="390" t="s">
        <v>1352</v>
      </c>
      <c r="BD14" s="516">
        <f>_xll.meDateFromTenor($BD$7,BC14,"MF",$BD$6)</f>
        <v>45362</v>
      </c>
      <c r="BE14" s="517">
        <f t="shared" si="5"/>
        <v>182</v>
      </c>
      <c r="BF14" s="518">
        <f>_xll.meCurveDiscountFactorsForwardStarting($BD$7,BD14,"EURYC","EUR6ML")</f>
        <v>1.0162663913577592</v>
      </c>
      <c r="BG14" s="316">
        <f t="shared" si="7"/>
        <v>3.5318763471584433</v>
      </c>
      <c r="BH14" s="527">
        <f>_xll.meLWOSwapParSpread(_xll.meLWOXccySwapCreateFromGenerator("TEST","EUR_XCCY","PAy",$BD$7,BD14,1,1,"Float","Float",,,,,"USD",TRUE,"LEG2:FLOAT"),$BG$2:$BH$4)</f>
        <v>-13.245152633141624</v>
      </c>
      <c r="BI14" s="316">
        <f>_xll.meCurveDiscountFactorsForwardStarting($BD$7,BD14,"PLNYC","WIB6M")</f>
        <v>0.98552496331641726</v>
      </c>
      <c r="BJ14" s="316">
        <f t="shared" si="8"/>
        <v>3.4770338444839082</v>
      </c>
      <c r="BK14" s="530">
        <f t="shared" si="9"/>
        <v>-13.454065560423041</v>
      </c>
      <c r="BL14" s="530"/>
    </row>
    <row r="15" spans="1:65" x14ac:dyDescent="0.25">
      <c r="B15" s="21"/>
      <c r="C15" s="22"/>
      <c r="D15" s="22"/>
      <c r="E15" s="22"/>
      <c r="G15" s="24" t="str">
        <f>"PZSO1"&amp;$G$1&amp;" Curncy"</f>
        <v>PZSO1 BLC3 Curncy</v>
      </c>
      <c r="H15" s="25" t="s">
        <v>47</v>
      </c>
      <c r="I15" s="25"/>
      <c r="J15" s="187">
        <f>IF(G15="","",IF(StaticData.Today=TODAY(),_xll.BDP(G15,"BID"),_xll.BDH(G15,"BID",StaticData.Today,StaticData.Today)))</f>
        <v>0.02</v>
      </c>
      <c r="K15" s="187">
        <f>IF(G15="","",IF(StaticData.Today=TODAY(),_xll.BDP(G15,"ASK"),_xll.BDH(G15,"ASK",StaticData.Today,StaticData.Today)))</f>
        <v>0.02</v>
      </c>
      <c r="L15" s="26">
        <f>IF(G15="","",IF(StaticData.Today=TODAY(),_xll.BDP(G15,"LAST_PRICE"),_xll.BDH(G15,"LAST_PRICE",StaticData.Today,StaticData.Today)))</f>
        <v>0.02</v>
      </c>
      <c r="M15" s="27">
        <f>L15/100</f>
        <v>2.0000000000000001E-4</v>
      </c>
      <c r="O15" s="24" t="str">
        <f>"PZFR0EK"&amp;$O$1&amp;" Curncy"</f>
        <v>PZFR0EK TPRA Curncy</v>
      </c>
      <c r="P15" s="25" t="s">
        <v>1074</v>
      </c>
      <c r="Q15" s="31"/>
      <c r="R15" s="182">
        <f>IF(O15="","",IF(StaticData.Today=TODAY(),_xll.BDP(O15,"BID"),_xll.BDH(O15,"BID",StaticData.Today,StaticData.Today)))</f>
        <v>0.192</v>
      </c>
      <c r="S15" s="182">
        <f>IF(O15="","",IF(StaticData.Today=TODAY(),_xll.BDP(O15,"ASK"),_xll.BDH(O15,"ASK",StaticData.Today,StaticData.Today)))</f>
        <v>0.252</v>
      </c>
      <c r="T15" s="30">
        <f>IF(O15="","",IF(StaticData.Today=TODAY(),_xll.BDP(O15,"LAST_PRICE"),_xll.BDH(O15,"LAST_PRICE",StaticData.Today,StaticData.Today)))</f>
        <v>0.222</v>
      </c>
      <c r="U15" s="338">
        <f t="shared" si="10"/>
        <v>2.2200000000000002E-3</v>
      </c>
      <c r="W15" s="24" t="str">
        <f>"PZBSV2"&amp;$W$2&amp;" Curncy"</f>
        <v>PZBSV2 ICPL Curncy</v>
      </c>
      <c r="X15" s="25" t="s">
        <v>308</v>
      </c>
      <c r="Y15" s="191">
        <f>IF(W15="","",IF(StaticData.Today=TODAY(),_xll.BDP(W15,"LAST_PRICE"),_xll.BDH(W15,"LAST_PRICE",StaticData.Today,StaticData.Today)))</f>
        <v>6.3</v>
      </c>
      <c r="Z15" s="27">
        <f>Y15/10000</f>
        <v>6.3000000000000003E-4</v>
      </c>
      <c r="AB15" s="24" t="str">
        <f>"PZBSAV9"&amp;$W$2&amp;" Curncy"</f>
        <v>PZBSAV9 ICPL Curncy</v>
      </c>
      <c r="AC15" s="25" t="s">
        <v>364</v>
      </c>
      <c r="AD15" s="26">
        <f>IF(AB15="","",IF(StaticData.Today=TODAY(),_xll.BDP(AB15,"LAST_PRICE"),_xll.BDH(AB15,"LAST_PRICE",StaticData.Today,StaticData.Today)))</f>
        <v>2.4</v>
      </c>
      <c r="AE15" s="17">
        <f t="shared" si="2"/>
        <v>2.3999999999999998E-4</v>
      </c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14" t="str">
        <f>"PZBSEC9"&amp;$AL$2&amp;" Curncy"</f>
        <v>PZBSEC9 ICPL Curncy</v>
      </c>
      <c r="AM15" s="25" t="s">
        <v>364</v>
      </c>
      <c r="AN15" s="31"/>
      <c r="AO15" s="29">
        <f>IF(AL15="","",IF(StaticData.Today=TODAY(),_xll.BDP(AL15,"BID"),_xll.BDH(AL15,"BID",StaticData.Today,StaticData.Today)))</f>
        <v>21</v>
      </c>
      <c r="AP15" s="29">
        <f>IF(AL15="","",IF(StaticData.Today=TODAY(),_xll.BDP(AL15,"ASK"),_xll.BDH(AL15,"ASK",StaticData.Today,StaticData.Today)))</f>
        <v>31</v>
      </c>
      <c r="AQ15" s="177">
        <f>IF(AL15="","",IF(StaticData.Today=TODAY(),_xll.BDP(AL15,"LAST_PRICE"),_xll.BDH(AL15,"LAST_PRICE",StaticData.Today,StaticData.Today)))</f>
        <v>26</v>
      </c>
      <c r="AR15" s="338">
        <f t="shared" si="11"/>
        <v>2.5999999999999999E-3</v>
      </c>
      <c r="AT15" s="24" t="str">
        <f t="shared" si="3"/>
        <v>PLN3M ICPL Curncy</v>
      </c>
      <c r="AU15" s="25" t="s">
        <v>49</v>
      </c>
      <c r="AV15" s="31"/>
      <c r="AW15" s="177">
        <f>IF(AT15="","",IF(StaticData.Today=TODAY(),_xll.BDP(AT15,"BID"),_xll.BDH(AT15,"BID",StaticData.Today,StaticData.Today)))</f>
        <v>-18.5</v>
      </c>
      <c r="AX15" s="177">
        <f>IF(AT15="","",IF(StaticData.Today=TODAY(),_xll.BDP(AT15,"ASK"),_xll.BDH(AT15,"ASK",StaticData.Today,StaticData.Today)))</f>
        <v>-17</v>
      </c>
      <c r="AY15" s="177">
        <f>IF(AT15="","",IF(StaticData.Today=TODAY(),_xll.BDP(AT15,"LAST_PRICE"),_xll.BDH(AT15,"LAST_PRICE",StaticData.Today,StaticData.Today)))</f>
        <v>-17.75</v>
      </c>
      <c r="AZ15" s="181">
        <f t="shared" si="12"/>
        <v>-17.75</v>
      </c>
      <c r="BC15" s="390" t="s">
        <v>1353</v>
      </c>
      <c r="BD15" s="516">
        <f>_xll.meDateFromTenor($BD$7,BC15,"MF",$BD$6)</f>
        <v>45546</v>
      </c>
      <c r="BE15" s="517">
        <f t="shared" si="5"/>
        <v>184</v>
      </c>
      <c r="BF15" s="518">
        <f>_xll.meCurveDiscountFactorsForwardStarting($BD$7,BD15,"EURYC","EUR6ML")</f>
        <v>1.0181802256229373</v>
      </c>
      <c r="BG15" s="316">
        <f t="shared" si="7"/>
        <v>4.0451507622669922</v>
      </c>
      <c r="BH15" s="527">
        <f>_xll.meLWOSwapParSpread(_xll.meLWOXccySwapCreateFromGenerator("TEST","EUR_XCCY","PAy",$BD$7,BD15,1,1,"Float","Float",,,,,"USD",TRUE,"LEG2:FLOAT"),$BG$2:$BH$4)</f>
        <v>-13.874999998609798</v>
      </c>
      <c r="BI15" s="316">
        <f>_xll.meCurveDiscountFactorsForwardStarting($BD$7,BD15,"PLNYC","WIB6M")</f>
        <v>0.98064472664391711</v>
      </c>
      <c r="BJ15" s="316">
        <f t="shared" si="8"/>
        <v>3.9713862546276912</v>
      </c>
      <c r="BK15" s="530">
        <f t="shared" si="9"/>
        <v>-14.132714176423686</v>
      </c>
      <c r="BL15" s="535">
        <f>PLN_DATA!AQ10</f>
        <v>17.25</v>
      </c>
      <c r="BM15" s="392">
        <f>BL15+BK15</f>
        <v>3.1172858235763137</v>
      </c>
    </row>
    <row r="16" spans="1:65" x14ac:dyDescent="0.25">
      <c r="B16" s="21"/>
      <c r="C16" s="22"/>
      <c r="D16" s="22"/>
      <c r="E16" s="22"/>
      <c r="G16" s="344" t="s">
        <v>927</v>
      </c>
      <c r="H16" s="345" t="s">
        <v>47</v>
      </c>
      <c r="I16" s="345"/>
      <c r="J16" s="346"/>
      <c r="K16" s="346"/>
      <c r="L16" s="347"/>
      <c r="M16" s="348">
        <f>M15-EUR_DATA!M15</f>
        <v>5.3E-3</v>
      </c>
      <c r="N16" t="s">
        <v>567</v>
      </c>
      <c r="O16" s="24" t="str">
        <f>"PZFR0F1"&amp;$O$1&amp;" Curncy"</f>
        <v>PZFR0F1 TPRA Curncy</v>
      </c>
      <c r="P16" s="25" t="s">
        <v>1075</v>
      </c>
      <c r="Q16" s="31"/>
      <c r="R16" s="182">
        <f>IF(O16="","",IF(StaticData.Today=TODAY(),_xll.BDP(O16,"BID"),_xll.BDH(O16,"BID",StaticData.Today,StaticData.Today)))</f>
        <v>0.19500000000000001</v>
      </c>
      <c r="S16" s="182">
        <f>IF(O16="","",IF(StaticData.Today=TODAY(),_xll.BDP(O16,"ASK"),_xll.BDH(O16,"ASK",StaticData.Today,StaticData.Today)))</f>
        <v>0.255</v>
      </c>
      <c r="T16" s="30">
        <f>IF(O16="","",IF(StaticData.Today=TODAY(),_xll.BDP(O16,"LAST_PRICE"),_xll.BDH(O16,"LAST_PRICE",StaticData.Today,StaticData.Today)))</f>
        <v>0.22500000000000001</v>
      </c>
      <c r="U16" s="338">
        <f t="shared" si="10"/>
        <v>2.2500000000000003E-3</v>
      </c>
      <c r="W16" s="24" t="str">
        <f>"PZBSV3"&amp;$W$2&amp;" Curncy"</f>
        <v>PZBSV3 ICPL Curncy</v>
      </c>
      <c r="X16" s="25" t="s">
        <v>316</v>
      </c>
      <c r="Y16" s="191">
        <f>IF(W16="","",IF(StaticData.Today=TODAY(),_xll.BDP(W16,"LAST_PRICE"),_xll.BDH(W16,"LAST_PRICE",StaticData.Today,StaticData.Today)))</f>
        <v>7.25</v>
      </c>
      <c r="Z16" s="27">
        <f t="shared" ref="Z16:Z26" si="13">Y16/10000</f>
        <v>7.2499999999999995E-4</v>
      </c>
      <c r="AB16" s="24" t="str">
        <f>"PZBSAV10"&amp;$W$2&amp;" Curncy"</f>
        <v>PZBSAV10 ICPL Curncy</v>
      </c>
      <c r="AC16" s="25" t="s">
        <v>349</v>
      </c>
      <c r="AD16" s="26">
        <f>IF(AB16="","",IF(StaticData.Today=TODAY(),_xll.BDP(AB16,"LAST_PRICE"),_xll.BDH(AB16,"LAST_PRICE",StaticData.Today,StaticData.Today)))</f>
        <v>2.4</v>
      </c>
      <c r="AE16" s="17">
        <f t="shared" si="2"/>
        <v>2.3999999999999998E-4</v>
      </c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14" t="str">
        <f>"PZBSEC10"&amp;$AL$2&amp;" Curncy"</f>
        <v>PZBSEC10 ICPL Curncy</v>
      </c>
      <c r="AM16" s="25" t="s">
        <v>349</v>
      </c>
      <c r="AN16" s="31"/>
      <c r="AO16" s="29">
        <f>IF(AL16="","",IF(StaticData.Today=TODAY(),_xll.BDP(AL16,"BID"),_xll.BDH(AL16,"BID",StaticData.Today,StaticData.Today)))</f>
        <v>22</v>
      </c>
      <c r="AP16" s="29">
        <f>IF(AL16="","",IF(StaticData.Today=TODAY(),_xll.BDP(AL16,"ASK"),_xll.BDH(AL16,"ASK",StaticData.Today,StaticData.Today)))</f>
        <v>32</v>
      </c>
      <c r="AQ16" s="177">
        <f>IF(AL16="","",IF(StaticData.Today=TODAY(),_xll.BDP(AL16,"LAST_PRICE"),_xll.BDH(AL16,"LAST_PRICE",StaticData.Today,StaticData.Today)))</f>
        <v>27</v>
      </c>
      <c r="AR16" s="338">
        <f t="shared" si="11"/>
        <v>2.7000000000000001E-3</v>
      </c>
      <c r="AT16" s="24" t="str">
        <f t="shared" si="3"/>
        <v>PLN4M ICPL Curncy</v>
      </c>
      <c r="AU16" s="25" t="s">
        <v>351</v>
      </c>
      <c r="AV16" s="31"/>
      <c r="AW16" s="177">
        <f>IF(AT16="","",IF(StaticData.Today=TODAY(),_xll.BDP(AT16,"BID"),_xll.BDH(AT16,"BID",StaticData.Today,StaticData.Today)))</f>
        <v>-24</v>
      </c>
      <c r="AX16" s="177">
        <f>IF(AT16="","",IF(StaticData.Today=TODAY(),_xll.BDP(AT16,"ASK"),_xll.BDH(AT16,"ASK",StaticData.Today,StaticData.Today)))</f>
        <v>-20</v>
      </c>
      <c r="AY16" s="177">
        <f>IF(AT16="","",IF(StaticData.Today=TODAY(),_xll.BDP(AT16,"LAST_PRICE"),_xll.BDH(AT16,"LAST_PRICE",StaticData.Today,StaticData.Today)))</f>
        <v>-22</v>
      </c>
      <c r="AZ16" s="181">
        <f t="shared" ref="AZ16:AZ17" si="14">AY16</f>
        <v>-22</v>
      </c>
      <c r="BC16" s="390" t="s">
        <v>1354</v>
      </c>
      <c r="BD16" s="516">
        <f>_xll.meDateFromTenor($BD$7,BC16,"MF",$BD$6)</f>
        <v>45727</v>
      </c>
      <c r="BE16" s="517">
        <f t="shared" si="5"/>
        <v>181</v>
      </c>
      <c r="BF16" s="518">
        <f>_xll.meCurveDiscountFactorsForwardStarting($BD$7,BD16,"EURYC","EUR6ML")</f>
        <v>1.0199062528845004</v>
      </c>
      <c r="BG16" s="316">
        <f t="shared" si="7"/>
        <v>4.5509124931494433</v>
      </c>
      <c r="BH16" s="527">
        <f>_xll.meLWOSwapParSpread(_xll.meLWOXccySwapCreateFromGenerator("TEST","EUR_XCCY","PAy",$BD$7,BD16,1,1,"Float","Float",,,,,"USD",TRUE,"LEG2:FLOAT"),$BG$2:$BH$4)</f>
        <v>-14.476443722283964</v>
      </c>
      <c r="BI16" s="316">
        <f>_xll.meCurveDiscountFactorsForwardStarting($BD$7,BD16,"PLNYC","WIB6M")</f>
        <v>0.97527165212593769</v>
      </c>
      <c r="BJ16" s="316">
        <f t="shared" si="8"/>
        <v>4.4550141149969917</v>
      </c>
      <c r="BK16" s="530">
        <f t="shared" si="9"/>
        <v>-14.788062819002182</v>
      </c>
      <c r="BL16" s="530"/>
    </row>
    <row r="17" spans="2:65" x14ac:dyDescent="0.25">
      <c r="B17" s="34"/>
      <c r="C17" s="35"/>
      <c r="D17" s="35"/>
      <c r="E17" s="35"/>
      <c r="G17" s="24"/>
      <c r="H17" s="25" t="s">
        <v>308</v>
      </c>
      <c r="I17" s="25"/>
      <c r="J17" s="187"/>
      <c r="K17" s="187"/>
      <c r="L17" s="26"/>
      <c r="M17" s="27">
        <f>EUR_DATA!M17+$M$16</f>
        <v>-7.0000000000000617E-5</v>
      </c>
      <c r="O17" s="24" t="str">
        <f>"PZSW1"&amp;$O$1&amp;" Curncy"</f>
        <v>PZSW1 TPRA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0.17249999999999999</v>
      </c>
      <c r="S17" s="182">
        <f>IF(O17="","",IF(StaticData.Today=TODAY(),_xll.BDP(O17,"ASK"),_xll.BDH(O17,"ASK",StaticData.Today,StaticData.Today)))</f>
        <v>0.21249999999999999</v>
      </c>
      <c r="T17" s="30">
        <f>IF(O17="","",IF(StaticData.Today=TODAY(),_xll.BDP(O17,"LAST_PRICE"),_xll.BDH(O17,"LAST_PRICE",StaticData.Today,StaticData.Today)))</f>
        <v>0.1925</v>
      </c>
      <c r="U17" s="338">
        <f t="shared" si="10"/>
        <v>1.9250000000000001E-3</v>
      </c>
      <c r="W17" s="24" t="str">
        <f>"PZBSV4"&amp;$W$2&amp;" Curncy"</f>
        <v>PZBSV4 ICPL Curncy</v>
      </c>
      <c r="X17" s="25" t="s">
        <v>324</v>
      </c>
      <c r="Y17" s="191">
        <f>IF(W17="","",IF(StaticData.Today=TODAY(),_xll.BDP(W17,"LAST_PRICE"),_xll.BDH(W17,"LAST_PRICE",StaticData.Today,StaticData.Today)))</f>
        <v>7.85</v>
      </c>
      <c r="Z17" s="27">
        <f t="shared" si="13"/>
        <v>7.85E-4</v>
      </c>
      <c r="AB17" s="24"/>
      <c r="AC17" s="25" t="s">
        <v>358</v>
      </c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14" t="str">
        <f>"PZBSEC12"&amp;$AL$2&amp;" Curncy"</f>
        <v>PZBSEC12 ICPL Curncy</v>
      </c>
      <c r="AM17" s="25" t="s">
        <v>358</v>
      </c>
      <c r="AN17" s="31"/>
      <c r="AO17" s="29">
        <f>IF(AL17="","",IF(StaticData.Today=TODAY(),_xll.BDP(AL17,"BID"),_xll.BDH(AL17,"BID",StaticData.Today,StaticData.Today)))</f>
        <v>23.75</v>
      </c>
      <c r="AP17" s="29">
        <f>IF(AL17="","",IF(StaticData.Today=TODAY(),_xll.BDP(AL17,"ASK"),_xll.BDH(AL17,"ASK",StaticData.Today,StaticData.Today)))</f>
        <v>33.75</v>
      </c>
      <c r="AQ17" s="177">
        <f>IF(AL17="","",IF(StaticData.Today=TODAY(),_xll.BDP(AL17,"LAST_PRICE"),_xll.BDH(AL17,"LAST_PRICE",StaticData.Today,StaticData.Today)))</f>
        <v>28.75</v>
      </c>
      <c r="AR17" s="338">
        <f t="shared" si="11"/>
        <v>2.875E-3</v>
      </c>
      <c r="AT17" s="24" t="str">
        <f t="shared" si="3"/>
        <v>PLN5M ICPL Curncy</v>
      </c>
      <c r="AU17" s="25" t="s">
        <v>360</v>
      </c>
      <c r="AV17" s="31"/>
      <c r="AW17" s="177">
        <f>IF(AT17="","",IF(StaticData.Today=TODAY(),_xll.BDP(AT17,"BID"),_xll.BDH(AT17,"BID",StaticData.Today,StaticData.Today)))</f>
        <v>-28</v>
      </c>
      <c r="AX17" s="177">
        <f>IF(AT17="","",IF(StaticData.Today=TODAY(),_xll.BDP(AT17,"ASK"),_xll.BDH(AT17,"ASK",StaticData.Today,StaticData.Today)))</f>
        <v>-23</v>
      </c>
      <c r="AY17" s="177">
        <f>IF(AT17="","",IF(StaticData.Today=TODAY(),_xll.BDP(AT17,"LAST_PRICE"),_xll.BDH(AT17,"LAST_PRICE",StaticData.Today,StaticData.Today)))</f>
        <v>-25.5</v>
      </c>
      <c r="AZ17" s="181">
        <f t="shared" si="14"/>
        <v>-25.5</v>
      </c>
      <c r="BC17" s="563" t="s">
        <v>1355</v>
      </c>
      <c r="BD17" s="553">
        <f>_xll.meDateFromTenor($BD$7,BC17,"MF",$BD$6)</f>
        <v>45911</v>
      </c>
      <c r="BE17" s="564">
        <f t="shared" si="5"/>
        <v>184</v>
      </c>
      <c r="BF17" s="555">
        <f>_xll.meCurveDiscountFactorsForwardStarting($BD$7,BD17,"EURYC","EUR6ML")</f>
        <v>1.0214532542279098</v>
      </c>
      <c r="BG17" s="316">
        <f t="shared" si="7"/>
        <v>5.0658368733629651</v>
      </c>
      <c r="BH17" s="527">
        <f>_xll.meLWOSwapParSpread(_xll.meLWOXccySwapCreateFromGenerator("TEST","EUR_XCCY","PAy",$BD$7,BD17,1,1,"Float","Float",,,,,"USD",TRUE,"LEG2:FLOAT"),$BG$2:$BH$4)</f>
        <v>-15.124999999334676</v>
      </c>
      <c r="BI17" s="316">
        <f>_xll.meCurveDiscountFactorsForwardStarting($BD$7,BD17,"PLNYC","WIB6M")</f>
        <v>0.96932381914165822</v>
      </c>
      <c r="BJ17" s="316">
        <f t="shared" si="8"/>
        <v>4.9436595471122384</v>
      </c>
      <c r="BK17" s="530">
        <f t="shared" si="9"/>
        <v>-15.498798405525571</v>
      </c>
      <c r="BL17" s="568">
        <f>PLN_DATA!AQ11</f>
        <v>20</v>
      </c>
      <c r="BM17" s="570">
        <f>BL17+BK17</f>
        <v>4.5012015944744288</v>
      </c>
    </row>
    <row r="18" spans="2:65" x14ac:dyDescent="0.25">
      <c r="B18" s="36"/>
      <c r="C18" s="36"/>
      <c r="D18" s="36"/>
      <c r="E18" s="36"/>
      <c r="G18" s="24"/>
      <c r="H18" s="25" t="s">
        <v>316</v>
      </c>
      <c r="I18" s="25"/>
      <c r="J18" s="25"/>
      <c r="K18" s="25"/>
      <c r="L18" s="26"/>
      <c r="M18" s="27">
        <f>EUR_DATA!M18+$M$16</f>
        <v>-1.6000000000000042E-4</v>
      </c>
      <c r="O18" s="24" t="str">
        <f>"PZSW2"&amp;$O$2&amp;" Curncy"</f>
        <v>PZSW2 ICPL Curncy</v>
      </c>
      <c r="P18" s="25" t="s">
        <v>308</v>
      </c>
      <c r="Q18" s="31"/>
      <c r="R18" s="182">
        <f>IF(O18="","",IF(StaticData.Today=TODAY(),_xll.BDP(O18,"BID"),_xll.BDH(O18,"BID",StaticData.Today,StaticData.Today)))</f>
        <v>0.245</v>
      </c>
      <c r="S18" s="182">
        <f>IF(O18="","",IF(StaticData.Today=TODAY(),_xll.BDP(O18,"ASK"),_xll.BDH(O18,"ASK",StaticData.Today,StaticData.Today)))</f>
        <v>0.28499999999999998</v>
      </c>
      <c r="T18" s="30">
        <f>IF(O18="","",IF(StaticData.Today=TODAY(),_xll.BDP(O18,"LAST_PRICE"),_xll.BDH(O18,"LAST_PRICE",StaticData.Today,StaticData.Today)))</f>
        <v>0.26500000000000001</v>
      </c>
      <c r="U18" s="338">
        <f t="shared" si="10"/>
        <v>2.65E-3</v>
      </c>
      <c r="W18" s="24" t="str">
        <f>"PZBSV5"&amp;$W$2&amp;" Curncy"</f>
        <v>PZBSV5 ICPL Curncy</v>
      </c>
      <c r="X18" s="25" t="s">
        <v>331</v>
      </c>
      <c r="Y18" s="191">
        <f>IF(W18="","",IF(StaticData.Today=TODAY(),_xll.BDP(W18,"LAST_PRICE"),_xll.BDH(W18,"LAST_PRICE",StaticData.Today,StaticData.Today)))</f>
        <v>8.25</v>
      </c>
      <c r="Z18" s="27">
        <f t="shared" si="13"/>
        <v>8.25E-4</v>
      </c>
      <c r="AB18" s="24"/>
      <c r="AC18" s="25" t="s">
        <v>367</v>
      </c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14" t="str">
        <f>"PZBSEC15"&amp;$AL$2&amp;" Curncy"</f>
        <v>PZBSEC15 ICPL Curncy</v>
      </c>
      <c r="AM18" s="25" t="s">
        <v>367</v>
      </c>
      <c r="AN18" s="31"/>
      <c r="AO18" s="29">
        <f>IF(AL18="","",IF(StaticData.Today=TODAY(),_xll.BDP(AL18,"BID"),_xll.BDH(AL18,"BID",StaticData.Today,StaticData.Today)))</f>
        <v>25.5</v>
      </c>
      <c r="AP18" s="29">
        <f>IF(AL18="","",IF(StaticData.Today=TODAY(),_xll.BDP(AL18,"ASK"),_xll.BDH(AL18,"ASK",StaticData.Today,StaticData.Today)))</f>
        <v>35.5</v>
      </c>
      <c r="AQ18" s="177">
        <f>IF(AL18="","",IF(StaticData.Today=TODAY(),_xll.BDP(AL18,"LAST_PRICE"),_xll.BDH(AL18,"LAST_PRICE",StaticData.Today,StaticData.Today)))</f>
        <v>30.5</v>
      </c>
      <c r="AR18" s="338">
        <f t="shared" si="11"/>
        <v>3.0500000000000002E-3</v>
      </c>
      <c r="AT18" s="24" t="str">
        <f t="shared" si="3"/>
        <v>PLN6M ICPL Curncy</v>
      </c>
      <c r="AU18" s="25" t="s">
        <v>46</v>
      </c>
      <c r="AV18" s="31"/>
      <c r="AW18" s="177">
        <f>IF(AT18="","",IF(StaticData.Today=TODAY(),_xll.BDP(AT18,"BID"),_xll.BDH(AT18,"BID",StaticData.Today,StaticData.Today)))</f>
        <v>-30</v>
      </c>
      <c r="AX18" s="177">
        <f>IF(AT18="","",IF(StaticData.Today=TODAY(),_xll.BDP(AT18,"ASK"),_xll.BDH(AT18,"ASK",StaticData.Today,StaticData.Today)))</f>
        <v>-25</v>
      </c>
      <c r="AY18" s="177">
        <f>IF(AT18="","",IF(StaticData.Today=TODAY(),_xll.BDP(AT18,"LAST_PRICE"),_xll.BDH(AT18,"LAST_PRICE",StaticData.Today,StaticData.Today)))</f>
        <v>-27.5</v>
      </c>
      <c r="AZ18" s="181">
        <f t="shared" si="12"/>
        <v>-27.5</v>
      </c>
      <c r="BC18" s="390" t="s">
        <v>1356</v>
      </c>
      <c r="BD18" s="516">
        <f>_xll.meDateFromTenor($BD$7,BC18,"MF",$BD$6)</f>
        <v>46092</v>
      </c>
      <c r="BE18" s="517">
        <f t="shared" si="5"/>
        <v>181</v>
      </c>
      <c r="BF18" s="518">
        <f>_xll.meCurveDiscountFactorsForwardStarting($BD$7,BD18,"EURYC","EUR6ML")</f>
        <v>1.0227139802243397</v>
      </c>
      <c r="BG18" s="316">
        <f t="shared" si="7"/>
        <v>5.5729909293098299</v>
      </c>
      <c r="BH18" s="527">
        <f>_xll.meLWOSwapParSpread(_xll.meLWOXccySwapCreateFromGenerator("TEST","EUR_XCCY","PAy",$BD$7,BD18,1,1,"Float","Float",,,,,"USD",TRUE,"LEG2:FLOAT"),$BG$2:$BH$4)</f>
        <v>-15.823109129663292</v>
      </c>
      <c r="BI18" s="316">
        <f>_xll.meCurveDiscountFactorsForwardStarting($BD$7,BD18,"PLNYC","WIB6M")</f>
        <v>0.9630539079272461</v>
      </c>
      <c r="BJ18" s="316">
        <f t="shared" si="8"/>
        <v>5.4212287452898593</v>
      </c>
      <c r="BK18" s="530">
        <f t="shared" si="9"/>
        <v>-16.26606214130118</v>
      </c>
      <c r="BL18" s="530"/>
    </row>
    <row r="19" spans="2:65" x14ac:dyDescent="0.25">
      <c r="B19" s="36"/>
      <c r="C19" s="36"/>
      <c r="D19" s="36"/>
      <c r="E19" s="36"/>
      <c r="G19" s="38"/>
      <c r="H19" s="25" t="s">
        <v>324</v>
      </c>
      <c r="I19" s="39"/>
      <c r="J19" s="39"/>
      <c r="K19" s="39"/>
      <c r="L19" s="40"/>
      <c r="M19" s="27">
        <f>EUR_DATA!M19+$M$16</f>
        <v>-9.000000000000067E-5</v>
      </c>
      <c r="O19" s="24" t="str">
        <f>"PZSW3"&amp;$O$2&amp;" Curncy"</f>
        <v>PZSW3 ICPL Curncy</v>
      </c>
      <c r="P19" s="25" t="s">
        <v>316</v>
      </c>
      <c r="Q19" s="31"/>
      <c r="R19" s="182">
        <f>IF(O19="","",IF(StaticData.Today=TODAY(),_xll.BDP(O19,"BID"),_xll.BDH(O19,"BID",StaticData.Today,StaticData.Today)))</f>
        <v>0.32</v>
      </c>
      <c r="S19" s="182">
        <f>IF(O19="","",IF(StaticData.Today=TODAY(),_xll.BDP(O19,"ASK"),_xll.BDH(O19,"ASK",StaticData.Today,StaticData.Today)))</f>
        <v>0.36</v>
      </c>
      <c r="T19" s="30">
        <f>IF(O19="","",IF(StaticData.Today=TODAY(),_xll.BDP(O19,"LAST_PRICE"),_xll.BDH(O19,"LAST_PRICE",StaticData.Today,StaticData.Today)))</f>
        <v>0.34</v>
      </c>
      <c r="U19" s="338">
        <f t="shared" si="10"/>
        <v>3.4000000000000002E-3</v>
      </c>
      <c r="W19" s="24" t="str">
        <f>"PZBSV6"&amp;$W$2&amp;" Curncy"</f>
        <v>PZBSV6 ICPL Curncy</v>
      </c>
      <c r="X19" s="25" t="s">
        <v>339</v>
      </c>
      <c r="Y19" s="191">
        <f>IF(W19="","",IF(StaticData.Today=TODAY(),_xll.BDP(W19,"LAST_PRICE"),_xll.BDH(W19,"LAST_PRICE",StaticData.Today,StaticData.Today)))</f>
        <v>8.5</v>
      </c>
      <c r="Z19" s="27">
        <f t="shared" si="13"/>
        <v>8.4999999999999995E-4</v>
      </c>
      <c r="AB19" s="24"/>
      <c r="AC19" s="25" t="s">
        <v>374</v>
      </c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14" t="str">
        <f>"PZBSEC20"&amp;$AL$2&amp;" Curncy"</f>
        <v>PZBSEC20 ICPL Curncy</v>
      </c>
      <c r="AM19" s="25" t="s">
        <v>374</v>
      </c>
      <c r="AN19" s="28"/>
      <c r="AO19" s="29">
        <f>IF(AL19="","",IF(StaticData.Today=TODAY(),_xll.BDP(AL19,"BID"),_xll.BDH(AL19,"BID",StaticData.Today,StaticData.Today)))</f>
        <v>27</v>
      </c>
      <c r="AP19" s="29">
        <f>IF(AL19="","",IF(StaticData.Today=TODAY(),_xll.BDP(AL19,"ASK"),_xll.BDH(AL19,"ASK",StaticData.Today,StaticData.Today)))</f>
        <v>37</v>
      </c>
      <c r="AQ19" s="177">
        <f>IF(AL19="","",IF(StaticData.Today=TODAY(),_xll.BDP(AL19,"LAST_PRICE"),_xll.BDH(AL19,"LAST_PRICE",StaticData.Today,StaticData.Today)))</f>
        <v>32</v>
      </c>
      <c r="AR19" s="338">
        <f t="shared" si="11"/>
        <v>3.2000000000000002E-3</v>
      </c>
      <c r="AT19" s="24" t="str">
        <f t="shared" si="3"/>
        <v>PLN7M ICPL Curncy</v>
      </c>
      <c r="AU19" s="25" t="s">
        <v>1570</v>
      </c>
      <c r="AV19" s="31"/>
      <c r="AW19" s="177">
        <f>IF(AT19="","",IF(StaticData.Today=TODAY(),_xll.BDP(AT19,"BID"),_xll.BDH(AT19,"BID",StaticData.Today,StaticData.Today)))</f>
        <v>-31.74</v>
      </c>
      <c r="AX19" s="177">
        <f>IF(AT19="","",IF(StaticData.Today=TODAY(),_xll.BDP(AT19,"ASK"),_xll.BDH(AT19,"ASK",StaticData.Today,StaticData.Today)))</f>
        <v>-25</v>
      </c>
      <c r="AY19" s="177">
        <f>IF(AT19="","",IF(StaticData.Today=TODAY(),_xll.BDP(AT19,"LAST_PRICE"),_xll.BDH(AT19,"LAST_PRICE",StaticData.Today,StaticData.Today)))</f>
        <v>-28.37</v>
      </c>
      <c r="AZ19" s="181">
        <f t="shared" ref="AZ19:AZ20" si="15">AY19</f>
        <v>-28.37</v>
      </c>
      <c r="BC19" s="390" t="s">
        <v>1357</v>
      </c>
      <c r="BD19" s="516">
        <f>_xll.meDateFromTenor($BD$7,BC19,"MF",$BD$6)</f>
        <v>46276</v>
      </c>
      <c r="BE19" s="517">
        <f t="shared" si="5"/>
        <v>184</v>
      </c>
      <c r="BF19" s="518">
        <f>_xll.meCurveDiscountFactorsForwardStarting($BD$7,BD19,"EURYC","EUR6ML")</f>
        <v>1.0237195718047027</v>
      </c>
      <c r="BG19" s="316">
        <f t="shared" si="7"/>
        <v>6.0890577819456251</v>
      </c>
      <c r="BH19" s="527">
        <f>_xll.meLWOSwapParSpread(_xll.meLWOXccySwapCreateFromGenerator("TEST","EUR_XCCY","PAy",$BD$7,BD19,1,1,"Float","Float",,,,,"USD",TRUE,"LEG2:FLOAT"),$BG$2:$BH$4)</f>
        <v>-16.499999999675289</v>
      </c>
      <c r="BI19" s="316">
        <f>_xll.meCurveDiscountFactorsForwardStarting($BD$7,BD19,"PLNYC","WIB6M")</f>
        <v>0.95641076002205994</v>
      </c>
      <c r="BJ19" s="316">
        <f t="shared" si="8"/>
        <v>5.903364580479062</v>
      </c>
      <c r="BK19" s="530">
        <f t="shared" si="9"/>
        <v>-17.019015517414047</v>
      </c>
      <c r="BL19" s="535">
        <f>PLN_DATA!AQ12</f>
        <v>21.5</v>
      </c>
      <c r="BM19" s="392">
        <f>BL19+BK19</f>
        <v>4.4809844825859528</v>
      </c>
    </row>
    <row r="20" spans="2:65" x14ac:dyDescent="0.25">
      <c r="B20" s="36"/>
      <c r="C20" s="36"/>
      <c r="D20" s="36"/>
      <c r="E20" s="36"/>
      <c r="H20" s="25" t="s">
        <v>331</v>
      </c>
      <c r="M20" s="27">
        <f>EUR_DATA!M20+$M$16</f>
        <v>1.0000000000000026E-4</v>
      </c>
      <c r="O20" s="24" t="str">
        <f>"PZSW4"&amp;$O$2&amp;" Curncy"</f>
        <v>PZSW4 ICPL Curncy</v>
      </c>
      <c r="P20" s="25" t="s">
        <v>324</v>
      </c>
      <c r="Q20" s="28"/>
      <c r="R20" s="29">
        <f>IF(O20="","",IF(StaticData.Today=TODAY(),_xll.BDP(O20,"BID"),_xll.BDH(O20,"BID",StaticData.Today,StaticData.Today)))</f>
        <v>0.45750000000000002</v>
      </c>
      <c r="S20" s="29">
        <f>IF(O20="","",IF(StaticData.Today=TODAY(),_xll.BDP(O20,"ASK"),_xll.BDH(O20,"ASK",StaticData.Today,StaticData.Today)))</f>
        <v>0.4975</v>
      </c>
      <c r="T20" s="30">
        <f>IF(O20="","",IF(StaticData.Today=TODAY(),_xll.BDP(O20,"LAST_PRICE"),_xll.BDH(O20,"LAST_PRICE",StaticData.Today,StaticData.Today)))</f>
        <v>0.47749999999999998</v>
      </c>
      <c r="U20" s="338">
        <f t="shared" si="10"/>
        <v>4.7749999999999997E-3</v>
      </c>
      <c r="W20" s="24" t="str">
        <f>"PZBSV7"&amp;$W$2&amp;" Curncy"</f>
        <v>PZBSV7 ICPL Curncy</v>
      </c>
      <c r="X20" s="25" t="s">
        <v>342</v>
      </c>
      <c r="Y20" s="191">
        <f>IF(W20="","",IF(StaticData.Today=TODAY(),_xll.BDP(W20,"LAST_PRICE"),_xll.BDH(W20,"LAST_PRICE",StaticData.Today,StaticData.Today)))</f>
        <v>8.75</v>
      </c>
      <c r="Z20" s="27">
        <f t="shared" si="13"/>
        <v>8.7500000000000002E-4</v>
      </c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3"/>
        <v>PLN8M ICPL Curncy</v>
      </c>
      <c r="AU20" s="25" t="s">
        <v>1571</v>
      </c>
      <c r="AV20" s="31"/>
      <c r="AW20" s="177">
        <f>IF(AT20="","",IF(StaticData.Today=TODAY(),_xll.BDP(AT20,"BID"),_xll.BDH(AT20,"BID",StaticData.Today,StaticData.Today)))</f>
        <v>-33.31</v>
      </c>
      <c r="AX20" s="177">
        <f>IF(AT20="","",IF(StaticData.Today=TODAY(),_xll.BDP(AT20,"ASK"),_xll.BDH(AT20,"ASK",StaticData.Today,StaticData.Today)))</f>
        <v>-25</v>
      </c>
      <c r="AY20" s="177">
        <f>IF(AT20="","",IF(StaticData.Today=TODAY(),_xll.BDP(AT20,"LAST_PRICE"),_xll.BDH(AT20,"LAST_PRICE",StaticData.Today,StaticData.Today)))</f>
        <v>-29.16</v>
      </c>
      <c r="AZ20" s="181">
        <f t="shared" si="15"/>
        <v>-29.16</v>
      </c>
      <c r="BC20" s="390" t="s">
        <v>1358</v>
      </c>
      <c r="BD20" s="516">
        <f>_xll.meDateFromTenor($BD$7,BC20,"MF",$BD$6)</f>
        <v>46457</v>
      </c>
      <c r="BE20" s="517">
        <f t="shared" si="5"/>
        <v>181</v>
      </c>
      <c r="BF20" s="518">
        <f>_xll.meCurveDiscountFactorsForwardStarting($BD$7,BD20,"EURYC","EUR6ML")</f>
        <v>1.0244375660916498</v>
      </c>
      <c r="BG20" s="316">
        <f t="shared" si="7"/>
        <v>6.5970665475965529</v>
      </c>
      <c r="BH20" s="527">
        <f>_xll.meLWOSwapParSpread(_xll.meLWOXccySwapCreateFromGenerator("TEST","EUR_XCCY","PAy",$BD$7,BD20,1,1,"Float","Float",,,,,"USD",TRUE,"LEG2:FLOAT"),$BG$2:$BH$4)</f>
        <v>-17.046157079825292</v>
      </c>
      <c r="BI20" s="316">
        <f>_xll.meCurveDiscountFactorsForwardStarting($BD$7,BD20,"PLNYC","WIB6M")</f>
        <v>0.94975880531207635</v>
      </c>
      <c r="BJ20" s="316">
        <f t="shared" si="8"/>
        <v>6.3743408647571052</v>
      </c>
      <c r="BK20" s="530">
        <f t="shared" si="9"/>
        <v>-17.641766422962803</v>
      </c>
      <c r="BL20" s="530"/>
    </row>
    <row r="21" spans="2:65" x14ac:dyDescent="0.25">
      <c r="B21" s="36"/>
      <c r="C21" s="36"/>
      <c r="D21" s="36"/>
      <c r="E21" s="36"/>
      <c r="H21" s="25" t="s">
        <v>339</v>
      </c>
      <c r="M21" s="27">
        <f>EUR_DATA!M21+$M$16</f>
        <v>4.0000000000000018E-4</v>
      </c>
      <c r="O21" s="24" t="str">
        <f>"PZSW5"&amp;$O$2&amp;" Curncy"</f>
        <v>PZSW5 ICPL Curncy</v>
      </c>
      <c r="P21" s="25" t="s">
        <v>331</v>
      </c>
      <c r="Q21" s="28"/>
      <c r="R21" s="29">
        <f>IF(O21="","",IF(StaticData.Today=TODAY(),_xll.BDP(O21,"BID"),_xll.BDH(O21,"BID",StaticData.Today,StaticData.Today)))</f>
        <v>0.59750000000000003</v>
      </c>
      <c r="S21" s="29">
        <f>IF(O21="","",IF(StaticData.Today=TODAY(),_xll.BDP(O21,"ASK"),_xll.BDH(O21,"ASK",StaticData.Today,StaticData.Today)))</f>
        <v>0.63749999999999996</v>
      </c>
      <c r="T21" s="30">
        <f>IF(O21="","",IF(StaticData.Today=TODAY(),_xll.BDP(O21,"LAST_PRICE"),_xll.BDH(O21,"LAST_PRICE",StaticData.Today,StaticData.Today)))</f>
        <v>0.61750000000000005</v>
      </c>
      <c r="U21" s="338">
        <f t="shared" si="10"/>
        <v>6.1750000000000008E-3</v>
      </c>
      <c r="W21" s="24" t="str">
        <f>"PZBSV8"&amp;$W$2&amp;" Curncy"</f>
        <v>PZBSV8 ICPL Curncy</v>
      </c>
      <c r="X21" s="25" t="s">
        <v>355</v>
      </c>
      <c r="Y21" s="191">
        <f>IF(W21="","",IF(StaticData.Today=TODAY(),_xll.BDP(W21,"LAST_PRICE"),_xll.BDH(W21,"LAST_PRICE",StaticData.Today,StaticData.Today)))</f>
        <v>9</v>
      </c>
      <c r="Z21" s="27">
        <f t="shared" si="13"/>
        <v>8.9999999999999998E-4</v>
      </c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14" t="s">
        <v>1404</v>
      </c>
      <c r="AM21" s="482" t="s">
        <v>47</v>
      </c>
      <c r="AN21" s="18"/>
      <c r="AO21" s="19"/>
      <c r="AP21" s="19"/>
      <c r="AQ21" s="336">
        <f>PLN_DATA!BM9</f>
        <v>-4.3430696667913278</v>
      </c>
      <c r="AR21" s="17">
        <f>AQ21/10000</f>
        <v>-4.3430696667913276E-4</v>
      </c>
      <c r="AT21" s="24" t="str">
        <f t="shared" si="3"/>
        <v>PLN9M ICPL Curncy</v>
      </c>
      <c r="AU21" s="25" t="s">
        <v>376</v>
      </c>
      <c r="AV21" s="31"/>
      <c r="AW21" s="177">
        <f>IF(AT21="","",IF(StaticData.Today=TODAY(),_xll.BDP(AT21,"BID"),_xll.BDH(AT21,"BID",StaticData.Today,StaticData.Today)))</f>
        <v>-35</v>
      </c>
      <c r="AX21" s="177">
        <f>IF(AT21="","",IF(StaticData.Today=TODAY(),_xll.BDP(AT21,"ASK"),_xll.BDH(AT21,"ASK",StaticData.Today,StaticData.Today)))</f>
        <v>-25</v>
      </c>
      <c r="AY21" s="177">
        <f>IF(AT21="","",IF(StaticData.Today=TODAY(),_xll.BDP(AT21,"LAST_PRICE"),_xll.BDH(AT21,"LAST_PRICE",StaticData.Today,StaticData.Today)))</f>
        <v>-30</v>
      </c>
      <c r="AZ21" s="181">
        <f t="shared" si="12"/>
        <v>-30</v>
      </c>
      <c r="BC21" s="390" t="s">
        <v>1359</v>
      </c>
      <c r="BD21" s="516">
        <f>_xll.meDateFromTenor($BD$7,BC21,"MF",$BD$6)</f>
        <v>46643</v>
      </c>
      <c r="BE21" s="517">
        <f t="shared" si="5"/>
        <v>186</v>
      </c>
      <c r="BF21" s="518">
        <f>_xll.meCurveDiscountFactorsForwardStarting($BD$7,BD21,"EURYC","EUR6ML")</f>
        <v>1.0248905937907344</v>
      </c>
      <c r="BG21" s="316">
        <f t="shared" si="7"/>
        <v>7.119339562514571</v>
      </c>
      <c r="BH21" s="527">
        <f>_xll.meLWOSwapParSpread(_xll.meLWOXccySwapCreateFromGenerator("TEST","EUR_XCCY","PAy",$BD$7,BD21,1,1,"Float","Float",,,,,"USD",TRUE,"LEG2:FLOAT"),$BG$2:$BH$4)</f>
        <v>-17.575982462909494</v>
      </c>
      <c r="BI21" s="316">
        <f>_xll.meCurveDiscountFactorsForwardStarting($BD$7,BD21,"PLNYC","WIB6M")</f>
        <v>0.94284371967147285</v>
      </c>
      <c r="BJ21" s="316">
        <f t="shared" si="8"/>
        <v>6.8548036917677733</v>
      </c>
      <c r="BK21" s="530">
        <f t="shared" si="9"/>
        <v>-18.254262692967718</v>
      </c>
      <c r="BL21" s="535">
        <f>PLN_DATA!AQ13</f>
        <v>23.25</v>
      </c>
      <c r="BM21" s="392">
        <f>BL21+BK21</f>
        <v>4.9957373070322824</v>
      </c>
    </row>
    <row r="22" spans="2:65" x14ac:dyDescent="0.25">
      <c r="B22" s="36"/>
      <c r="C22" s="36"/>
      <c r="D22" s="36"/>
      <c r="E22" s="36"/>
      <c r="H22" s="25" t="s">
        <v>342</v>
      </c>
      <c r="M22" s="27">
        <f>EUR_DATA!M22+$M$16</f>
        <v>7.6000000000000026E-4</v>
      </c>
      <c r="O22" s="24" t="str">
        <f>"PZSW6"&amp;$O$2&amp;" Curncy"</f>
        <v>PZSW6 ICPL Curncy</v>
      </c>
      <c r="P22" s="25" t="s">
        <v>339</v>
      </c>
      <c r="Q22" s="28"/>
      <c r="R22" s="29">
        <f>IF(O22="","",IF(StaticData.Today=TODAY(),_xll.BDP(O22,"BID"),_xll.BDH(O22,"BID",StaticData.Today,StaticData.Today)))</f>
        <v>0.71750000000000003</v>
      </c>
      <c r="S22" s="29">
        <f>IF(O22="","",IF(StaticData.Today=TODAY(),_xll.BDP(O22,"ASK"),_xll.BDH(O22,"ASK",StaticData.Today,StaticData.Today)))</f>
        <v>0.75749999999999995</v>
      </c>
      <c r="T22" s="30">
        <f>IF(O22="","",IF(StaticData.Today=TODAY(),_xll.BDP(O22,"LAST_PRICE"),_xll.BDH(O22,"LAST_PRICE",StaticData.Today,StaticData.Today)))</f>
        <v>0.73750000000000004</v>
      </c>
      <c r="U22" s="338">
        <f t="shared" si="10"/>
        <v>7.3750000000000005E-3</v>
      </c>
      <c r="W22" s="24" t="str">
        <f>"PZBSV9"&amp;$W$2&amp;" Curncy"</f>
        <v>PZBSV9 ICPL Curncy</v>
      </c>
      <c r="X22" s="25" t="s">
        <v>364</v>
      </c>
      <c r="Y22" s="191">
        <f>IF(W22="","",IF(StaticData.Today=TODAY(),_xll.BDP(W22,"LAST_PRICE"),_xll.BDH(W22,"LAST_PRICE",StaticData.Today,StaticData.Today)))</f>
        <v>9.25</v>
      </c>
      <c r="Z22" s="27">
        <f t="shared" si="13"/>
        <v>9.2500000000000004E-4</v>
      </c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 t="s">
        <v>1405</v>
      </c>
      <c r="AM22" s="355" t="s">
        <v>308</v>
      </c>
      <c r="AN22" s="28"/>
      <c r="AO22" s="29"/>
      <c r="AP22" s="29"/>
      <c r="AQ22" s="178">
        <f>PLN_DATA!BM11</f>
        <v>-1.252917115103271</v>
      </c>
      <c r="AR22" s="27">
        <f>AQ22/10000</f>
        <v>-1.2529171151032709E-4</v>
      </c>
      <c r="AT22" s="24" t="str">
        <f t="shared" si="3"/>
        <v>PLN10M ICPL Curncy</v>
      </c>
      <c r="AU22" s="25" t="s">
        <v>1576</v>
      </c>
      <c r="AV22" s="31"/>
      <c r="AW22" s="177">
        <f>IF(AT22="","",IF(StaticData.Today=TODAY(),_xll.BDP(AT22,"BID"),_xll.BDH(AT22,"BID",StaticData.Today,StaticData.Today)))</f>
        <v>-36.65</v>
      </c>
      <c r="AX22" s="177">
        <f>IF(AT22="","",IF(StaticData.Today=TODAY(),_xll.BDP(AT22,"ASK"),_xll.BDH(AT22,"ASK",StaticData.Today,StaticData.Today)))</f>
        <v>-23.35</v>
      </c>
      <c r="AY22" s="177">
        <f>IF(AT22="","",IF(StaticData.Today=TODAY(),_xll.BDP(AT22,"LAST_PRICE"),_xll.BDH(AT22,"LAST_PRICE",StaticData.Today,StaticData.Today)))</f>
        <v>-30</v>
      </c>
      <c r="AZ22" s="181">
        <f t="shared" ref="AZ22:AZ23" si="16">AY22</f>
        <v>-30</v>
      </c>
      <c r="BC22" s="390" t="s">
        <v>1360</v>
      </c>
      <c r="BD22" s="516">
        <f>_xll.meDateFromTenor($BD$7,BC22,"MF",$BD$6)</f>
        <v>46825</v>
      </c>
      <c r="BE22" s="517">
        <f t="shared" si="5"/>
        <v>182</v>
      </c>
      <c r="BF22" s="518">
        <f>_xll.meCurveDiscountFactorsForwardStarting($BD$7,BD22,"EURYC","EUR6ML")</f>
        <v>1.0250543085572017</v>
      </c>
      <c r="BG22" s="316">
        <f t="shared" si="7"/>
        <v>7.6304625328088473</v>
      </c>
      <c r="BH22" s="527">
        <f>_xll.meLWOSwapParSpread(_xll.meLWOXccySwapCreateFromGenerator("TEST","EUR_XCCY","PAy",$BD$7,BD22,1,1,"Float","Float",,,,,"USD",TRUE,"LEG2:FLOAT"),$BG$2:$BH$4)</f>
        <v>-17.922220193991411</v>
      </c>
      <c r="BI22" s="316">
        <f>_xll.meCurveDiscountFactorsForwardStarting($BD$7,BD22,"PLNYC","WIB6M")</f>
        <v>0.93599979014932211</v>
      </c>
      <c r="BJ22" s="316">
        <f t="shared" si="8"/>
        <v>7.3215213953490794</v>
      </c>
      <c r="BK22" s="530">
        <f t="shared" si="9"/>
        <v>-18.678471633214603</v>
      </c>
      <c r="BL22" s="530"/>
    </row>
    <row r="23" spans="2:65" x14ac:dyDescent="0.25">
      <c r="B23" s="36"/>
      <c r="C23" s="36"/>
      <c r="D23" s="36"/>
      <c r="E23" s="36"/>
      <c r="H23" s="25" t="s">
        <v>355</v>
      </c>
      <c r="M23" s="27">
        <f>EUR_DATA!M23+$M$16</f>
        <v>1.1800000000000005E-3</v>
      </c>
      <c r="O23" s="24" t="str">
        <f>"PZSW7"&amp;$O$2&amp;" Curncy"</f>
        <v>PZSW7 ICPL Curncy</v>
      </c>
      <c r="P23" s="25" t="s">
        <v>342</v>
      </c>
      <c r="Q23" s="28"/>
      <c r="R23" s="29">
        <f>IF(O23="","",IF(StaticData.Today=TODAY(),_xll.BDP(O23,"BID"),_xll.BDH(O23,"BID",StaticData.Today,StaticData.Today)))</f>
        <v>0.81499999999999995</v>
      </c>
      <c r="S23" s="29">
        <f>IF(O23="","",IF(StaticData.Today=TODAY(),_xll.BDP(O23,"ASK"),_xll.BDH(O23,"ASK",StaticData.Today,StaticData.Today)))</f>
        <v>0.85499999999999998</v>
      </c>
      <c r="T23" s="30">
        <f>IF(O23="","",IF(StaticData.Today=TODAY(),_xll.BDP(O23,"LAST_PRICE"),_xll.BDH(O23,"LAST_PRICE",StaticData.Today,StaticData.Today)))</f>
        <v>0.83499999999999996</v>
      </c>
      <c r="U23" s="338">
        <f t="shared" si="10"/>
        <v>8.3499999999999998E-3</v>
      </c>
      <c r="W23" s="24" t="str">
        <f>"PZBSV10"&amp;$W$2&amp;" Curncy"</f>
        <v>PZBSV10 ICPL Curncy</v>
      </c>
      <c r="X23" s="25" t="s">
        <v>349</v>
      </c>
      <c r="Y23" s="191">
        <f>IF(W23="","",IF(StaticData.Today=TODAY(),_xll.BDP(W23,"LAST_PRICE"),_xll.BDH(W23,"LAST_PRICE",StaticData.Today,StaticData.Today)))</f>
        <v>9.5</v>
      </c>
      <c r="Z23" s="27">
        <f t="shared" si="13"/>
        <v>9.5E-4</v>
      </c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 t="s">
        <v>1406</v>
      </c>
      <c r="AM23" s="355" t="s">
        <v>316</v>
      </c>
      <c r="AN23" s="28"/>
      <c r="AO23" s="29"/>
      <c r="AP23" s="29"/>
      <c r="AQ23" s="178">
        <f>PLN_DATA!BM13</f>
        <v>0.8312571619602025</v>
      </c>
      <c r="AR23" s="27">
        <f t="shared" ref="AR23:AR33" si="17">AQ23/10000</f>
        <v>8.3125716196020256E-5</v>
      </c>
      <c r="AT23" s="24" t="str">
        <f t="shared" si="3"/>
        <v>PLN11M ICPL Curncy</v>
      </c>
      <c r="AU23" s="25" t="s">
        <v>1577</v>
      </c>
      <c r="AV23" s="31"/>
      <c r="AW23" s="177">
        <f>IF(AT23="","",IF(StaticData.Today=TODAY(),_xll.BDP(AT23,"BID"),_xll.BDH(AT23,"BID",StaticData.Today,StaticData.Today)))</f>
        <v>-38.24</v>
      </c>
      <c r="AX23" s="177">
        <f>IF(AT23="","",IF(StaticData.Today=TODAY(),_xll.BDP(AT23,"ASK"),_xll.BDH(AT23,"ASK",StaticData.Today,StaticData.Today)))</f>
        <v>-21.75</v>
      </c>
      <c r="AY23" s="177">
        <f>IF(AT23="","",IF(StaticData.Today=TODAY(),_xll.BDP(AT23,"LAST_PRICE"),_xll.BDH(AT23,"LAST_PRICE",StaticData.Today,StaticData.Today)))</f>
        <v>-30</v>
      </c>
      <c r="AZ23" s="181">
        <f t="shared" si="16"/>
        <v>-30</v>
      </c>
      <c r="BC23" s="390" t="s">
        <v>1361</v>
      </c>
      <c r="BD23" s="516">
        <f>_xll.meDateFromTenor($BD$7,BC23,"MF",$BD$6)</f>
        <v>47007</v>
      </c>
      <c r="BE23" s="517">
        <f t="shared" si="5"/>
        <v>182</v>
      </c>
      <c r="BF23" s="518">
        <f>_xll.meCurveDiscountFactorsForwardStarting($BD$7,BD23,"EURYC","EUR6ML")</f>
        <v>1.0249632630682564</v>
      </c>
      <c r="BG23" s="316">
        <f t="shared" si="7"/>
        <v>8.1415401050784979</v>
      </c>
      <c r="BH23" s="527">
        <f>_xll.meLWOSwapParSpread(_xll.meLWOXccySwapCreateFromGenerator("TEST","EUR_XCCY","PAy",$BD$7,BD23,1,1,"Float","Float",,,,,"USD",TRUE,"LEG2:FLOAT"),$BG$2:$BH$4)</f>
        <v>-18.124999999749448</v>
      </c>
      <c r="BI23" s="316">
        <f>_xll.meCurveDiscountFactorsForwardStarting($BD$7,BD23,"PLNYC","WIB6M")</f>
        <v>0.92902855044479893</v>
      </c>
      <c r="BJ23" s="316">
        <f t="shared" si="8"/>
        <v>7.7847630287215548</v>
      </c>
      <c r="BK23" s="530">
        <f t="shared" si="9"/>
        <v>-18.955671978462483</v>
      </c>
      <c r="BL23" s="535">
        <f>PLN_DATA!AQ14</f>
        <v>24.75</v>
      </c>
      <c r="BM23" s="392">
        <f>BL23+BK23</f>
        <v>5.7943280215375168</v>
      </c>
    </row>
    <row r="24" spans="2:65" x14ac:dyDescent="0.25">
      <c r="H24" s="25" t="s">
        <v>364</v>
      </c>
      <c r="M24" s="27">
        <f>EUR_DATA!M24+$M$16</f>
        <v>1.6199999999999999E-3</v>
      </c>
      <c r="O24" s="24" t="str">
        <f>"PZSW8"&amp;$O$2&amp;" Curncy"</f>
        <v>PZSW8 ICPL Curncy</v>
      </c>
      <c r="P24" s="25" t="s">
        <v>355</v>
      </c>
      <c r="Q24" s="28"/>
      <c r="R24" s="29">
        <f>IF(O24="","",IF(StaticData.Today=TODAY(),_xll.BDP(O24,"BID"),_xll.BDH(O24,"BID",StaticData.Today,StaticData.Today)))</f>
        <v>0.89500000000000002</v>
      </c>
      <c r="S24" s="29">
        <f>IF(O24="","",IF(StaticData.Today=TODAY(),_xll.BDP(O24,"ASK"),_xll.BDH(O24,"ASK",StaticData.Today,StaticData.Today)))</f>
        <v>0.93500000000000005</v>
      </c>
      <c r="T24" s="30">
        <f>IF(O24="","",IF(StaticData.Today=TODAY(),_xll.BDP(O24,"LAST_PRICE"),_xll.BDH(O24,"LAST_PRICE",StaticData.Today,StaticData.Today)))</f>
        <v>0.91500000000000004</v>
      </c>
      <c r="U24" s="338">
        <f t="shared" si="10"/>
        <v>9.1500000000000001E-3</v>
      </c>
      <c r="W24" s="24" t="str">
        <f>"PZBSV12"&amp;$W$2&amp;" Curncy"</f>
        <v>PZBSV12 ICPL Curncy</v>
      </c>
      <c r="X24" s="25" t="s">
        <v>358</v>
      </c>
      <c r="Y24" s="191">
        <f>IF(W24="","",IF(StaticData.Today=TODAY(),_xll.BDP(W24,"LAST_PRICE"),_xll.BDH(W24,"LAST_PRICE",StaticData.Today,StaticData.Today)))</f>
        <v>9.75</v>
      </c>
      <c r="Z24" s="27">
        <f t="shared" si="13"/>
        <v>9.7499999999999996E-4</v>
      </c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 t="s">
        <v>1407</v>
      </c>
      <c r="AM24" s="355" t="s">
        <v>324</v>
      </c>
      <c r="AN24" s="28"/>
      <c r="AO24" s="29"/>
      <c r="AP24" s="29"/>
      <c r="AQ24" s="178">
        <f>PLN_DATA!BM15</f>
        <v>3.1172858235763137</v>
      </c>
      <c r="AR24" s="27">
        <f t="shared" si="17"/>
        <v>3.1172858235763135E-4</v>
      </c>
      <c r="AT24" s="24" t="str">
        <f t="shared" si="3"/>
        <v>PLN12M ICPL Curncy</v>
      </c>
      <c r="AU24" s="25" t="s">
        <v>322</v>
      </c>
      <c r="AV24" s="31"/>
      <c r="AW24" s="177">
        <f>IF(AT24="","",IF(StaticData.Today=TODAY(),_xll.BDP(AT24,"BID"),_xll.BDH(AT24,"BID",StaticData.Today,StaticData.Today)))</f>
        <v>-40</v>
      </c>
      <c r="AX24" s="177">
        <f>IF(AT24="","",IF(StaticData.Today=TODAY(),_xll.BDP(AT24,"ASK"),_xll.BDH(AT24,"ASK",StaticData.Today,StaticData.Today)))</f>
        <v>-20</v>
      </c>
      <c r="AY24" s="177">
        <f>IF(AT24="","",IF(StaticData.Today=TODAY(),_xll.BDP(AT24,"LAST_PRICE"),_xll.BDH(AT24,"LAST_PRICE",StaticData.Today,StaticData.Today)))</f>
        <v>-30</v>
      </c>
      <c r="AZ24" s="181">
        <f t="shared" si="12"/>
        <v>-30</v>
      </c>
      <c r="BC24" s="390" t="s">
        <v>1362</v>
      </c>
      <c r="BD24" s="516">
        <f>_xll.meDateFromTenor($BD$7,BC24,"MF",$BD$6)</f>
        <v>47189</v>
      </c>
      <c r="BE24" s="517">
        <f t="shared" si="5"/>
        <v>182</v>
      </c>
      <c r="BF24" s="518">
        <f>_xll.meCurveDiscountFactorsForwardStarting($BD$7,BD24,"EURYC","EUR6ML")</f>
        <v>1.0246286253513848</v>
      </c>
      <c r="BG24" s="316">
        <f t="shared" si="7"/>
        <v>8.6524508168975451</v>
      </c>
      <c r="BH24" s="527">
        <f>_xll.meLWOSwapParSpread(_xll.meLWOXccySwapCreateFromGenerator("TEST","EUR_XCCY","PAy",$BD$7,BD24,1,1,"Float","Float",,,,,"USD",TRUE,"LEG2:FLOAT"),$BG$2:$BH$4)</f>
        <v>-18.398011646811515</v>
      </c>
      <c r="BI24" s="316">
        <f>_xll.meCurveDiscountFactorsForwardStarting($BD$7,BD24,"PLNYC","WIB6M")</f>
        <v>0.92188221927439329</v>
      </c>
      <c r="BJ24" s="316">
        <f t="shared" si="8"/>
        <v>8.2444412860035818</v>
      </c>
      <c r="BK24" s="530">
        <f t="shared" si="9"/>
        <v>-19.308511684472158</v>
      </c>
      <c r="BL24" s="530"/>
    </row>
    <row r="25" spans="2:65" x14ac:dyDescent="0.25">
      <c r="H25" s="25" t="s">
        <v>349</v>
      </c>
      <c r="M25" s="27">
        <f>EUR_DATA!M25+$M$16</f>
        <v>2.1099999999999999E-3</v>
      </c>
      <c r="O25" s="24" t="str">
        <f>"PZSW9"&amp;$O$2&amp;" Curncy"</f>
        <v>PZSW9 ICPL Curncy</v>
      </c>
      <c r="P25" s="25" t="s">
        <v>364</v>
      </c>
      <c r="Q25" s="28"/>
      <c r="R25" s="29">
        <f>IF(O25="","",IF(StaticData.Today=TODAY(),_xll.BDP(O25,"BID"),_xll.BDH(O25,"BID",StaticData.Today,StaticData.Today)))</f>
        <v>0.96499999999999997</v>
      </c>
      <c r="S25" s="29">
        <f>IF(O25="","",IF(StaticData.Today=TODAY(),_xll.BDP(O25,"ASK"),_xll.BDH(O25,"ASK",StaticData.Today,StaticData.Today)))</f>
        <v>1.0049999999999999</v>
      </c>
      <c r="T25" s="30">
        <f>IF(O25="","",IF(StaticData.Today=TODAY(),_xll.BDP(O25,"LAST_PRICE"),_xll.BDH(O25,"LAST_PRICE",StaticData.Today,StaticData.Today)))</f>
        <v>0.98499999999999999</v>
      </c>
      <c r="U25" s="338">
        <f t="shared" si="10"/>
        <v>9.8499999999999994E-3</v>
      </c>
      <c r="W25" s="24" t="str">
        <f>"PZBSV15"&amp;$W$2&amp;" Curncy"</f>
        <v>PZBSV15 ICPL Curncy</v>
      </c>
      <c r="X25" s="25" t="s">
        <v>367</v>
      </c>
      <c r="Y25" s="191">
        <f>IF(W25="","",IF(StaticData.Today=TODAY(),_xll.BDP(W25,"LAST_PRICE"),_xll.BDH(W25,"LAST_PRICE",StaticData.Today,StaticData.Today)))</f>
        <v>9.5</v>
      </c>
      <c r="Z25" s="27">
        <f t="shared" si="13"/>
        <v>9.5E-4</v>
      </c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 t="s">
        <v>1408</v>
      </c>
      <c r="AM25" s="355" t="s">
        <v>331</v>
      </c>
      <c r="AN25" s="31"/>
      <c r="AO25" s="29"/>
      <c r="AP25" s="29"/>
      <c r="AQ25" s="178">
        <f>PLN_DATA!BM17</f>
        <v>4.5012015944744288</v>
      </c>
      <c r="AR25" s="27">
        <f t="shared" si="17"/>
        <v>4.5012015944744286E-4</v>
      </c>
      <c r="AT25" s="24" t="str">
        <f t="shared" si="3"/>
        <v>PLN18M ICPL Curncy</v>
      </c>
      <c r="AU25" s="25" t="s">
        <v>501</v>
      </c>
      <c r="AV25" s="31"/>
      <c r="AW25" s="177">
        <f>IF(AT25="","",IF(StaticData.Today=TODAY(),_xll.BDP(AT25,"BID"),_xll.BDH(AT25,"BID",StaticData.Today,StaticData.Today)))</f>
        <v>-55</v>
      </c>
      <c r="AX25" s="177">
        <f>IF(AT25="","",IF(StaticData.Today=TODAY(),_xll.BDP(AT25,"ASK"),_xll.BDH(AT25,"ASK",StaticData.Today,StaticData.Today)))</f>
        <v>-15</v>
      </c>
      <c r="AY25" s="177">
        <f>IF(AT25="","",IF(StaticData.Today=TODAY(),_xll.BDP(AT25,"LAST_PRICE"),_xll.BDH(AT25,"LAST_PRICE",StaticData.Today,StaticData.Today)))</f>
        <v>-35</v>
      </c>
      <c r="AZ25" s="181">
        <f t="shared" si="12"/>
        <v>-35</v>
      </c>
      <c r="BC25" s="390" t="s">
        <v>1363</v>
      </c>
      <c r="BD25" s="516">
        <f>_xll.meDateFromTenor($BD$7,BC25,"MF",$BD$6)</f>
        <v>47372</v>
      </c>
      <c r="BE25" s="517">
        <f t="shared" si="5"/>
        <v>183</v>
      </c>
      <c r="BF25" s="518">
        <f>_xll.meCurveDiscountFactorsForwardStarting($BD$7,BD25,"EURYC","EUR6ML")</f>
        <v>1.0239926733800626</v>
      </c>
      <c r="BG25" s="316">
        <f t="shared" si="7"/>
        <v>9.1658498832771382</v>
      </c>
      <c r="BH25" s="527">
        <f>_xll.meLWOSwapParSpread(_xll.meLWOXccySwapCreateFromGenerator("TEST","EUR_XCCY","PAy",$BD$7,BD25,1,1,"Float","Float",,,,,"USD",TRUE,"LEG2:FLOAT"),$BG$2:$BH$4)</f>
        <v>-18.500000001408658</v>
      </c>
      <c r="BI25" s="316">
        <f>_xll.meCurveDiscountFactorsForwardStarting($BD$7,BD25,"PLNYC","WIB6M")</f>
        <v>0.91452858560543282</v>
      </c>
      <c r="BJ25" s="316">
        <f t="shared" si="8"/>
        <v>8.7029583576906901</v>
      </c>
      <c r="BK25" s="530">
        <f t="shared" si="9"/>
        <v>-19.483974975439633</v>
      </c>
      <c r="BL25" s="535">
        <f>PLN_DATA!AQ15</f>
        <v>26</v>
      </c>
      <c r="BM25" s="392">
        <f>BL25+BK25</f>
        <v>6.516025024560367</v>
      </c>
    </row>
    <row r="26" spans="2:65" x14ac:dyDescent="0.25">
      <c r="H26" s="25" t="s">
        <v>358</v>
      </c>
      <c r="M26" s="27">
        <f>(EUR_DATA!M53-EUR_DATA!M36)+$M$16</f>
        <v>3.0299999999999997E-3</v>
      </c>
      <c r="O26" s="24" t="str">
        <f>"PZSW10"&amp;$O$2&amp;" Curncy"</f>
        <v>PZSW10 ICPL Curncy</v>
      </c>
      <c r="P26" s="25" t="s">
        <v>349</v>
      </c>
      <c r="Q26" s="28"/>
      <c r="R26" s="29">
        <f>IF(O26="","",IF(StaticData.Today=TODAY(),_xll.BDP(O26,"BID"),_xll.BDH(O26,"BID",StaticData.Today,StaticData.Today)))</f>
        <v>1.0349999999999999</v>
      </c>
      <c r="S26" s="29">
        <f>IF(O26="","",IF(StaticData.Today=TODAY(),_xll.BDP(O26,"ASK"),_xll.BDH(O26,"ASK",StaticData.Today,StaticData.Today)))</f>
        <v>1.075</v>
      </c>
      <c r="T26" s="30">
        <f>IF(O26="","",IF(StaticData.Today=TODAY(),_xll.BDP(O26,"LAST_PRICE"),_xll.BDH(O26,"LAST_PRICE",StaticData.Today,StaticData.Today)))</f>
        <v>1.0549999999999999</v>
      </c>
      <c r="U26" s="338">
        <f t="shared" si="10"/>
        <v>1.0549999999999999E-2</v>
      </c>
      <c r="W26" s="24" t="str">
        <f>"PZBSV20"&amp;$W$2&amp;" Curncy"</f>
        <v>PZBSV20 ICPL Curncy</v>
      </c>
      <c r="X26" s="25" t="s">
        <v>374</v>
      </c>
      <c r="Y26" s="191">
        <f>IF(W26="","",IF(StaticData.Today=TODAY(),_xll.BDP(W26,"LAST_PRICE"),_xll.BDH(W26,"LAST_PRICE",StaticData.Today,StaticData.Today)))</f>
        <v>10</v>
      </c>
      <c r="Z26" s="27">
        <f t="shared" si="13"/>
        <v>1E-3</v>
      </c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 t="s">
        <v>1409</v>
      </c>
      <c r="AM26" s="355" t="s">
        <v>339</v>
      </c>
      <c r="AN26" s="31"/>
      <c r="AO26" s="29"/>
      <c r="AP26" s="29"/>
      <c r="AQ26" s="178">
        <f>PLN_DATA!BM19</f>
        <v>4.4809844825859528</v>
      </c>
      <c r="AR26" s="27">
        <f t="shared" si="17"/>
        <v>4.480984482585953E-4</v>
      </c>
      <c r="AT26" s="24" t="str">
        <f t="shared" si="3"/>
        <v>PLN2Y ICPL Curncy</v>
      </c>
      <c r="AU26" s="25" t="s">
        <v>308</v>
      </c>
      <c r="AV26" s="31"/>
      <c r="AW26" s="178">
        <f>IF(AT26="","",IF(StaticData.Today=TODAY(),_xll.BDP(AT26,"BID"),_xll.BDH(AT26,"BID",StaticData.Today,StaticData.Today)))</f>
        <v>-50</v>
      </c>
      <c r="AX26" s="178">
        <f>IF(AT26="","",IF(StaticData.Today=TODAY(),_xll.BDP(AT26,"ASK"),_xll.BDH(AT26,"ASK",StaticData.Today,StaticData.Today)))</f>
        <v>10</v>
      </c>
      <c r="AY26" s="30">
        <f>IF(AT26="","",IF(StaticData.Today=TODAY(),_xll.BDP(AT26,"LAST_PRICE"),_xll.BDH(AT26,"LAST_PRICE",StaticData.Today,StaticData.Today)))</f>
        <v>-20</v>
      </c>
      <c r="AZ26" s="181">
        <f t="shared" si="12"/>
        <v>-20</v>
      </c>
      <c r="BC26" s="390" t="s">
        <v>1364</v>
      </c>
      <c r="BD26" s="516">
        <f>_xll.meDateFromTenor($BD$7,BC26,"MF",$BD$6)</f>
        <v>47553</v>
      </c>
      <c r="BE26" s="517">
        <f t="shared" si="5"/>
        <v>181</v>
      </c>
      <c r="BF26" s="518">
        <f>_xll.meCurveDiscountFactorsForwardStarting($BD$7,BD26,"EURYC","EUR6ML")</f>
        <v>1.0230295030235947</v>
      </c>
      <c r="BG26" s="316">
        <f t="shared" si="7"/>
        <v>9.6731604039545918</v>
      </c>
      <c r="BH26" s="527">
        <f>_xll.meLWOSwapParSpread(_xll.meLWOXccySwapCreateFromGenerator("TEST","EUR_XCCY","PAy",$BD$7,BD26,1,1,"Float","Float",,,,,"USD",TRUE,"LEG2:FLOAT"),$BG$2:$BH$4)</f>
        <v>-18.630573991837753</v>
      </c>
      <c r="BI26" s="316">
        <f>_xll.meCurveDiscountFactorsForwardStarting($BD$7,BD26,"PLNYC","WIB6M")</f>
        <v>0.90710243025664106</v>
      </c>
      <c r="BJ26" s="316">
        <f t="shared" si="8"/>
        <v>9.1527817546124766</v>
      </c>
      <c r="BK26" s="530">
        <f t="shared" si="9"/>
        <v>-19.689809663600077</v>
      </c>
      <c r="BL26" s="530"/>
    </row>
    <row r="27" spans="2:65" x14ac:dyDescent="0.25">
      <c r="H27" s="25" t="s">
        <v>367</v>
      </c>
      <c r="M27" s="27">
        <f>(EUR_DATA!M54-EUR_DATA!M37)+$M$16</f>
        <v>4.15E-3</v>
      </c>
      <c r="O27" s="24" t="str">
        <f>"PZSW12"&amp;$O$2&amp;" Curncy"</f>
        <v>PZSW12 ICPL Curncy</v>
      </c>
      <c r="P27" s="25" t="s">
        <v>358</v>
      </c>
      <c r="Q27" s="28"/>
      <c r="R27" s="29">
        <f>IF(O27="","",IF(StaticData.Today=TODAY(),_xll.BDP(O27,"BID"),_xll.BDH(O27,"BID",StaticData.Today,StaticData.Today)))</f>
        <v>1.165</v>
      </c>
      <c r="S27" s="29">
        <f>IF(O27="","",IF(StaticData.Today=TODAY(),_xll.BDP(O27,"ASK"),_xll.BDH(O27,"ASK",StaticData.Today,StaticData.Today)))</f>
        <v>1.2050000000000001</v>
      </c>
      <c r="T27" s="30">
        <f>IF(O27="","",IF(StaticData.Today=TODAY(),_xll.BDP(O27,"LAST_PRICE"),_xll.BDH(O27,"LAST_PRICE",StaticData.Today,StaticData.Today)))</f>
        <v>1.1850000000000001</v>
      </c>
      <c r="U27" s="338">
        <f t="shared" si="10"/>
        <v>1.1850000000000001E-2</v>
      </c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 t="s">
        <v>1410</v>
      </c>
      <c r="AM27" s="355" t="s">
        <v>342</v>
      </c>
      <c r="AN27" s="31"/>
      <c r="AO27" s="29"/>
      <c r="AP27" s="29"/>
      <c r="AQ27" s="178">
        <f>PLN_DATA!BM21</f>
        <v>4.9957373070322824</v>
      </c>
      <c r="AR27" s="27">
        <f t="shared" si="17"/>
        <v>4.9957373070322819E-4</v>
      </c>
      <c r="AT27" s="24" t="str">
        <f t="shared" si="3"/>
        <v>PLN3Y ICPL Curncy</v>
      </c>
      <c r="AU27" s="25" t="s">
        <v>316</v>
      </c>
      <c r="AV27" s="28"/>
      <c r="AW27" s="178">
        <f>IF(AT27="","",IF(StaticData.Today=TODAY(),_xll.BDP(AT27,"BID"),_xll.BDH(AT27,"BID",StaticData.Today,StaticData.Today)))</f>
        <v>10</v>
      </c>
      <c r="AX27" s="178">
        <f>IF(AT27="","",IF(StaticData.Today=TODAY(),_xll.BDP(AT27,"ASK"),_xll.BDH(AT27,"ASK",StaticData.Today,StaticData.Today)))</f>
        <v>110</v>
      </c>
      <c r="AY27" s="30">
        <f>IF(AT27="","",IF(StaticData.Today=TODAY(),_xll.BDP(AT27,"LAST_PRICE"),_xll.BDH(AT27,"LAST_PRICE",StaticData.Today,StaticData.Today)))</f>
        <v>60</v>
      </c>
      <c r="AZ27" s="181">
        <f t="shared" si="12"/>
        <v>60</v>
      </c>
      <c r="BC27" s="563" t="s">
        <v>1365</v>
      </c>
      <c r="BD27" s="553">
        <f>_xll.meDateFromTenor($BD$7,BC27,"MF",$BD$6)</f>
        <v>47737</v>
      </c>
      <c r="BE27" s="564">
        <f t="shared" si="5"/>
        <v>184</v>
      </c>
      <c r="BF27" s="555">
        <f>_xll.meCurveDiscountFactorsForwardStarting($BD$7,BD27,"EURYC","EUR6ML")</f>
        <v>1.0217943091916761</v>
      </c>
      <c r="BG27" s="316">
        <f t="shared" si="7"/>
        <v>10.188256713245739</v>
      </c>
      <c r="BH27" s="527">
        <f>_xll.meLWOSwapParSpread(_xll.meLWOXccySwapCreateFromGenerator("TEST","EUR_XCCY","PAy",$BD$7,BD27,1,1,"Float","Float",,,,,"USD",TRUE,"LEG2:FLOAT"),$BG$2:$BH$4)</f>
        <v>-18.750000001539547</v>
      </c>
      <c r="BI27" s="316">
        <f>_xll.meCurveDiscountFactorsForwardStarting($BD$7,BD27,"PLNYC","WIB6M")</f>
        <v>0.89937374818442117</v>
      </c>
      <c r="BJ27" s="316">
        <f t="shared" si="8"/>
        <v>9.6061646852040745</v>
      </c>
      <c r="BK27" s="530">
        <f t="shared" si="9"/>
        <v>-19.886168897695164</v>
      </c>
      <c r="BL27" s="568">
        <f>PLN_DATA!AQ16</f>
        <v>27</v>
      </c>
      <c r="BM27" s="570">
        <f>BL27+BK27</f>
        <v>7.113831102304836</v>
      </c>
    </row>
    <row r="28" spans="2:65" x14ac:dyDescent="0.25">
      <c r="H28" s="25" t="s">
        <v>374</v>
      </c>
      <c r="M28" s="27">
        <f>(EUR_DATA!M55-EUR_DATA!M38)+$M$16</f>
        <v>5.0400000000000002E-3</v>
      </c>
      <c r="O28" s="24" t="str">
        <f>"PZSW15"&amp;$O$2&amp;" Curncy"</f>
        <v>PZSW15 ICPL Curncy</v>
      </c>
      <c r="P28" s="25" t="s">
        <v>367</v>
      </c>
      <c r="Q28" s="28"/>
      <c r="R28" s="29">
        <f>IF(O28="","",IF(StaticData.Today=TODAY(),_xll.BDP(O28,"BID"),_xll.BDH(O28,"BID",StaticData.Today,StaticData.Today)))</f>
        <v>1.32</v>
      </c>
      <c r="S28" s="29">
        <f>IF(O28="","",IF(StaticData.Today=TODAY(),_xll.BDP(O28,"ASK"),_xll.BDH(O28,"ASK",StaticData.Today,StaticData.Today)))</f>
        <v>1.36</v>
      </c>
      <c r="T28" s="30">
        <f>IF(O28="","",IF(StaticData.Today=TODAY(),_xll.BDP(O28,"LAST_PRICE"),_xll.BDH(O28,"LAST_PRICE",StaticData.Today,StaticData.Today)))</f>
        <v>1.34</v>
      </c>
      <c r="U28" s="338">
        <f t="shared" si="10"/>
        <v>1.34E-2</v>
      </c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 t="s">
        <v>1411</v>
      </c>
      <c r="AM28" s="355" t="s">
        <v>355</v>
      </c>
      <c r="AN28" s="31"/>
      <c r="AO28" s="29"/>
      <c r="AP28" s="29"/>
      <c r="AQ28" s="178">
        <f>PLN_DATA!BM23</f>
        <v>5.7943280215375168</v>
      </c>
      <c r="AR28" s="27">
        <f t="shared" si="17"/>
        <v>5.7943280215375168E-4</v>
      </c>
      <c r="AT28" s="24" t="str">
        <f t="shared" si="3"/>
        <v>PLN4Y ICPL Curncy</v>
      </c>
      <c r="AU28" s="25" t="s">
        <v>324</v>
      </c>
      <c r="AV28" s="28"/>
      <c r="AW28" s="178" t="str">
        <f>IF(AT28="","",IF(StaticData.Today=TODAY(),_xll.BDP(AT28,"BID"),_xll.BDH(AT28,"BID",StaticData.Today,StaticData.Today)))</f>
        <v>#N/A N/A</v>
      </c>
      <c r="AX28" s="178" t="str">
        <f>IF(AT28="","",IF(StaticData.Today=TODAY(),_xll.BDP(AT28,"ASK"),_xll.BDH(AT28,"ASK",StaticData.Today,StaticData.Today)))</f>
        <v>#N/A N/A</v>
      </c>
      <c r="AY28" s="30" t="str">
        <f>IF(AT28="","",IF(StaticData.Today=TODAY(),_xll.BDP(AT28,"LAST_PRICE"),_xll.BDH(AT28,"LAST_PRICE",StaticData.Today,StaticData.Today)))</f>
        <v>#N/A N/A</v>
      </c>
      <c r="AZ28" s="181">
        <v>-40</v>
      </c>
      <c r="BC28" s="390" t="s">
        <v>1366</v>
      </c>
      <c r="BD28" s="516">
        <f>_xll.meDateFromTenor($BD$7,BC28,"MF",$BD$6)</f>
        <v>47918</v>
      </c>
      <c r="BE28" s="517">
        <f t="shared" si="5"/>
        <v>181</v>
      </c>
      <c r="BF28" s="518">
        <f>_xll.meCurveDiscountFactorsForwardStarting($BD$7,BD28,"EURYC","EUR6ML")</f>
        <v>1.020422717916649</v>
      </c>
      <c r="BG28" s="316">
        <f t="shared" si="7"/>
        <v>10.694274554185228</v>
      </c>
      <c r="BH28" s="527">
        <f>_xll.meLWOSwapParSpread(_xll.meLWOXccySwapCreateFromGenerator("TEST","EUR_XCCY","PAy",$BD$7,BD28,1,1,"Float","Float",,,,,"USD",TRUE,"LEG2:FLOAT"),$BG$2:$BH$4)</f>
        <v>-18.865612678614976</v>
      </c>
      <c r="BI28" s="316">
        <f>_xll.meCurveDiscountFactorsForwardStarting($BD$7,BD28,"PLNYC","WIB6M")</f>
        <v>0.89157112061425492</v>
      </c>
      <c r="BJ28" s="316">
        <f t="shared" si="8"/>
        <v>10.048286254604568</v>
      </c>
      <c r="BK28" s="530">
        <f t="shared" si="9"/>
        <v>-20.078452833245446</v>
      </c>
      <c r="BL28" s="530"/>
    </row>
    <row r="29" spans="2:65" x14ac:dyDescent="0.25">
      <c r="H29" s="25" t="s">
        <v>382</v>
      </c>
      <c r="M29" s="27">
        <f>(EUR_DATA!M56-EUR_DATA!M39)+$M$16</f>
        <v>5.1199999999999996E-3</v>
      </c>
      <c r="O29" s="24" t="str">
        <f>"PZSW20"&amp;$O$2&amp;" Curncy"</f>
        <v>PZSW20 ICPL Curncy</v>
      </c>
      <c r="P29" s="25" t="s">
        <v>374</v>
      </c>
      <c r="Q29" s="28"/>
      <c r="R29" s="29">
        <f>IF(O29="","",IF(StaticData.Today=TODAY(),_xll.BDP(O29,"BID"),_xll.BDH(O29,"BID",StaticData.Today,StaticData.Today)))</f>
        <v>1.385</v>
      </c>
      <c r="S29" s="29">
        <f>IF(O29="","",IF(StaticData.Today=TODAY(),_xll.BDP(O29,"ASK"),_xll.BDH(O29,"ASK",StaticData.Today,StaticData.Today)))</f>
        <v>1.425</v>
      </c>
      <c r="T29" s="30">
        <f>IF(O29="","",IF(StaticData.Today=TODAY(),_xll.BDP(O29,"LAST_PRICE"),_xll.BDH(O29,"LAST_PRICE",StaticData.Today,StaticData.Today)))</f>
        <v>1.405</v>
      </c>
      <c r="U29" s="338">
        <f t="shared" si="10"/>
        <v>1.405E-2</v>
      </c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 t="s">
        <v>1412</v>
      </c>
      <c r="AM29" s="355" t="s">
        <v>364</v>
      </c>
      <c r="AN29" s="31"/>
      <c r="AO29" s="29"/>
      <c r="AP29" s="29"/>
      <c r="AQ29" s="178">
        <f>PLN_DATA!BM25</f>
        <v>6.516025024560367</v>
      </c>
      <c r="AR29" s="27">
        <f t="shared" si="17"/>
        <v>6.5160250245603667E-4</v>
      </c>
      <c r="AT29" s="24" t="str">
        <f t="shared" si="3"/>
        <v>PLN5Y ICPL Curncy</v>
      </c>
      <c r="AU29" s="25" t="s">
        <v>331</v>
      </c>
      <c r="AV29" s="28"/>
      <c r="AW29" s="178" t="str">
        <f>IF(AT29="","",IF(StaticData.Today=TODAY(),_xll.BDP(AT29,"BID"),_xll.BDH(AT29,"BID",StaticData.Today,StaticData.Today)))</f>
        <v>#N/A N/A</v>
      </c>
      <c r="AX29" s="178" t="str">
        <f>IF(AT29="","",IF(StaticData.Today=TODAY(),_xll.BDP(AT29,"ASK"),_xll.BDH(AT29,"ASK",StaticData.Today,StaticData.Today)))</f>
        <v>#N/A N/A</v>
      </c>
      <c r="AY29" s="30" t="str">
        <f>IF(AT29="","",IF(StaticData.Today=TODAY(),_xll.BDP(AT29,"LAST_PRICE"),_xll.BDH(AT29,"LAST_PRICE",StaticData.Today,StaticData.Today)))</f>
        <v>#N/A N/A</v>
      </c>
      <c r="AZ29" s="181">
        <v>-40</v>
      </c>
      <c r="BC29" s="390" t="s">
        <v>1367</v>
      </c>
      <c r="BD29" s="516">
        <f>_xll.meDateFromTenor($BD$7,BC29,"MF",$BD$6)</f>
        <v>48102</v>
      </c>
      <c r="BE29" s="517">
        <f t="shared" si="5"/>
        <v>184</v>
      </c>
      <c r="BF29" s="518">
        <f>_xll.meCurveDiscountFactorsForwardStarting($BD$7,BD29,"EURYC","EUR6ML")</f>
        <v>1.0188923057410473</v>
      </c>
      <c r="BG29" s="316">
        <f t="shared" si="7"/>
        <v>11.207907935709482</v>
      </c>
      <c r="BH29" s="527">
        <f>_xll.meLWOSwapParSpread(_xll.meLWOXccySwapCreateFromGenerator("TEST","EUR_XCCY","PAy",$BD$7,BD29,1,1,"Float","Float",,,,,"USD",TRUE,"LEG2:FLOAT"),$BG$2:$BH$4)</f>
        <v>-18.973506991476171</v>
      </c>
      <c r="BI29" s="316">
        <f>_xll.meCurveDiscountFactorsForwardStarting($BD$7,BD29,"PLNYC","WIB6M")</f>
        <v>0.88344423971071262</v>
      </c>
      <c r="BJ29" s="316">
        <f t="shared" si="8"/>
        <v>10.493638967225859</v>
      </c>
      <c r="BK29" s="530">
        <f t="shared" si="9"/>
        <v>-20.264973880097479</v>
      </c>
      <c r="BL29" s="530"/>
    </row>
    <row r="30" spans="2:65" x14ac:dyDescent="0.25">
      <c r="H30" s="25" t="s">
        <v>389</v>
      </c>
      <c r="M30" s="27">
        <f>(EUR_DATA!M57-EUR_DATA!M40)+$M$16</f>
        <v>4.9100000000000003E-3</v>
      </c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 t="s">
        <v>1413</v>
      </c>
      <c r="AM30" s="355" t="s">
        <v>349</v>
      </c>
      <c r="AN30" s="31"/>
      <c r="AO30" s="29"/>
      <c r="AP30" s="29"/>
      <c r="AQ30" s="178">
        <f>PLN_DATA!BM27</f>
        <v>7.113831102304836</v>
      </c>
      <c r="AR30" s="27">
        <f t="shared" si="17"/>
        <v>7.113831102304836E-4</v>
      </c>
      <c r="AT30" s="24"/>
      <c r="AU30" s="25"/>
      <c r="AV30" s="28"/>
      <c r="AW30" s="178"/>
      <c r="AX30" s="178"/>
      <c r="AY30" s="30"/>
      <c r="AZ30" s="27"/>
      <c r="BC30" s="390" t="s">
        <v>1368</v>
      </c>
      <c r="BD30" s="516">
        <f>_xll.meDateFromTenor($BD$7,BC30,"MF",$BD$6)</f>
        <v>48284</v>
      </c>
      <c r="BE30" s="517">
        <f t="shared" si="5"/>
        <v>182</v>
      </c>
      <c r="BF30" s="518">
        <f>_xll.meCurveDiscountFactorsForwardStarting($BD$7,BD30,"EURYC","EUR6ML")</f>
        <v>1.0172477471521673</v>
      </c>
      <c r="BG30" s="316">
        <f t="shared" si="7"/>
        <v>11.715138319220973</v>
      </c>
      <c r="BH30" s="527">
        <f>_xll.meLWOSwapParSpread(_xll.meLWOXccySwapCreateFromGenerator("TEST","EUR_XCCY","PAy",$BD$7,BD30,1,1,"Float","Float",,,,,"USD",TRUE,"LEG2:FLOAT"),$BG$2:$BH$4)</f>
        <v>-19.061381407338466</v>
      </c>
      <c r="BI30" s="316">
        <f>_xll.meCurveDiscountFactorsForwardStarting($BD$7,BD30,"PLNYC","WIB6M")</f>
        <v>0.87522837866429981</v>
      </c>
      <c r="BJ30" s="316">
        <f t="shared" si="8"/>
        <v>10.930054213573538</v>
      </c>
      <c r="BK30" s="530">
        <f t="shared" si="9"/>
        <v>-20.430522610316295</v>
      </c>
      <c r="BL30" s="530"/>
    </row>
    <row r="31" spans="2:65" x14ac:dyDescent="0.25">
      <c r="H31" s="25" t="s">
        <v>445</v>
      </c>
      <c r="M31" s="27">
        <f>(EUR_DATA!M58-EUR_DATA!M41)+$M$16</f>
        <v>4.5199999999999997E-3</v>
      </c>
      <c r="O31" s="24"/>
      <c r="P31" s="25"/>
      <c r="Q31" s="28"/>
      <c r="R31" s="29"/>
      <c r="S31" s="29"/>
      <c r="T31" s="30"/>
      <c r="U31" s="183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 t="s">
        <v>1414</v>
      </c>
      <c r="AM31" s="355" t="s">
        <v>358</v>
      </c>
      <c r="AN31" s="31"/>
      <c r="AO31" s="29"/>
      <c r="AP31" s="29"/>
      <c r="AQ31" s="178">
        <f>PLN_DATA!BM31</f>
        <v>8.1297700538209696</v>
      </c>
      <c r="AR31" s="27">
        <f t="shared" si="17"/>
        <v>8.12977005382097E-4</v>
      </c>
      <c r="AT31" s="24"/>
      <c r="AU31" s="25"/>
      <c r="AV31" s="28"/>
      <c r="AW31" s="178"/>
      <c r="AX31" s="178"/>
      <c r="AY31" s="30"/>
      <c r="AZ31" s="27"/>
      <c r="BC31" s="390" t="s">
        <v>1369</v>
      </c>
      <c r="BD31" s="516">
        <f>_xll.meDateFromTenor($BD$7,BC31,"MF",$BD$6)</f>
        <v>48470</v>
      </c>
      <c r="BE31" s="517">
        <f t="shared" si="5"/>
        <v>186</v>
      </c>
      <c r="BF31" s="518">
        <f>_xll.meCurveDiscountFactorsForwardStarting($BD$7,BD31,"EURYC","EUR6ML")</f>
        <v>1.0154370381672257</v>
      </c>
      <c r="BG31" s="316">
        <f t="shared" si="7"/>
        <v>12.232593905793861</v>
      </c>
      <c r="BH31" s="527">
        <f>_xll.meLWOSwapParSpread(_xll.meLWOXccySwapCreateFromGenerator("TEST","EUR_XCCY","PAy",$BD$7,BD31,1,1,"Float","Float",,,,,"USD",TRUE,"LEG2:FLOAT"),$BG$2:$BH$4)</f>
        <v>-19.16903515190036</v>
      </c>
      <c r="BI31" s="316">
        <f>_xll.meCurveDiscountFactorsForwardStarting($BD$7,BD31,"PLNYC","WIB6M")</f>
        <v>0.86666608864812944</v>
      </c>
      <c r="BJ31" s="316">
        <f t="shared" si="8"/>
        <v>11.371697754638063</v>
      </c>
      <c r="BK31" s="530">
        <f t="shared" si="9"/>
        <v>-20.62022994617903</v>
      </c>
      <c r="BL31" s="535">
        <f>PLN_DATA!AQ17</f>
        <v>28.75</v>
      </c>
      <c r="BM31" s="392">
        <f>BL31+BK31</f>
        <v>8.1297700538209696</v>
      </c>
    </row>
    <row r="32" spans="2:65" x14ac:dyDescent="0.25">
      <c r="H32" s="25" t="s">
        <v>448</v>
      </c>
      <c r="M32" s="27">
        <f>(EUR_DATA!M59-EUR_DATA!M42)+$M$16</f>
        <v>4.1600000000000005E-3</v>
      </c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 t="s">
        <v>1415</v>
      </c>
      <c r="AM32" s="355" t="s">
        <v>367</v>
      </c>
      <c r="AN32" s="31"/>
      <c r="AO32" s="29"/>
      <c r="AP32" s="29"/>
      <c r="AQ32" s="178">
        <f>PLN_DATA!BM37</f>
        <v>9.7562296188227009</v>
      </c>
      <c r="AR32" s="27">
        <f t="shared" si="17"/>
        <v>9.7562296188227011E-4</v>
      </c>
      <c r="AT32" s="24" t="str">
        <f>"PLN"&amp;AU32&amp;$AT$2&amp;" Curncy"</f>
        <v>PLNON ICPL Curncy</v>
      </c>
      <c r="AU32" s="15" t="s">
        <v>298</v>
      </c>
      <c r="AV32" s="18"/>
      <c r="AW32" s="178">
        <f>IF(AT32="","",IF(StaticData.Today=TODAY(),_xll.BDP(AT32,"BID"),_xll.BDH(AT32,"BID",StaticData.Today,StaticData.Today)))</f>
        <v>-0.2</v>
      </c>
      <c r="AX32" s="178">
        <f>IF(AT32="","",IF(StaticData.Today=TODAY(),_xll.BDP(AT32,"ASK"),_xll.BDH(AT32,"ASK",StaticData.Today,StaticData.Today)))</f>
        <v>-0.05</v>
      </c>
      <c r="AY32" s="336">
        <f>IF(AT32="","",IF(StaticData.Today=TODAY(),_xll.BDP(AT32,"PX_LAST"),_xll.BDH(AT32,"PX_LAST",StaticData.Today,StaticData.Today)))</f>
        <v>-0.13</v>
      </c>
      <c r="AZ32" s="334">
        <f t="shared" ref="AZ32:AZ34" si="18">AY32</f>
        <v>-0.13</v>
      </c>
      <c r="BC32" s="390" t="s">
        <v>1370</v>
      </c>
      <c r="BD32" s="516">
        <f>_xll.meDateFromTenor($BD$7,BC32,"MF",$BD$6)</f>
        <v>48649</v>
      </c>
      <c r="BE32" s="517">
        <f t="shared" si="5"/>
        <v>179</v>
      </c>
      <c r="BF32" s="518">
        <f>_xll.meCurveDiscountFactorsForwardStarting($BD$7,BD32,"EURYC","EUR6ML")</f>
        <v>1.0135792681389462</v>
      </c>
      <c r="BG32" s="316">
        <f t="shared" si="7"/>
        <v>12.729664286607207</v>
      </c>
      <c r="BH32" s="527">
        <f>_xll.meLWOSwapParSpread(_xll.meLWOXccySwapCreateFromGenerator("TEST","EUR_XCCY","PAy",$BD$7,BD32,1,1,"Float","Float",,,,,"USD",TRUE,"LEG2:FLOAT"),$BG$2:$BH$4)</f>
        <v>-19.157336590410729</v>
      </c>
      <c r="BI32" s="316">
        <f>_xll.meCurveDiscountFactorsForwardStarting($BD$7,BD32,"PLNYC","WIB6M")</f>
        <v>0.85829636888945804</v>
      </c>
      <c r="BJ32" s="316">
        <f t="shared" si="8"/>
        <v>11.792615699929058</v>
      </c>
      <c r="BK32" s="530">
        <f t="shared" si="9"/>
        <v>-20.679590484995792</v>
      </c>
      <c r="BL32" s="530"/>
    </row>
    <row r="33" spans="7:65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 t="s">
        <v>1416</v>
      </c>
      <c r="AM33" s="355" t="s">
        <v>374</v>
      </c>
      <c r="AN33" s="28"/>
      <c r="AO33" s="29"/>
      <c r="AP33" s="29"/>
      <c r="AQ33" s="178">
        <f>PLN_DATA!BM47</f>
        <v>13.514901228931354</v>
      </c>
      <c r="AR33" s="27">
        <f t="shared" si="17"/>
        <v>1.3514901228931355E-3</v>
      </c>
      <c r="AT33" s="24" t="str">
        <f>"PLN"&amp;AU33&amp;$AT$2&amp;" Curncy"</f>
        <v>PLNTN ICPL Curncy</v>
      </c>
      <c r="AU33" s="25" t="s">
        <v>506</v>
      </c>
      <c r="AV33" s="28"/>
      <c r="AW33" s="178">
        <f>IF(AT33="","",IF(StaticData.Today=TODAY(),_xll.BDP(AT33,"BID"),_xll.BDH(AT33,"BID",StaticData.Today,StaticData.Today)))</f>
        <v>-0.2</v>
      </c>
      <c r="AX33" s="178">
        <f>IF(AT33="","",IF(StaticData.Today=TODAY(),_xll.BDP(AT33,"ASK"),_xll.BDH(AT33,"ASK",StaticData.Today,StaticData.Today)))</f>
        <v>-0.15</v>
      </c>
      <c r="AY33" s="178">
        <f>IF(AT33="","",IF(StaticData.Today=TODAY(),_xll.BDP(AT33,"PX_LAST"),_xll.BDH(AT33,"PX_LAST",StaticData.Today,StaticData.Today)))</f>
        <v>-0.17499999999999999</v>
      </c>
      <c r="AZ33" s="33">
        <f t="shared" si="18"/>
        <v>-0.17499999999999999</v>
      </c>
      <c r="BC33" s="390" t="s">
        <v>1371</v>
      </c>
      <c r="BD33" s="516">
        <f>_xll.meDateFromTenor($BD$7,BC33,"MF",$BD$6)</f>
        <v>48834</v>
      </c>
      <c r="BE33" s="517">
        <f t="shared" si="5"/>
        <v>185</v>
      </c>
      <c r="BF33" s="518">
        <f>_xll.meCurveDiscountFactorsForwardStarting($BD$7,BD33,"EURYC","EUR6ML")</f>
        <v>1.0115699805949931</v>
      </c>
      <c r="BG33" s="316">
        <f t="shared" si="7"/>
        <v>13.242377838415628</v>
      </c>
      <c r="BH33" s="527">
        <f>_xll.meLWOSwapParSpread(_xll.meLWOXccySwapCreateFromGenerator("TEST","EUR_XCCY","PAy",$BD$7,BD33,1,1,"Float","Float",,,,,"USD",TRUE,"LEG2:FLOAT"),$BG$2:$BH$4)</f>
        <v>-19.199604037902517</v>
      </c>
      <c r="BI33" s="316">
        <f>_xll.meCurveDiscountFactorsForwardStarting($BD$7,BD33,"PLNYC","WIB6M")</f>
        <v>0.84959872909421585</v>
      </c>
      <c r="BJ33" s="316">
        <f t="shared" si="8"/>
        <v>12.223234233853525</v>
      </c>
      <c r="BK33" s="530">
        <f t="shared" si="9"/>
        <v>-20.800420425038403</v>
      </c>
      <c r="BL33" s="530"/>
    </row>
    <row r="34" spans="7:65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355"/>
      <c r="AN34" s="28"/>
      <c r="AO34" s="29"/>
      <c r="AP34" s="29"/>
      <c r="AQ34" s="30"/>
      <c r="AR34" s="27"/>
      <c r="AT34" s="24" t="str">
        <f>"PLN"&amp;AU34&amp;$AT$2&amp;" Curncy"</f>
        <v>PLNSN ICPL Curncy</v>
      </c>
      <c r="AU34" s="25" t="s">
        <v>1483</v>
      </c>
      <c r="AV34" s="28"/>
      <c r="AW34" s="178">
        <f>IF(AT34="","",IF(StaticData.Today=TODAY(),_xll.BDP(AT34,"BID"),_xll.BDH(AT34,"BID",StaticData.Today,StaticData.Today)))</f>
        <v>-0.6</v>
      </c>
      <c r="AX34" s="178">
        <f>IF(AT34="","",IF(StaticData.Today=TODAY(),_xll.BDP(AT34,"ASK"),_xll.BDH(AT34,"ASK",StaticData.Today,StaticData.Today)))</f>
        <v>-0.4</v>
      </c>
      <c r="AY34" s="178">
        <f>IF(AT34="","",IF(StaticData.Today=TODAY(),_xll.BDP(AT34,"PX_LAST"),_xll.BDH(AT34,"PX_LAST",StaticData.Today,StaticData.Today)))</f>
        <v>-0.5</v>
      </c>
      <c r="AZ34" s="33">
        <f t="shared" si="18"/>
        <v>-0.5</v>
      </c>
      <c r="BC34" s="390" t="s">
        <v>1372</v>
      </c>
      <c r="BD34" s="516">
        <f>_xll.meDateFromTenor($BD$7,BC34,"MF",$BD$6)</f>
        <v>49016</v>
      </c>
      <c r="BE34" s="517">
        <f t="shared" si="5"/>
        <v>182</v>
      </c>
      <c r="BF34" s="518">
        <f>_xll.meCurveDiscountFactorsForwardStarting($BD$7,BD34,"EURYC","EUR6ML")</f>
        <v>1.0095387575282204</v>
      </c>
      <c r="BG34" s="316">
        <f t="shared" si="7"/>
        <v>13.745764287374906</v>
      </c>
      <c r="BH34" s="527">
        <f>_xll.meLWOSwapParSpread(_xll.meLWOXccySwapCreateFromGenerator("TEST","EUR_XCCY","PAy",$BD$7,BD34,1,1,"Float","Float",,,,,"USD",TRUE,"LEG2:FLOAT"),$BG$2:$BH$4)</f>
        <v>-19.169378961952621</v>
      </c>
      <c r="BI34" s="316">
        <f>_xll.meCurveDiscountFactorsForwardStarting($BD$7,BD34,"PLNYC","WIB6M")</f>
        <v>0.8410913576967054</v>
      </c>
      <c r="BJ34" s="316">
        <f t="shared" si="8"/>
        <v>12.642627732759827</v>
      </c>
      <c r="BK34" s="530">
        <f t="shared" si="9"/>
        <v>-20.842009297132396</v>
      </c>
      <c r="BL34" s="530"/>
    </row>
    <row r="35" spans="7:65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355"/>
      <c r="AN35" s="28"/>
      <c r="AO35" s="29"/>
      <c r="AP35" s="29"/>
      <c r="AQ35" s="30"/>
      <c r="AR35" s="27"/>
      <c r="AT35" s="24"/>
      <c r="AU35" s="25"/>
      <c r="AV35" s="28"/>
      <c r="AW35" s="178"/>
      <c r="AX35" s="178"/>
      <c r="AY35" s="30"/>
      <c r="AZ35" s="27"/>
      <c r="BC35" s="390" t="s">
        <v>1373</v>
      </c>
      <c r="BD35" s="516">
        <f>_xll.meDateFromTenor($BD$7,BC35,"MF",$BD$6)</f>
        <v>49198</v>
      </c>
      <c r="BE35" s="517">
        <f t="shared" si="5"/>
        <v>182</v>
      </c>
      <c r="BF35" s="518">
        <f>_xll.meCurveDiscountFactorsForwardStarting($BD$7,BD35,"EURYC","EUR6ML")</f>
        <v>1.0074871173405546</v>
      </c>
      <c r="BG35" s="316">
        <f t="shared" si="7"/>
        <v>14.248127726706361</v>
      </c>
      <c r="BH35" s="527">
        <f>_xll.meLWOSwapParSpread(_xll.meLWOXccySwapCreateFromGenerator("TEST","EUR_XCCY","PAy",$BD$7,BD35,1,1,"Float","Float",,,,,"USD",TRUE,"LEG2:FLOAT"),$BG$2:$BH$4)</f>
        <v>-19.072188687586106</v>
      </c>
      <c r="BI35" s="316">
        <f>_xll.meCurveDiscountFactorsForwardStarting($BD$7,BD35,"PLNYC","WIB6M")</f>
        <v>0.83272499300089586</v>
      </c>
      <c r="BJ35" s="316">
        <f t="shared" si="8"/>
        <v>13.057849510091781</v>
      </c>
      <c r="BK35" s="530">
        <f t="shared" si="9"/>
        <v>-20.810699360453956</v>
      </c>
      <c r="BL35" s="530"/>
    </row>
    <row r="36" spans="7:65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355"/>
      <c r="AN36" s="28"/>
      <c r="AO36" s="29"/>
      <c r="AP36" s="29"/>
      <c r="AQ36" s="30"/>
      <c r="AR36" s="27"/>
      <c r="AT36" s="24"/>
      <c r="AU36" s="25"/>
      <c r="AV36" s="28"/>
      <c r="AW36" s="178"/>
      <c r="AX36" s="178"/>
      <c r="AY36" s="30"/>
      <c r="AZ36" s="27"/>
      <c r="BC36" s="390" t="s">
        <v>1374</v>
      </c>
      <c r="BD36" s="516">
        <f>_xll.meDateFromTenor($BD$7,BC36,"MF",$BD$6)</f>
        <v>49380</v>
      </c>
      <c r="BE36" s="517">
        <f t="shared" si="5"/>
        <v>182</v>
      </c>
      <c r="BF36" s="518">
        <f>_xll.meCurveDiscountFactorsForwardStarting($BD$7,BD36,"EURYC","EUR6ML")</f>
        <v>1.0054482646229919</v>
      </c>
      <c r="BG36" s="316">
        <f t="shared" si="7"/>
        <v>14.749474532627962</v>
      </c>
      <c r="BH36" s="527">
        <f>_xll.meLWOSwapParSpread(_xll.meLWOXccySwapCreateFromGenerator("TEST","EUR_XCCY","PAy",$BD$7,BD36,1,1,"Float","Float",,,,,"USD",TRUE,"LEG2:FLOAT"),$BG$2:$BH$4)</f>
        <v>-19.022591304345458</v>
      </c>
      <c r="BI36" s="316">
        <f>_xll.meCurveDiscountFactorsForwardStarting($BD$7,BD36,"PLNYC","WIB6M")</f>
        <v>0.82458765712146465</v>
      </c>
      <c r="BJ36" s="316">
        <f t="shared" si="8"/>
        <v>13.46901376651947</v>
      </c>
      <c r="BK36" s="530">
        <f t="shared" si="9"/>
        <v>-20.831014865057668</v>
      </c>
      <c r="BL36" s="530"/>
    </row>
    <row r="37" spans="7:65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35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 t="str">
        <f>IF(AT37="","",IF(StaticData.Today=TODAY(),_xll.BDP(AT37,"LAST_PRICE"),_xll.BDH(AT37,"LAST_PRICE",StaticData.Today,StaticData.Today)))</f>
        <v/>
      </c>
      <c r="AZ37" s="27"/>
      <c r="BC37" s="390" t="s">
        <v>1375</v>
      </c>
      <c r="BD37" s="516">
        <f>_xll.meDateFromTenor($BD$7,BC37,"MF",$BD$6)</f>
        <v>49563</v>
      </c>
      <c r="BE37" s="517">
        <f t="shared" si="5"/>
        <v>183</v>
      </c>
      <c r="BF37" s="518">
        <f>_xll.meCurveDiscountFactorsForwardStarting($BD$7,BD37,"EURYC","EUR6ML")</f>
        <v>1.0034443719881088</v>
      </c>
      <c r="BG37" s="316">
        <f t="shared" si="7"/>
        <v>15.252571299953507</v>
      </c>
      <c r="BH37" s="527">
        <f>_xll.meLWOSwapParSpread(_xll.meLWOXccySwapCreateFromGenerator("TEST","EUR_XCCY","PAy",$BD$7,BD37,1,1,"Float","Float",,,,,"USD",TRUE,"LEG2:FLOAT"),$BG$2:$BH$4)</f>
        <v>-18.875000001415664</v>
      </c>
      <c r="BI37" s="316">
        <f>_xll.meCurveDiscountFactorsForwardStarting($BD$7,BD37,"PLNYC","WIB6M")</f>
        <v>0.81672196005125097</v>
      </c>
      <c r="BJ37" s="316">
        <f t="shared" si="8"/>
        <v>13.878493543750645</v>
      </c>
      <c r="BK37" s="530">
        <f t="shared" si="9"/>
        <v>-20.743770381177299</v>
      </c>
      <c r="BL37" s="535">
        <f>PLN_DATA!AQ18</f>
        <v>30.5</v>
      </c>
      <c r="BM37" s="392">
        <f>BL37+BK37</f>
        <v>9.7562296188227009</v>
      </c>
    </row>
    <row r="38" spans="7:65" x14ac:dyDescent="0.25">
      <c r="G38" s="6" t="s">
        <v>1184</v>
      </c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35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  <c r="BC38" s="390" t="s">
        <v>1376</v>
      </c>
      <c r="BD38" s="516">
        <f>_xll.meDateFromTenor($BD$7,BC38,"MF",$BD$6)</f>
        <v>49745</v>
      </c>
      <c r="BE38" s="517">
        <f t="shared" si="5"/>
        <v>182</v>
      </c>
      <c r="BF38" s="518">
        <f>_xll.meCurveDiscountFactorsForwardStarting($BD$7,BD38,"EURYC","EUR6ML")</f>
        <v>1.0015256138025066</v>
      </c>
      <c r="BG38" s="316">
        <f t="shared" si="7"/>
        <v>15.751962153959141</v>
      </c>
      <c r="BH38" s="527">
        <f>_xll.meLWOSwapParSpread(_xll.meLWOXccySwapCreateFromGenerator("TEST","EUR_XCCY","PAy",$BD$7,BD38,1,1,"Float","Float",,,,,"USD",TRUE,"LEG2:FLOAT"),$BG$2:$BH$4)</f>
        <v>-18.740932644154856</v>
      </c>
      <c r="BI38" s="316">
        <f>_xll.meCurveDiscountFactorsForwardStarting($BD$7,BD38,"PLNYC","WIB6M")</f>
        <v>0.80927551081866667</v>
      </c>
      <c r="BJ38" s="316">
        <f t="shared" si="8"/>
        <v>14.282022702569815</v>
      </c>
      <c r="BK38" s="530">
        <f t="shared" si="9"/>
        <v>-20.669793620164683</v>
      </c>
      <c r="BL38" s="530"/>
    </row>
    <row r="39" spans="7:65" x14ac:dyDescent="0.25">
      <c r="G39" s="461">
        <v>43930</v>
      </c>
      <c r="H39" s="6">
        <v>0.5</v>
      </c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35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/>
      <c r="AZ39" s="27"/>
      <c r="BC39" s="390" t="s">
        <v>1377</v>
      </c>
      <c r="BD39" s="516">
        <f>_xll.meDateFromTenor($BD$7,BC39,"MF",$BD$6)</f>
        <v>49929</v>
      </c>
      <c r="BE39" s="517">
        <f t="shared" si="5"/>
        <v>184</v>
      </c>
      <c r="BF39" s="518">
        <f>_xll.meCurveDiscountFactorsForwardStarting($BD$7,BD39,"EURYC","EUR6ML")</f>
        <v>0.99967093799355766</v>
      </c>
      <c r="BG39" s="316">
        <f t="shared" si="7"/>
        <v>16.255905859687399</v>
      </c>
      <c r="BH39" s="527">
        <f>_xll.meLWOSwapParSpread(_xll.meLWOXccySwapCreateFromGenerator("TEST","EUR_XCCY","PAy",$BD$7,BD39,1,1,"Float","Float",,,,,"USD",TRUE,"LEG2:FLOAT"),$BG$2:$BH$4)</f>
        <v>-18.579285027553762</v>
      </c>
      <c r="BI39" s="316">
        <f>_xll.meCurveDiscountFactorsForwardStarting($BD$7,BD39,"PLNYC","WIB6M")</f>
        <v>0.80210757725819448</v>
      </c>
      <c r="BJ39" s="316">
        <f t="shared" si="8"/>
        <v>14.686372823708192</v>
      </c>
      <c r="BK39" s="530">
        <f t="shared" si="9"/>
        <v>-20.564853689445911</v>
      </c>
      <c r="BL39" s="530"/>
    </row>
    <row r="40" spans="7:65" x14ac:dyDescent="0.25">
      <c r="G40" s="385">
        <v>43979</v>
      </c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35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  <c r="BC40" s="390" t="s">
        <v>1378</v>
      </c>
      <c r="BD40" s="516">
        <f>_xll.meDateFromTenor($BD$7,BC40,"MF",$BD$6)</f>
        <v>50110</v>
      </c>
      <c r="BE40" s="517">
        <f t="shared" si="5"/>
        <v>181</v>
      </c>
      <c r="BF40" s="518">
        <f>_xll.meCurveDiscountFactorsForwardStarting($BD$7,BD40,"EURYC","EUR6ML")</f>
        <v>0.99793518796183589</v>
      </c>
      <c r="BG40" s="316">
        <f t="shared" si="7"/>
        <v>16.750772350156144</v>
      </c>
      <c r="BH40" s="527">
        <f>_xll.meLWOSwapParSpread(_xll.meLWOXccySwapCreateFromGenerator("TEST","EUR_XCCY","PAy",$BD$7,BD40,1,1,"Float","Float",,,,,"USD",TRUE,"LEG2:FLOAT"),$BG$2:$BH$4)</f>
        <v>-18.392142501615229</v>
      </c>
      <c r="BI40" s="316">
        <f>_xll.meCurveDiscountFactorsForwardStarting($BD$7,BD40,"PLNYC","WIB6M")</f>
        <v>0.79537043749129899</v>
      </c>
      <c r="BJ40" s="316">
        <f t="shared" si="8"/>
        <v>15.080789396820315</v>
      </c>
      <c r="BK40" s="530">
        <f t="shared" si="9"/>
        <v>-20.428810718697868</v>
      </c>
      <c r="BL40" s="530"/>
    </row>
    <row r="41" spans="7:65" x14ac:dyDescent="0.25">
      <c r="G41" s="385">
        <v>43984</v>
      </c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35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  <c r="BC41" s="520" t="s">
        <v>1379</v>
      </c>
      <c r="BD41" s="516">
        <f>_xll.meDateFromTenor($BD$7,BC41,"MF",$BD$6)</f>
        <v>50294</v>
      </c>
      <c r="BE41" s="517">
        <f t="shared" si="5"/>
        <v>184</v>
      </c>
      <c r="BF41" s="518">
        <f>_xll.meCurveDiscountFactorsForwardStarting($BD$7,BD41,"EURYC","EUR6ML")</f>
        <v>0.99626604889422166</v>
      </c>
      <c r="BG41" s="316">
        <f t="shared" si="7"/>
        <v>17.252999618639805</v>
      </c>
      <c r="BH41" s="527">
        <f>_xll.meLWOSwapParSpread(_xll.meLWOXccySwapCreateFromGenerator("TEST","EUR_XCCY","PAy",$BD$7,BD41,1,1,"Float","Float",,,,,"USD",TRUE,"LEG2:FLOAT"),$BG$2:$BH$4)</f>
        <v>-18.171831411935695</v>
      </c>
      <c r="BI41" s="316">
        <f>_xll.meCurveDiscountFactorsForwardStarting($BD$7,BD41,"PLNYC","WIB6M")</f>
        <v>0.78880187669239588</v>
      </c>
      <c r="BJ41" s="316">
        <f t="shared" si="8"/>
        <v>15.478431986714563</v>
      </c>
      <c r="BK41" s="530">
        <f t="shared" si="9"/>
        <v>-20.255191268031055</v>
      </c>
      <c r="BL41" s="530"/>
    </row>
    <row r="42" spans="7:65" x14ac:dyDescent="0.25">
      <c r="G42" s="385">
        <v>44019</v>
      </c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35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  <c r="BC42" s="390" t="s">
        <v>1380</v>
      </c>
      <c r="BD42" s="516">
        <f>_xll.meDateFromTenor($BD$7,BC42,"MF",$BD$6)</f>
        <v>50475</v>
      </c>
      <c r="BE42" s="517">
        <f t="shared" si="5"/>
        <v>181</v>
      </c>
      <c r="BF42" s="518">
        <f>_xll.meCurveDiscountFactorsForwardStarting($BD$7,BD42,"EURYC","EUR6ML")</f>
        <v>0.99472304842287962</v>
      </c>
      <c r="BG42" s="316">
        <f t="shared" si="7"/>
        <v>17.746273239912522</v>
      </c>
      <c r="BH42" s="527">
        <f>_xll.meLWOSwapParSpread(_xll.meLWOXccySwapCreateFromGenerator("TEST","EUR_XCCY","PAy",$BD$7,BD42,1,1,"Float","Float",,,,,"USD",TRUE,"LEG2:FLOAT"),$BG$2:$BH$4)</f>
        <v>-17.924985158239924</v>
      </c>
      <c r="BI42" s="316">
        <f>_xll.meCurveDiscountFactorsForwardStarting($BD$7,BD42,"PLNYC","WIB6M")</f>
        <v>0.78257937819096235</v>
      </c>
      <c r="BJ42" s="316">
        <f t="shared" si="8"/>
        <v>15.866505596173642</v>
      </c>
      <c r="BK42" s="530">
        <f t="shared" si="9"/>
        <v>-20.048629013575333</v>
      </c>
      <c r="BL42" s="530"/>
    </row>
    <row r="43" spans="7:65" x14ac:dyDescent="0.25">
      <c r="G43" s="385">
        <v>44082</v>
      </c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35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/>
      <c r="AZ43" s="27"/>
      <c r="BC43" s="390" t="s">
        <v>1381</v>
      </c>
      <c r="BD43" s="516">
        <f>_xll.meDateFromTenor($BD$7,BC43,"MF",$BD$6)</f>
        <v>50661</v>
      </c>
      <c r="BE43" s="517">
        <f t="shared" si="5"/>
        <v>186</v>
      </c>
      <c r="BF43" s="518">
        <f>_xll.meCurveDiscountFactorsForwardStarting($BD$7,BD43,"EURYC","EUR6ML")</f>
        <v>0.99324494826578058</v>
      </c>
      <c r="BG43" s="316">
        <f t="shared" si="7"/>
        <v>18.25241998067262</v>
      </c>
      <c r="BH43" s="527">
        <f>_xll.meLWOSwapParSpread(_xll.meLWOXccySwapCreateFromGenerator("TEST","EUR_XCCY","PAy",$BD$7,BD43,1,1,"Float","Float",,,,,"USD",TRUE,"LEG2:FLOAT"),$BG$2:$BH$4)</f>
        <v>-17.66906924379521</v>
      </c>
      <c r="BI43" s="316">
        <f>_xll.meCurveDiscountFactorsForwardStarting($BD$7,BD43,"PLNYC","WIB6M")</f>
        <v>0.77639490106033371</v>
      </c>
      <c r="BJ43" s="316">
        <f t="shared" si="8"/>
        <v>16.262147929316715</v>
      </c>
      <c r="BK43" s="530">
        <f t="shared" si="9"/>
        <v>-19.83152987582535</v>
      </c>
      <c r="BL43" s="530"/>
    </row>
    <row r="44" spans="7:65" x14ac:dyDescent="0.25">
      <c r="G44" s="385">
        <v>44110</v>
      </c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35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/>
      <c r="AZ44" s="27"/>
      <c r="BC44" s="390" t="s">
        <v>1382</v>
      </c>
      <c r="BD44" s="516">
        <f>_xll.meDateFromTenor($BD$7,BC44,"MF",$BD$6)</f>
        <v>50840</v>
      </c>
      <c r="BE44" s="517">
        <f t="shared" si="5"/>
        <v>179</v>
      </c>
      <c r="BF44" s="518">
        <f>_xll.meCurveDiscountFactorsForwardStarting($BD$7,BD44,"EURYC","EUR6ML")</f>
        <v>0.99193042559616618</v>
      </c>
      <c r="BG44" s="316">
        <f t="shared" si="7"/>
        <v>18.738873531855397</v>
      </c>
      <c r="BH44" s="527">
        <f>_xll.meLWOSwapParSpread(_xll.meLWOXccySwapCreateFromGenerator("TEST","EUR_XCCY","PAy",$BD$7,BD44,1,1,"Float","Float",,,,,"USD",TRUE,"LEG2:FLOAT"),$BG$2:$BH$4)</f>
        <v>-17.337720771496741</v>
      </c>
      <c r="BI44" s="316">
        <f>_xll.meCurveDiscountFactorsForwardStarting($BD$7,BD44,"PLNYC","WIB6M")</f>
        <v>0.77061011030290494</v>
      </c>
      <c r="BJ44" s="316">
        <f t="shared" si="8"/>
        <v>16.640063572451563</v>
      </c>
      <c r="BK44" s="530">
        <f t="shared" si="9"/>
        <v>-19.524526180631305</v>
      </c>
      <c r="BL44" s="530"/>
    </row>
    <row r="45" spans="7:65" x14ac:dyDescent="0.25">
      <c r="G45" s="385">
        <v>44138</v>
      </c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35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/>
      <c r="AZ45" s="27"/>
      <c r="BC45" s="520" t="s">
        <v>1383</v>
      </c>
      <c r="BD45" s="516">
        <f>_xll.meDateFromTenor($BD$7,BC45,"MF",$BD$6)</f>
        <v>51025</v>
      </c>
      <c r="BE45" s="517">
        <f t="shared" si="5"/>
        <v>185</v>
      </c>
      <c r="BF45" s="518">
        <f>_xll.meCurveDiscountFactorsForwardStarting($BD$7,BD45,"EURYC","EUR6ML")</f>
        <v>0.99068833726479377</v>
      </c>
      <c r="BG45" s="316">
        <f t="shared" si="7"/>
        <v>19.241003237044403</v>
      </c>
      <c r="BH45" s="527">
        <f>_xll.meLWOSwapParSpread(_xll.meLWOXccySwapCreateFromGenerator("TEST","EUR_XCCY","PAy",$BD$7,BD45,1,1,"Float","Float",,,,,"USD",TRUE,"LEG2:FLOAT"),$BG$2:$BH$4)</f>
        <v>-17.024355118530814</v>
      </c>
      <c r="BI45" s="316">
        <f>_xll.meCurveDiscountFactorsForwardStarting($BD$7,BD45,"PLNYC","WIB6M")</f>
        <v>0.76476928178927761</v>
      </c>
      <c r="BJ45" s="316">
        <f t="shared" si="8"/>
        <v>17.027686359111883</v>
      </c>
      <c r="BK45" s="530">
        <f t="shared" si="9"/>
        <v>-19.237238990425578</v>
      </c>
      <c r="BL45" s="530"/>
    </row>
    <row r="46" spans="7:65" x14ac:dyDescent="0.25">
      <c r="G46" s="385">
        <v>44166</v>
      </c>
      <c r="O46" s="24"/>
      <c r="P46" s="25"/>
      <c r="Q46" s="28"/>
      <c r="R46" s="29"/>
      <c r="S46" s="29"/>
      <c r="T46" s="30" t="str">
        <f>IF(O46="","",IF(StaticData.Today=TODAY(),_xll.BDP(O46,"LAST_PRICE"),_xll.BDH(O46,"LAST_PRICE",StaticData.Today,StaticData.Today)))</f>
        <v/>
      </c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35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  <c r="BC46" s="521" t="s">
        <v>1384</v>
      </c>
      <c r="BD46" s="516">
        <f>_xll.meDateFromTenor($BD$7,BC46,"MF",$BD$6)</f>
        <v>51207</v>
      </c>
      <c r="BE46" s="517">
        <f t="shared" si="5"/>
        <v>182</v>
      </c>
      <c r="BF46" s="518">
        <f>_xll.meCurveDiscountFactorsForwardStarting($BD$7,BD46,"EURYC","EUR6ML")</f>
        <v>0.98958710765696567</v>
      </c>
      <c r="BG46" s="316">
        <f t="shared" si="7"/>
        <v>19.734441192095275</v>
      </c>
      <c r="BH46" s="527">
        <f>_xll.meLWOSwapParSpread(_xll.meLWOXccySwapCreateFromGenerator("TEST","EUR_XCCY","PAy",$BD$7,BD46,1,1,"Float","Float",,,,,"USD",TRUE,"LEG2:FLOAT"),$BG$2:$BH$4)</f>
        <v>-16.662788921881372</v>
      </c>
      <c r="BI46" s="316">
        <f>_xll.meCurveDiscountFactorsForwardStarting($BD$7,BD46,"PLNYC","WIB6M")</f>
        <v>0.75912724856918812</v>
      </c>
      <c r="BJ46" s="316">
        <f t="shared" si="8"/>
        <v>17.406210083055971</v>
      </c>
      <c r="BK46" s="530">
        <f t="shared" si="9"/>
        <v>-18.891581022296407</v>
      </c>
      <c r="BL46" s="530"/>
    </row>
    <row r="47" spans="7:65" x14ac:dyDescent="0.25">
      <c r="O47" s="24"/>
      <c r="P47" s="25"/>
      <c r="Q47" s="28"/>
      <c r="R47" s="29"/>
      <c r="S47" s="29"/>
      <c r="T47" s="30" t="str">
        <f>IF(O47="","",IF(StaticData.Today=TODAY(),_xll.BDP(O47,"LAST_PRICE"),_xll.BDH(O47,"LAST_PRICE",StaticData.Today,StaticData.Today)))</f>
        <v/>
      </c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35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  <c r="BC47" s="390" t="s">
        <v>1385</v>
      </c>
      <c r="BD47" s="516">
        <f>_xll.meDateFromTenor($BD$7,BC47,"MF",$BD$6)</f>
        <v>51390</v>
      </c>
      <c r="BE47" s="517">
        <f t="shared" si="5"/>
        <v>183</v>
      </c>
      <c r="BF47" s="518">
        <f>_xll.meCurveDiscountFactorsForwardStarting($BD$7,BD47,"EURYC","EUR6ML")</f>
        <v>0.98860576630541497</v>
      </c>
      <c r="BG47" s="316">
        <f t="shared" si="7"/>
        <v>20.230098329722374</v>
      </c>
      <c r="BH47" s="527">
        <f>_xll.meLWOSwapParSpread(_xll.meLWOXccySwapCreateFromGenerator("TEST","EUR_XCCY","PAy",$BD$7,BD47,1,1,"Float","Float",,,,,"USD",TRUE,"LEG2:FLOAT"),$BG$2:$BH$4)</f>
        <v>-16.250000001200466</v>
      </c>
      <c r="BI47" s="316">
        <f>_xll.meCurveDiscountFactorsForwardStarting($BD$7,BD47,"PLNYC","WIB6M")</f>
        <v>0.75352634240190508</v>
      </c>
      <c r="BJ47" s="316">
        <f t="shared" si="8"/>
        <v>17.784005482123227</v>
      </c>
      <c r="BK47" s="530">
        <f t="shared" si="9"/>
        <v>-18.485098771068646</v>
      </c>
      <c r="BL47" s="535">
        <f>PLN_DATA!AQ19</f>
        <v>32</v>
      </c>
      <c r="BM47" s="392">
        <f>BL47+BK47</f>
        <v>13.514901228931354</v>
      </c>
    </row>
    <row r="48" spans="7:65" x14ac:dyDescent="0.25">
      <c r="O48" s="24"/>
      <c r="P48" s="25"/>
      <c r="Q48" s="28"/>
      <c r="R48" s="29"/>
      <c r="S48" s="29"/>
      <c r="T48" s="30" t="str">
        <f>IF(O48="","",IF(StaticData.Today=TODAY(),_xll.BDP(O48,"LAST_PRICE"),_xll.BDH(O48,"LAST_PRICE",StaticData.Today,StaticData.Today)))</f>
        <v/>
      </c>
      <c r="U48" s="27"/>
      <c r="W48" s="24"/>
      <c r="X48" s="25"/>
      <c r="Y48" s="191"/>
      <c r="Z48" s="27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534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15:52" x14ac:dyDescent="0.25">
      <c r="O49" s="38"/>
      <c r="P49" s="39"/>
      <c r="Q49" s="42"/>
      <c r="R49" s="43"/>
      <c r="S49" s="43"/>
      <c r="T49" s="44" t="str">
        <f>IF(O49="","",IF(StaticData.Today=TODAY(),_xll.BDP(O49,"LAST_PRICE"),_xll.BDH(O49,"LAST_PRICE",StaticData.Today,StaticData.Today)))</f>
        <v/>
      </c>
      <c r="U49" s="41"/>
      <c r="W49" s="24"/>
      <c r="X49" s="25"/>
      <c r="Y49" s="191"/>
      <c r="Z49" s="27"/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15:52" x14ac:dyDescent="0.25">
      <c r="W50" s="24"/>
      <c r="X50" s="25"/>
      <c r="Y50" s="191"/>
      <c r="Z50" s="27"/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15:52" x14ac:dyDescent="0.25">
      <c r="W51" s="24"/>
      <c r="X51" s="25"/>
      <c r="Y51" s="191"/>
      <c r="Z51" s="27"/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15:52" x14ac:dyDescent="0.25">
      <c r="W52" s="24"/>
      <c r="X52" s="25"/>
      <c r="Y52" s="191"/>
      <c r="Z52" s="27"/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15:52" x14ac:dyDescent="0.25">
      <c r="W53" s="24"/>
      <c r="X53" s="25"/>
      <c r="Y53" s="191"/>
      <c r="Z53" s="27"/>
      <c r="AT53" s="24"/>
      <c r="AU53" s="25"/>
      <c r="AV53" s="28"/>
      <c r="AW53" s="29"/>
      <c r="AX53" s="29"/>
      <c r="AY53" s="30" t="str">
        <f>IF(AT53="","",IF(StaticData.Today=TODAY(),_xll.BDP(AT53,"LAST_PRICE"),_xll.BDH(AT53,"LAST_PRICE",StaticData.Today,StaticData.Today)))</f>
        <v/>
      </c>
      <c r="AZ53" s="27"/>
    </row>
    <row r="54" spans="15:52" x14ac:dyDescent="0.25">
      <c r="W54" s="24"/>
      <c r="X54" s="25"/>
      <c r="Y54" s="191"/>
      <c r="Z54" s="27"/>
      <c r="AT54" s="24"/>
      <c r="AU54" s="25"/>
      <c r="AV54" s="28"/>
      <c r="AW54" s="29"/>
      <c r="AX54" s="29"/>
      <c r="AY54" s="30" t="str">
        <f>IF(AT54="","",IF(StaticData.Today=TODAY(),_xll.BDP(AT54,"LAST_PRICE"),_xll.BDH(AT54,"LAST_PRICE",StaticData.Today,StaticData.Today)))</f>
        <v/>
      </c>
      <c r="AZ54" s="27"/>
    </row>
    <row r="55" spans="15:52" x14ac:dyDescent="0.25">
      <c r="W55" s="38"/>
      <c r="X55" s="39"/>
      <c r="Y55" s="192"/>
      <c r="Z55" s="41"/>
      <c r="AT55" s="24"/>
      <c r="AU55" s="25"/>
      <c r="AV55" s="28"/>
      <c r="AW55" s="29"/>
      <c r="AX55" s="29"/>
      <c r="AY55" s="30" t="str">
        <f>IF(AT55="","",IF(StaticData.Today=TODAY(),_xll.BDP(AT55,"LAST_PRICE"),_xll.BDH(AT55,"LAST_PRICE",StaticData.Today,StaticData.Today)))</f>
        <v/>
      </c>
      <c r="AZ55" s="27"/>
    </row>
    <row r="56" spans="15:52" x14ac:dyDescent="0.25">
      <c r="AT56" s="38"/>
      <c r="AU56" s="39"/>
      <c r="AV56" s="42"/>
      <c r="AW56" s="43"/>
      <c r="AX56" s="43"/>
      <c r="AY56" s="44" t="str">
        <f>IF(AT56="","",IF(StaticData.Today=TODAY(),_xll.BDP(AT56,"LAST_PRICE"),_xll.BDH(AT56,"LAST_PRICE",StaticData.Today,StaticData.Today)))</f>
        <v/>
      </c>
      <c r="AZ56" s="41"/>
    </row>
  </sheetData>
  <dataValidations count="1">
    <dataValidation type="list" allowBlank="1" showInputMessage="1" showErrorMessage="1" sqref="AB2 O1:O2">
      <formula1>$S$95:$S$98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'STATIC DATA'!$S$97:$S$100</xm:f>
          </x14:formula1>
          <xm:sqref>W2 AL2 AT2</xm:sqref>
        </x14:dataValidation>
        <x14:dataValidation type="list" allowBlank="1" showInputMessage="1" showErrorMessage="1">
          <x14:formula1>
            <xm:f>'STATIC DATA'!$S$92:$S$95</xm:f>
          </x14:formula1>
          <xm:sqref>G1 AT1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BC49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9.5703125" style="188" bestFit="1" customWidth="1"/>
    <col min="26" max="26" width="7.5703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4.7109375" style="6" bestFit="1" customWidth="1"/>
    <col min="31" max="31" width="7.57031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5" max="55" width="10.7109375" bestFit="1" customWidth="1"/>
  </cols>
  <sheetData>
    <row r="1" spans="1:52" x14ac:dyDescent="0.25">
      <c r="A1" t="s">
        <v>182</v>
      </c>
      <c r="G1" s="6" t="s">
        <v>545</v>
      </c>
      <c r="O1" s="6" t="s">
        <v>542</v>
      </c>
      <c r="AT1" s="6" t="s">
        <v>542</v>
      </c>
    </row>
    <row r="2" spans="1:52" x14ac:dyDescent="0.25">
      <c r="G2" s="7"/>
      <c r="O2" s="6" t="s">
        <v>542</v>
      </c>
      <c r="W2" s="6" t="s">
        <v>542</v>
      </c>
      <c r="AL2" s="6" t="s">
        <v>528</v>
      </c>
      <c r="AT2" s="6" t="s">
        <v>542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571</v>
      </c>
      <c r="L3" s="8"/>
      <c r="O3" s="2" t="str">
        <f>$A$1&amp;"_3M"</f>
        <v>RON_3M</v>
      </c>
      <c r="T3" s="8" t="s">
        <v>282</v>
      </c>
      <c r="W3" s="2" t="str">
        <f>$A$1&amp;"_BASIS_6M"</f>
        <v>RON_BASIS_6M</v>
      </c>
      <c r="AB3" s="2" t="str">
        <f>$A$1&amp;"_BASIS_1M"</f>
        <v>RON_BASIS_1M</v>
      </c>
      <c r="AG3" s="2" t="str">
        <f>$A$1&amp;"_BASIS_12M"</f>
        <v>RON_BASIS_12M</v>
      </c>
      <c r="AL3" s="2" t="str">
        <f>'STATIC DATA'!$D$4&amp;'STATIC DATA'!$Q$4&amp;"_BASIS"</f>
        <v>EURCZK_BASIS</v>
      </c>
      <c r="AQ3" s="8" t="s">
        <v>282</v>
      </c>
      <c r="AT3" s="2" t="str">
        <f>$A$1&amp;"_"&amp;'STATIC DATA'!S67</f>
        <v>RON_USD_1D</v>
      </c>
      <c r="AY3" s="8" t="s">
        <v>282</v>
      </c>
    </row>
    <row r="4" spans="1:52" x14ac:dyDescent="0.25">
      <c r="B4" s="9" t="b">
        <f>SUM(C7:C17)=SUM(D7:D17)</f>
        <v>1</v>
      </c>
      <c r="E4" s="10">
        <f>SUM(E7:E17)</f>
        <v>0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tr">
        <f>G3</f>
        <v>RONIA</v>
      </c>
      <c r="C7" s="12">
        <f>COUNTA(G7:G19)</f>
        <v>0</v>
      </c>
      <c r="D7" s="12">
        <f>COUNT(L7:L19)</f>
        <v>0</v>
      </c>
      <c r="E7" s="13">
        <f t="shared" ref="E7:E12" si="0">C7-D7</f>
        <v>0</v>
      </c>
      <c r="G7" s="14"/>
      <c r="H7" s="15" t="s">
        <v>298</v>
      </c>
      <c r="I7" s="15"/>
      <c r="J7" s="186"/>
      <c r="K7" s="186"/>
      <c r="L7" s="16" t="str">
        <f>IF(G7="","",IF(StaticData.Today=TODAY(),_xll.BDP(G7,"PX_LAST"),_xll.BDH(G7,"MID",StaticData.Today,StaticData.Today)))</f>
        <v/>
      </c>
      <c r="M7" s="17" t="e">
        <f>L7/100</f>
        <v>#VALUE!</v>
      </c>
      <c r="O7" s="14" t="s">
        <v>572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1.7949999999999999</v>
      </c>
      <c r="U7" s="184">
        <f>T7/100</f>
        <v>1.7950000000000001E-2</v>
      </c>
      <c r="W7" s="14"/>
      <c r="X7" s="15" t="s">
        <v>47</v>
      </c>
      <c r="Y7" s="190" t="str">
        <f>IF(W7="","",IF(StaticData.Today=TODAY(),_xll.BDP(W7,"LAST_PRICE"),_xll.BDH(W7,"LAST_PRICE",StaticData.Today,StaticData.Today)))</f>
        <v/>
      </c>
      <c r="Z7" s="17"/>
      <c r="AB7" s="14"/>
      <c r="AC7" s="15" t="s">
        <v>47</v>
      </c>
      <c r="AD7" s="16" t="str">
        <f>IF(AB7="","",IF(StaticData.Today=TODAY(),_xll.BDP(AB7,"LAST_PRICE"),_xll.BDH(AB7,"LAST_PRICE",StaticData.Today,StaticData.Today)))</f>
        <v/>
      </c>
      <c r="AE7" s="17"/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14"/>
      <c r="AM7" s="15" t="s">
        <v>47</v>
      </c>
      <c r="AN7" s="18"/>
      <c r="AO7" s="19" t="str">
        <f>IF(AL7="","",IF(StaticData.Today=TODAY(),_xll.BDP(AL7,"BID"),_xll.BDH(AL7,"BID",StaticData.Today,StaticData.Today)))</f>
        <v/>
      </c>
      <c r="AP7" s="19" t="str">
        <f>IF(AL7="","",IF(StaticData.Today=TODAY(),_xll.BDP(AL7,"ASK"),_xll.BDH(AL7,"ASK",StaticData.Today,StaticData.Today)))</f>
        <v/>
      </c>
      <c r="AQ7" s="179" t="str">
        <f>IF(AL7="","",IF(StaticData.Today=TODAY(),_xll.BDP(AL7,"PX_LAST"),_xll.BDH(AL7,"PX_LAST",StaticData.Today,StaticData.Today)))</f>
        <v/>
      </c>
      <c r="AR7" s="180" t="str">
        <f>AQ7</f>
        <v/>
      </c>
      <c r="AT7" s="8" t="s">
        <v>980</v>
      </c>
      <c r="AU7" s="8"/>
      <c r="AV7" s="8"/>
      <c r="AW7" s="387">
        <f>IF(AT7="","",IF(StaticData.Today=TODAY(),_xll.BDP(AT7,"BID"),_xll.BDH(AT7,"BID",StaticData.Today,StaticData.Today)))</f>
        <v>4.8578999999999999</v>
      </c>
      <c r="AX7" s="387">
        <f>IF(AT7="","",IF(StaticData.Today=TODAY(),_xll.BDP(AT7,"ASK"),_xll.BDH(AT7,"ASK",StaticData.Today,StaticData.Today)))</f>
        <v>4.8602999999999996</v>
      </c>
      <c r="AY7" s="8"/>
      <c r="AZ7" s="8"/>
    </row>
    <row r="8" spans="1:52" x14ac:dyDescent="0.25">
      <c r="B8" s="21" t="str">
        <f>O3</f>
        <v>RON_3M</v>
      </c>
      <c r="C8" s="22">
        <f>COUNTA(O7:O47)</f>
        <v>15</v>
      </c>
      <c r="D8" s="22">
        <f>COUNT(T7:T47)</f>
        <v>15</v>
      </c>
      <c r="E8" s="23">
        <f t="shared" si="0"/>
        <v>0</v>
      </c>
      <c r="G8" s="24"/>
      <c r="H8" s="25" t="s">
        <v>305</v>
      </c>
      <c r="I8" s="25"/>
      <c r="J8" s="187" t="str">
        <f>IF(G8="","",IF(StaticData.Today=TODAY(),_xll.BDP(G8,"BID"),_xll.BDH(G8,"BID",StaticData.Today,StaticData.Today)))</f>
        <v/>
      </c>
      <c r="K8" s="187" t="str">
        <f>IF(G8="","",IF(StaticData.Today=TODAY(),_xll.BDP(G8,"ASK"),_xll.BDH(G8,"ASK",StaticData.Today,StaticData.Today)))</f>
        <v/>
      </c>
      <c r="L8" s="26" t="str">
        <f>IF(G8="","",IF(StaticData.Today=TODAY(),_xll.BDP(G8,"LAST_PRICE"),_xll.BDH(G8,"LAST_PRICE",StaticData.Today,StaticData.Today)))</f>
        <v/>
      </c>
      <c r="M8" s="27" t="e">
        <f t="shared" ref="M8:M14" si="1">L8/100</f>
        <v>#VALUE!</v>
      </c>
      <c r="O8" s="24" t="s">
        <v>573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1.845</v>
      </c>
      <c r="U8" s="183">
        <f>T8/100</f>
        <v>1.8450000000000001E-2</v>
      </c>
      <c r="W8" s="24"/>
      <c r="X8" s="25" t="s">
        <v>308</v>
      </c>
      <c r="Y8" s="191" t="str">
        <f>IF(W8="","",IF(StaticData.Today=TODAY(),_xll.BDP(W8,"LAST_PRICE"),_xll.BDH(W8,"LAST_PRICE",StaticData.Today,StaticData.Today)))</f>
        <v/>
      </c>
      <c r="Z8" s="27"/>
      <c r="AB8" s="24"/>
      <c r="AC8" s="25" t="s">
        <v>308</v>
      </c>
      <c r="AD8" s="26" t="str">
        <f>IF(AB8="","",IF(StaticData.Today=TODAY(),_xll.BDP(AB8,"LAST_PRICE"),_xll.BDH(AB8,"LAST_PRICE",StaticData.Today,StaticData.Today)))</f>
        <v/>
      </c>
      <c r="AE8" s="27"/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14"/>
      <c r="AM8" s="25" t="s">
        <v>308</v>
      </c>
      <c r="AN8" s="28"/>
      <c r="AO8" s="29" t="str">
        <f>IF(AL8="","",IF(StaticData.Today=TODAY(),_xll.BDP(AL8,"BID"),_xll.BDH(AL8,"BID",StaticData.Today,StaticData.Today)))</f>
        <v/>
      </c>
      <c r="AP8" s="29" t="str">
        <f>IF(AL8="","",IF(StaticData.Today=TODAY(),_xll.BDP(AL8,"ASK"),_xll.BDH(AL8,"ASK",StaticData.Today,StaticData.Today)))</f>
        <v/>
      </c>
      <c r="AQ8" s="177" t="str">
        <f>IF(AL8="","",IF(StaticData.Today=TODAY(),_xll.BDP(AL8,"PX_LAST"),_xll.BDH(AL8,"PX_LAST",StaticData.Today,StaticData.Today)))</f>
        <v/>
      </c>
      <c r="AR8" s="181" t="str">
        <f>AQ8</f>
        <v/>
      </c>
      <c r="AT8" s="24" t="str">
        <f t="shared" ref="AT8:AT17" si="2">"EURRON"&amp;AU8&amp;$AT$1&amp;" Curncy"</f>
        <v>EURRONON CCMK Curncy</v>
      </c>
      <c r="AU8" s="15" t="s">
        <v>298</v>
      </c>
      <c r="AV8" s="18"/>
      <c r="AW8" s="177">
        <f>IF(AT8="","",IF(StaticData.Today=TODAY(),_xll.BDP(AT8,"BID"),_xll.BDH(AT8,"BID",StaticData.Today,StaticData.Today)))</f>
        <v>3.15</v>
      </c>
      <c r="AX8" s="177">
        <f>IF(AT8="","",IF(StaticData.Today=TODAY(),_xll.BDP(AT8,"ASK"),_xll.BDH(AT8,"ASK",StaticData.Today,StaticData.Today)))</f>
        <v>4.1500000000000004</v>
      </c>
      <c r="AY8" s="179">
        <f>IF(AT8="","",IF(StaticData.Today=TODAY(),_xll.BDP(AT8,"PX_LAST"),_xll.BDH(AT8,"PX_LAST",StaticData.Today,StaticData.Today)))</f>
        <v>3.65</v>
      </c>
      <c r="AZ8" s="180">
        <f>AY8</f>
        <v>3.65</v>
      </c>
    </row>
    <row r="9" spans="1:52" x14ac:dyDescent="0.25">
      <c r="B9" s="21" t="s">
        <v>511</v>
      </c>
      <c r="C9" s="22">
        <f>COUNTA(O11:O17)*2</f>
        <v>14</v>
      </c>
      <c r="D9" s="22">
        <f>COUNT(R11:S17)</f>
        <v>14</v>
      </c>
      <c r="E9" s="23">
        <f t="shared" si="0"/>
        <v>0</v>
      </c>
      <c r="G9" s="24"/>
      <c r="H9" s="25" t="s">
        <v>313</v>
      </c>
      <c r="I9" s="25"/>
      <c r="J9" s="187" t="str">
        <f>IF(G9="","",IF(StaticData.Today=TODAY(),_xll.BDP(G9,"BID"),_xll.BDH(G9,"BID",StaticData.Today,StaticData.Today)))</f>
        <v/>
      </c>
      <c r="K9" s="187" t="str">
        <f>IF(G9="","",IF(StaticData.Today=TODAY(),_xll.BDP(G9,"ASK"),_xll.BDH(G9,"ASK",StaticData.Today,StaticData.Today)))</f>
        <v/>
      </c>
      <c r="L9" s="26" t="str">
        <f>IF(G9="","",IF(StaticData.Today=TODAY(),_xll.BDP(G9,"LAST_PRICE"),_xll.BDH(G9,"LAST_PRICE",StaticData.Today,StaticData.Today)))</f>
        <v/>
      </c>
      <c r="M9" s="27" t="e">
        <f t="shared" si="1"/>
        <v>#VALUE!</v>
      </c>
      <c r="O9" s="24" t="s">
        <v>574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1.8399999999999999</v>
      </c>
      <c r="U9" s="183">
        <f>T9/100</f>
        <v>1.84E-2</v>
      </c>
      <c r="W9" s="24"/>
      <c r="X9" s="25" t="s">
        <v>316</v>
      </c>
      <c r="Y9" s="191" t="str">
        <f>IF(W9="","",IF(StaticData.Today=TODAY(),_xll.BDP(W9,"LAST_PRICE"),_xll.BDH(W9,"LAST_PRICE",StaticData.Today,StaticData.Today)))</f>
        <v/>
      </c>
      <c r="Z9" s="27"/>
      <c r="AB9" s="24"/>
      <c r="AC9" s="25" t="s">
        <v>316</v>
      </c>
      <c r="AD9" s="26" t="str">
        <f>IF(AB9="","",IF(StaticData.Today=TODAY(),_xll.BDP(AB9,"LAST_PRICE"),_xll.BDH(AB9,"LAST_PRICE",StaticData.Today,StaticData.Today)))</f>
        <v/>
      </c>
      <c r="AE9" s="27"/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14"/>
      <c r="AM9" s="25" t="s">
        <v>316</v>
      </c>
      <c r="AN9" s="28"/>
      <c r="AO9" s="29" t="str">
        <f>IF(AL9="","",IF(StaticData.Today=TODAY(),_xll.BDP(AL9,"BID"),_xll.BDH(AL9,"BID",StaticData.Today,StaticData.Today)))</f>
        <v/>
      </c>
      <c r="AP9" s="29" t="str">
        <f>IF(AL9="","",IF(StaticData.Today=TODAY(),_xll.BDP(AL9,"ASK"),_xll.BDH(AL9,"ASK",StaticData.Today,StaticData.Today)))</f>
        <v/>
      </c>
      <c r="AQ9" s="177" t="str">
        <f>IF(AL9="","",IF(StaticData.Today=TODAY(),_xll.BDP(AL9,"PX_LAST"),_xll.BDH(AL9,"PX_LAST",StaticData.Today,StaticData.Today)))</f>
        <v/>
      </c>
      <c r="AR9" s="181" t="str">
        <f>AQ9</f>
        <v/>
      </c>
      <c r="AT9" s="24" t="str">
        <f t="shared" si="2"/>
        <v>EURRONTN CCMK Curncy</v>
      </c>
      <c r="AU9" s="25" t="s">
        <v>506</v>
      </c>
      <c r="AV9" s="28"/>
      <c r="AW9" s="177">
        <f>IF(AT9="","",IF(StaticData.Today=TODAY(),_xll.BDP(AT9,"BID"),_xll.BDH(AT9,"BID",StaticData.Today,StaticData.Today)))</f>
        <v>3.32</v>
      </c>
      <c r="AX9" s="177">
        <f>IF(AT9="","",IF(StaticData.Today=TODAY(),_xll.BDP(AT9,"ASK"),_xll.BDH(AT9,"ASK",StaticData.Today,StaticData.Today)))</f>
        <v>4.13</v>
      </c>
      <c r="AY9" s="177">
        <f>IF(AT9="","",IF(StaticData.Today=TODAY(),_xll.BDP(AT9,"PX_LAST"),_xll.BDH(AT9,"PX_LAST",StaticData.Today,StaticData.Today)))</f>
        <v>3.7149999999999999</v>
      </c>
      <c r="AZ9" s="181">
        <f>AY9</f>
        <v>3.7149999999999999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/>
      <c r="H10" s="25" t="s">
        <v>300</v>
      </c>
      <c r="I10" s="25"/>
      <c r="J10" s="187" t="str">
        <f>IF(G10="","",IF(StaticData.Today=TODAY(),_xll.BDP(G10,"BID"),_xll.BDH(G10,"BID",StaticData.Today,StaticData.Today)))</f>
        <v/>
      </c>
      <c r="K10" s="187" t="str">
        <f>IF(G10="","",IF(StaticData.Today=TODAY(),_xll.BDP(G10,"ASK"),_xll.BDH(G10,"ASK",StaticData.Today,StaticData.Today)))</f>
        <v/>
      </c>
      <c r="L10" s="26" t="str">
        <f>IF(G10="","",IF(StaticData.Today=TODAY(),_xll.BDP(G10,"LAST_PRICE"),_xll.BDH(G10,"LAST_PRICE",StaticData.Today,StaticData.Today)))</f>
        <v/>
      </c>
      <c r="M10" s="27" t="e">
        <f t="shared" si="1"/>
        <v>#VALUE!</v>
      </c>
      <c r="O10" s="24" t="s">
        <v>575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1.895</v>
      </c>
      <c r="U10" s="183">
        <f>T10/100</f>
        <v>1.8950000000000002E-2</v>
      </c>
      <c r="W10" s="24"/>
      <c r="X10" s="25" t="s">
        <v>324</v>
      </c>
      <c r="Y10" s="191" t="str">
        <f>IF(W10="","",IF(StaticData.Today=TODAY(),_xll.BDP(W10,"LAST_PRICE"),_xll.BDH(W10,"LAST_PRICE",StaticData.Today,StaticData.Today)))</f>
        <v/>
      </c>
      <c r="Z10" s="27"/>
      <c r="AB10" s="24"/>
      <c r="AC10" s="25" t="s">
        <v>324</v>
      </c>
      <c r="AD10" s="26" t="str">
        <f>IF(AB10="","",IF(StaticData.Today=TODAY(),_xll.BDP(AB10,"LAST_PRICE"),_xll.BDH(AB10,"LAST_PRICE",StaticData.Today,StaticData.Today)))</f>
        <v/>
      </c>
      <c r="AE10" s="27"/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14"/>
      <c r="AM10" s="25" t="s">
        <v>324</v>
      </c>
      <c r="AN10" s="28"/>
      <c r="AO10" s="29" t="str">
        <f>IF(AL10="","",IF(StaticData.Today=TODAY(),_xll.BDP(AL10,"BID"),_xll.BDH(AL10,"BID",StaticData.Today,StaticData.Today)))</f>
        <v/>
      </c>
      <c r="AP10" s="29" t="str">
        <f>IF(AL10="","",IF(StaticData.Today=TODAY(),_xll.BDP(AL10,"ASK"),_xll.BDH(AL10,"ASK",StaticData.Today,StaticData.Today)))</f>
        <v/>
      </c>
      <c r="AQ10" s="177" t="str">
        <f>IF(AL10="","",IF(StaticData.Today=TODAY(),_xll.BDP(AL10,"PX_LAST"),_xll.BDH(AL10,"PX_LAST",StaticData.Today,StaticData.Today)))</f>
        <v/>
      </c>
      <c r="AR10" s="181" t="str">
        <f>AQ10</f>
        <v/>
      </c>
      <c r="AT10" s="24" t="str">
        <f t="shared" si="2"/>
        <v>EURRON1W CCMK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23.21</v>
      </c>
      <c r="AX10" s="177">
        <f>IF(AT10="","",IF(StaticData.Today=TODAY(),_xll.BDP(AT10,"ASK"),_xll.BDH(AT10,"ASK",StaticData.Today,StaticData.Today)))</f>
        <v>29.54</v>
      </c>
      <c r="AY10" s="177">
        <f>IF(AT10="","",IF(StaticData.Today=TODAY(),_xll.BDP(AT10,"PX_LAST"),_xll.BDH(AT10,"PX_LAST",StaticData.Today,StaticData.Today)))</f>
        <v>26.375</v>
      </c>
      <c r="AZ10" s="181">
        <f>AY10</f>
        <v>26.375</v>
      </c>
    </row>
    <row r="11" spans="1:52" x14ac:dyDescent="0.25">
      <c r="B11" s="21" t="s">
        <v>284</v>
      </c>
      <c r="C11" s="22">
        <f>COUNTA(AB7:AB48)</f>
        <v>0</v>
      </c>
      <c r="D11" s="22">
        <f>COUNT(AD7:AD48)</f>
        <v>0</v>
      </c>
      <c r="E11" s="23">
        <f t="shared" si="0"/>
        <v>0</v>
      </c>
      <c r="G11" s="24"/>
      <c r="H11" s="25" t="s">
        <v>335</v>
      </c>
      <c r="I11" s="25"/>
      <c r="J11" s="187" t="str">
        <f>IF(G11="","",IF(StaticData.Today=TODAY(),_xll.BDP(G11,"BID"),_xll.BDH(G11,"BID",StaticData.Today,StaticData.Today)))</f>
        <v/>
      </c>
      <c r="K11" s="187" t="str">
        <f>IF(G11="","",IF(StaticData.Today=TODAY(),_xll.BDP(G11,"ASK"),_xll.BDH(G11,"ASK",StaticData.Today,StaticData.Today)))</f>
        <v/>
      </c>
      <c r="L11" s="26" t="str">
        <f>IF(G11="","",IF(StaticData.Today=TODAY(),_xll.BDP(G11,"LAST_PRICE"),_xll.BDH(G11,"LAST_PRICE",StaticData.Today,StaticData.Today)))</f>
        <v/>
      </c>
      <c r="M11" s="27" t="e">
        <f t="shared" si="1"/>
        <v>#VALUE!</v>
      </c>
      <c r="O11" s="24" t="s">
        <v>576</v>
      </c>
      <c r="P11" s="25" t="s">
        <v>322</v>
      </c>
      <c r="Q11" s="31"/>
      <c r="R11" s="182">
        <f>IF(O11="","",IF(StaticData.Today=TODAY(),_xll.BDP(O11,"BID"),_xll.BDH(O11,"BID",StaticData.Today,StaticData.Today)))</f>
        <v>1.76</v>
      </c>
      <c r="S11" s="182">
        <f>IF(O11="","",IF(StaticData.Today=TODAY(),_xll.BDP(O11,"ASK"),_xll.BDH(O11,"ASK",StaticData.Today,StaticData.Today)))</f>
        <v>2.11</v>
      </c>
      <c r="T11" s="30">
        <f>IF(O11="","",IF(StaticData.Today=TODAY(),_xll.BDP(O11,"LAST_PRICE"),_xll.BDH(O11,"LAST_PRICE",StaticData.Today,StaticData.Today)))</f>
        <v>1.9350000000000001</v>
      </c>
      <c r="U11" s="183">
        <f t="shared" ref="U11:U21" si="3">T11/100</f>
        <v>1.9349999999999999E-2</v>
      </c>
      <c r="W11" s="24"/>
      <c r="X11" s="25" t="s">
        <v>331</v>
      </c>
      <c r="Y11" s="191" t="str">
        <f>IF(W11="","",IF(StaticData.Today=TODAY(),_xll.BDP(W11,"LAST_PRICE"),_xll.BDH(W11,"LAST_PRICE",StaticData.Today,StaticData.Today)))</f>
        <v/>
      </c>
      <c r="Z11" s="27"/>
      <c r="AB11" s="24"/>
      <c r="AC11" s="25" t="s">
        <v>331</v>
      </c>
      <c r="AD11" s="26" t="str">
        <f>IF(AB11="","",IF(StaticData.Today=TODAY(),_xll.BDP(AB11,"LAST_PRICE"),_xll.BDH(AB11,"LAST_PRICE",StaticData.Today,StaticData.Today)))</f>
        <v/>
      </c>
      <c r="AE11" s="27"/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14"/>
      <c r="AM11" s="25" t="s">
        <v>331</v>
      </c>
      <c r="AN11" s="31"/>
      <c r="AO11" s="29" t="str">
        <f>IF(AL11="","",IF(StaticData.Today=TODAY(),_xll.BDP(AL11,"BID"),_xll.BDH(AL11,"BID",StaticData.Today,StaticData.Today)))</f>
        <v/>
      </c>
      <c r="AP11" s="29" t="str">
        <f>IF(AL11="","",IF(StaticData.Today=TODAY(),_xll.BDP(AL11,"ASK"),_xll.BDH(AL11,"ASK",StaticData.Today,StaticData.Today)))</f>
        <v/>
      </c>
      <c r="AQ11" s="177" t="str">
        <f>IF(AL11="","",IF(StaticData.Today=TODAY(),_xll.BDP(AL11,"LAST_PRICE"),_xll.BDH(AL11,"LAST_PRICE",StaticData.Today,StaticData.Today)))</f>
        <v/>
      </c>
      <c r="AR11" s="181" t="str">
        <f>AQ11</f>
        <v/>
      </c>
      <c r="AT11" s="24" t="str">
        <f t="shared" si="2"/>
        <v>EURRON2W CCMK Curncy</v>
      </c>
      <c r="AU11" s="25" t="s">
        <v>313</v>
      </c>
      <c r="AV11" s="28"/>
      <c r="AW11" s="177">
        <f>IF(AT11="","",IF(StaticData.Today=TODAY(),_xll.BDP(AT11,"BID"),_xll.BDH(AT11,"BID",StaticData.Today,StaticData.Today)))</f>
        <v>49.43</v>
      </c>
      <c r="AX11" s="177">
        <f>IF(AT11="","",IF(StaticData.Today=TODAY(),_xll.BDP(AT11,"ASK"),_xll.BDH(AT11,"ASK",StaticData.Today,StaticData.Today)))</f>
        <v>59.83</v>
      </c>
      <c r="AY11" s="177">
        <f>IF(AT11="","",IF(StaticData.Today=TODAY(),_xll.BDP(AT11,"PX_LAST"),_xll.BDH(AT11,"PX_LAST",StaticData.Today,StaticData.Today)))</f>
        <v>54.62</v>
      </c>
      <c r="AZ11" s="181">
        <f>AY11</f>
        <v>54.62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/>
      <c r="H12" s="25" t="s">
        <v>49</v>
      </c>
      <c r="I12" s="25"/>
      <c r="J12" s="187" t="str">
        <f>IF(G12="","",IF(StaticData.Today=TODAY(),_xll.BDP(G12,"BID"),_xll.BDH(G12,"BID",StaticData.Today,StaticData.Today)))</f>
        <v/>
      </c>
      <c r="K12" s="187" t="str">
        <f>IF(G12="","",IF(StaticData.Today=TODAY(),_xll.BDP(G12,"ASK"),_xll.BDH(G12,"ASK",StaticData.Today,StaticData.Today)))</f>
        <v/>
      </c>
      <c r="L12" s="26" t="str">
        <f>IF(G12="","",IF(StaticData.Today=TODAY(),_xll.BDP(G12,"LAST_PRICE"),_xll.BDH(G12,"LAST_PRICE",StaticData.Today,StaticData.Today)))</f>
        <v/>
      </c>
      <c r="M12" s="27" t="e">
        <f t="shared" si="1"/>
        <v>#VALUE!</v>
      </c>
      <c r="O12" s="24" t="str">
        <f>"RNSW1"&amp;$O$1&amp;" Curncy"</f>
        <v>RNSW1 CCMK Curncy</v>
      </c>
      <c r="P12" s="25" t="s">
        <v>47</v>
      </c>
      <c r="Q12" s="31"/>
      <c r="R12" s="182">
        <f>IF(O12="","",IF(StaticData.Today=TODAY(),_xll.BDP(O12,"BID"),_xll.BDH(O12,"BID",StaticData.Today,StaticData.Today)))</f>
        <v>1.65</v>
      </c>
      <c r="S12" s="182">
        <f>IF(O12="","",IF(StaticData.Today=TODAY(),_xll.BDP(O12,"ASK"),_xll.BDH(O12,"ASK",StaticData.Today,StaticData.Today)))</f>
        <v>2.0499999999999998</v>
      </c>
      <c r="T12" s="30">
        <f>IF(O12="","",IF(StaticData.Today=TODAY(),_xll.BDP(O12,"LAST_PRICE"),_xll.BDH(O12,"LAST_PRICE",StaticData.Today,StaticData.Today)))</f>
        <v>1.85</v>
      </c>
      <c r="U12" s="183">
        <f t="shared" si="3"/>
        <v>1.8500000000000003E-2</v>
      </c>
      <c r="W12" s="24"/>
      <c r="X12" s="25" t="s">
        <v>339</v>
      </c>
      <c r="Y12" s="191" t="str">
        <f>IF(W12="","",IF(StaticData.Today=TODAY(),_xll.BDP(W12,"LAST_PRICE"),_xll.BDH(W12,"LAST_PRICE",StaticData.Today,StaticData.Today)))</f>
        <v/>
      </c>
      <c r="Z12" s="27"/>
      <c r="AB12" s="24"/>
      <c r="AC12" s="25" t="s">
        <v>339</v>
      </c>
      <c r="AD12" s="26" t="str">
        <f>IF(AB12="","",IF(StaticData.Today=TODAY(),_xll.BDP(AB12,"LAST_PRICE"),_xll.BDH(AB12,"LAST_PRICE",StaticData.Today,StaticData.Today)))</f>
        <v/>
      </c>
      <c r="AE12" s="27"/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14"/>
      <c r="AM12" s="25" t="s">
        <v>339</v>
      </c>
      <c r="AN12" s="31"/>
      <c r="AO12" s="29" t="str">
        <f>IF(AL12="","",IF(StaticData.Today=TODAY(),_xll.BDP(AL12,"BID"),_xll.BDH(AL12,"BID",StaticData.Today,StaticData.Today)))</f>
        <v/>
      </c>
      <c r="AP12" s="29" t="str">
        <f>IF(AL12="","",IF(StaticData.Today=TODAY(),_xll.BDP(AL12,"ASK"),_xll.BDH(AL12,"ASK",StaticData.Today,StaticData.Today)))</f>
        <v/>
      </c>
      <c r="AQ12" s="177" t="str">
        <f>IF(AL12="","",IF(StaticData.Today=TODAY(),_xll.BDP(AL12,"LAST_PRICE"),_xll.BDH(AL12,"LAST_PRICE",StaticData.Today,StaticData.Today)))</f>
        <v/>
      </c>
      <c r="AR12" s="181" t="str">
        <f t="shared" ref="AR12:AR19" si="4">AQ12</f>
        <v/>
      </c>
      <c r="AT12" s="24" t="str">
        <f t="shared" si="2"/>
        <v>EURRON1M CCMK Curncy</v>
      </c>
      <c r="AU12" s="25" t="s">
        <v>300</v>
      </c>
      <c r="AV12" s="31"/>
      <c r="AW12" s="177">
        <f>IF(AT12="","",IF(StaticData.Today=TODAY(),_xll.BDP(AT12,"BID"),_xll.BDH(AT12,"BID",StaticData.Today,StaticData.Today)))</f>
        <v>118</v>
      </c>
      <c r="AX12" s="177">
        <f>IF(AT12="","",IF(StaticData.Today=TODAY(),_xll.BDP(AT12,"ASK"),_xll.BDH(AT12,"ASK",StaticData.Today,StaticData.Today)))</f>
        <v>141</v>
      </c>
      <c r="AY12" s="177">
        <f>IF(AT12="","",IF(StaticData.Today=TODAY(),_xll.BDP(AT12,"LAST_PRICE"),_xll.BDH(AT12,"LAST_PRICE",StaticData.Today,StaticData.Today)))</f>
        <v>129.5</v>
      </c>
      <c r="AZ12" s="181">
        <f>AY12</f>
        <v>129.5</v>
      </c>
    </row>
    <row r="13" spans="1:52" x14ac:dyDescent="0.25">
      <c r="B13" s="21"/>
      <c r="C13" s="22"/>
      <c r="D13" s="22"/>
      <c r="E13" s="22"/>
      <c r="G13" s="24"/>
      <c r="H13" s="25" t="s">
        <v>46</v>
      </c>
      <c r="I13" s="25"/>
      <c r="J13" s="187" t="str">
        <f>IF(G13="","",IF(StaticData.Today=TODAY(),_xll.BDP(G13,"BID"),_xll.BDH(G13,"BID",StaticData.Today,StaticData.Today)))</f>
        <v/>
      </c>
      <c r="K13" s="187" t="str">
        <f>IF(G13="","",IF(StaticData.Today=TODAY(),_xll.BDP(G13,"ASK"),_xll.BDH(G13,"ASK",StaticData.Today,StaticData.Today)))</f>
        <v/>
      </c>
      <c r="L13" s="26" t="str">
        <f>IF(G13="","",IF(StaticData.Today=TODAY(),_xll.BDP(G13,"LAST_PRICE"),_xll.BDH(G13,"LAST_PRICE",StaticData.Today,StaticData.Today)))</f>
        <v/>
      </c>
      <c r="M13" s="27" t="e">
        <f t="shared" si="1"/>
        <v>#VALUE!</v>
      </c>
      <c r="O13" s="24" t="str">
        <f>"RNSW2"&amp;$O$1&amp;" Curncy"</f>
        <v>RNSW2 CCMK Curncy</v>
      </c>
      <c r="P13" s="25" t="s">
        <v>308</v>
      </c>
      <c r="Q13" s="31"/>
      <c r="R13" s="182">
        <f>IF(O13="","",IF(StaticData.Today=TODAY(),_xll.BDP(O13,"BID"),_xll.BDH(O13,"BID",StaticData.Today,StaticData.Today)))</f>
        <v>1.69</v>
      </c>
      <c r="S13" s="182">
        <f>IF(O13="","",IF(StaticData.Today=TODAY(),_xll.BDP(O13,"ASK"),_xll.BDH(O13,"ASK",StaticData.Today,StaticData.Today)))</f>
        <v>2.09</v>
      </c>
      <c r="T13" s="30">
        <f>IF(O13="","",IF(StaticData.Today=TODAY(),_xll.BDP(O13,"LAST_PRICE"),_xll.BDH(O13,"LAST_PRICE",StaticData.Today,StaticData.Today)))</f>
        <v>1.89</v>
      </c>
      <c r="U13" s="183">
        <f t="shared" si="3"/>
        <v>1.89E-2</v>
      </c>
      <c r="W13" s="24"/>
      <c r="X13" s="25" t="s">
        <v>342</v>
      </c>
      <c r="Y13" s="191" t="str">
        <f>IF(W13="","",IF(StaticData.Today=TODAY(),_xll.BDP(W13,"LAST_PRICE"),_xll.BDH(W13,"LAST_PRICE",StaticData.Today,StaticData.Today)))</f>
        <v/>
      </c>
      <c r="Z13" s="27"/>
      <c r="AB13" s="24"/>
      <c r="AC13" s="25" t="s">
        <v>342</v>
      </c>
      <c r="AD13" s="26" t="str">
        <f>IF(AB13="","",IF(StaticData.Today=TODAY(),_xll.BDP(AB13,"LAST_PRICE"),_xll.BDH(AB13,"LAST_PRICE",StaticData.Today,StaticData.Today)))</f>
        <v/>
      </c>
      <c r="AE13" s="27"/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14"/>
      <c r="AM13" s="25" t="s">
        <v>342</v>
      </c>
      <c r="AN13" s="31"/>
      <c r="AO13" s="29" t="str">
        <f>IF(AL13="","",IF(StaticData.Today=TODAY(),_xll.BDP(AL13,"BID"),_xll.BDH(AL13,"BID",StaticData.Today,StaticData.Today)))</f>
        <v/>
      </c>
      <c r="AP13" s="29" t="str">
        <f>IF(AL13="","",IF(StaticData.Today=TODAY(),_xll.BDP(AL13,"ASK"),_xll.BDH(AL13,"ASK",StaticData.Today,StaticData.Today)))</f>
        <v/>
      </c>
      <c r="AQ13" s="177" t="str">
        <f>IF(AL13="","",IF(StaticData.Today=TODAY(),_xll.BDP(AL13,"LAST_PRICE"),_xll.BDH(AL13,"LAST_PRICE",StaticData.Today,StaticData.Today)))</f>
        <v/>
      </c>
      <c r="AR13" s="181" t="str">
        <f t="shared" si="4"/>
        <v/>
      </c>
      <c r="AT13" s="24" t="str">
        <f t="shared" si="2"/>
        <v>EURRON2M CCMK Curncy</v>
      </c>
      <c r="AU13" s="25" t="s">
        <v>335</v>
      </c>
      <c r="AV13" s="31"/>
      <c r="AW13" s="177">
        <f>IF(AT13="","",IF(StaticData.Today=TODAY(),_xll.BDP(AT13,"BID"),_xll.BDH(AT13,"BID",StaticData.Today,StaticData.Today)))</f>
        <v>213</v>
      </c>
      <c r="AX13" s="177">
        <f>IF(AT13="","",IF(StaticData.Today=TODAY(),_xll.BDP(AT13,"ASK"),_xll.BDH(AT13,"ASK",StaticData.Today,StaticData.Today)))</f>
        <v>282</v>
      </c>
      <c r="AY13" s="177">
        <f>IF(AT13="","",IF(StaticData.Today=TODAY(),_xll.BDP(AT13,"LAST_PRICE"),_xll.BDH(AT13,"LAST_PRICE",StaticData.Today,StaticData.Today)))</f>
        <v>247.5</v>
      </c>
      <c r="AZ13" s="181">
        <f t="shared" ref="AZ13:AZ20" si="5">AY13</f>
        <v>247.5</v>
      </c>
    </row>
    <row r="14" spans="1:52" x14ac:dyDescent="0.25">
      <c r="B14" s="21"/>
      <c r="C14" s="22"/>
      <c r="D14" s="22"/>
      <c r="E14" s="22"/>
      <c r="G14" s="24"/>
      <c r="H14" s="25" t="s">
        <v>376</v>
      </c>
      <c r="I14" s="25"/>
      <c r="J14" s="187" t="str">
        <f>IF(G14="","",IF(StaticData.Today=TODAY(),_xll.BDP(G14,"BID"),_xll.BDH(G14,"BID",StaticData.Today,StaticData.Today)))</f>
        <v/>
      </c>
      <c r="K14" s="187" t="str">
        <f>IF(G14="","",IF(StaticData.Today=TODAY(),_xll.BDP(G14,"ASK"),_xll.BDH(G14,"ASK",StaticData.Today,StaticData.Today)))</f>
        <v/>
      </c>
      <c r="L14" s="26" t="str">
        <f>IF(G14="","",IF(StaticData.Today=TODAY(),_xll.BDP(G14,"LAST_PRICE"),_xll.BDH(G14,"LAST_PRICE",StaticData.Today,StaticData.Today)))</f>
        <v/>
      </c>
      <c r="M14" s="27" t="e">
        <f t="shared" si="1"/>
        <v>#VALUE!</v>
      </c>
      <c r="O14" s="24" t="str">
        <f>"RNSW3"&amp;$O$1&amp;" Curncy"</f>
        <v>RNSW3 CCMK Curncy</v>
      </c>
      <c r="P14" s="25" t="s">
        <v>316</v>
      </c>
      <c r="Q14" s="31"/>
      <c r="R14" s="182">
        <f>IF(O14="","",IF(StaticData.Today=TODAY(),_xll.BDP(O14,"BID"),_xll.BDH(O14,"BID",StaticData.Today,StaticData.Today)))</f>
        <v>1.68</v>
      </c>
      <c r="S14" s="182">
        <f>IF(O14="","",IF(StaticData.Today=TODAY(),_xll.BDP(O14,"ASK"),_xll.BDH(O14,"ASK",StaticData.Today,StaticData.Today)))</f>
        <v>2.08</v>
      </c>
      <c r="T14" s="30">
        <f>IF(O14="","",IF(StaticData.Today=TODAY(),_xll.BDP(O14,"LAST_PRICE"),_xll.BDH(O14,"LAST_PRICE",StaticData.Today,StaticData.Today)))</f>
        <v>1.88</v>
      </c>
      <c r="U14" s="183">
        <f t="shared" si="3"/>
        <v>1.8799999999999997E-2</v>
      </c>
      <c r="W14" s="24"/>
      <c r="X14" s="25" t="s">
        <v>355</v>
      </c>
      <c r="Y14" s="191" t="str">
        <f>IF(W14="","",IF(StaticData.Today=TODAY(),_xll.BDP(W14,"LAST_PRICE"),_xll.BDH(W14,"LAST_PRICE",StaticData.Today,StaticData.Today)))</f>
        <v/>
      </c>
      <c r="Z14" s="27"/>
      <c r="AB14" s="24"/>
      <c r="AC14" s="25" t="s">
        <v>355</v>
      </c>
      <c r="AD14" s="26" t="str">
        <f>IF(AB14="","",IF(StaticData.Today=TODAY(),_xll.BDP(AB14,"LAST_PRICE"),_xll.BDH(AB14,"LAST_PRICE",StaticData.Today,StaticData.Today)))</f>
        <v/>
      </c>
      <c r="AE14" s="27"/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14"/>
      <c r="AM14" s="25" t="s">
        <v>355</v>
      </c>
      <c r="AN14" s="31"/>
      <c r="AO14" s="29" t="str">
        <f>IF(AL14="","",IF(StaticData.Today=TODAY(),_xll.BDP(AL14,"BID"),_xll.BDH(AL14,"BID",StaticData.Today,StaticData.Today)))</f>
        <v/>
      </c>
      <c r="AP14" s="29" t="str">
        <f>IF(AL14="","",IF(StaticData.Today=TODAY(),_xll.BDP(AL14,"ASK"),_xll.BDH(AL14,"ASK",StaticData.Today,StaticData.Today)))</f>
        <v/>
      </c>
      <c r="AQ14" s="177" t="str">
        <f>IF(AL14="","",IF(StaticData.Today=TODAY(),_xll.BDP(AL14,"LAST_PRICE"),_xll.BDH(AL14,"LAST_PRICE",StaticData.Today,StaticData.Today)))</f>
        <v/>
      </c>
      <c r="AR14" s="181" t="str">
        <f t="shared" si="4"/>
        <v/>
      </c>
      <c r="AT14" s="24" t="str">
        <f t="shared" si="2"/>
        <v>EURRON3M CCMK Curncy</v>
      </c>
      <c r="AU14" s="25" t="s">
        <v>49</v>
      </c>
      <c r="AV14" s="31"/>
      <c r="AW14" s="177">
        <f>IF(AT14="","",IF(StaticData.Today=TODAY(),_xll.BDP(AT14,"BID"),_xll.BDH(AT14,"BID",StaticData.Today,StaticData.Today)))</f>
        <v>297</v>
      </c>
      <c r="AX14" s="177">
        <f>IF(AT14="","",IF(StaticData.Today=TODAY(),_xll.BDP(AT14,"ASK"),_xll.BDH(AT14,"ASK",StaticData.Today,StaticData.Today)))</f>
        <v>424</v>
      </c>
      <c r="AY14" s="177">
        <f>IF(AT14="","",IF(StaticData.Today=TODAY(),_xll.BDP(AT14,"LAST_PRICE"),_xll.BDH(AT14,"LAST_PRICE",StaticData.Today,StaticData.Today)))</f>
        <v>360.5</v>
      </c>
      <c r="AZ14" s="181">
        <f t="shared" si="5"/>
        <v>360.5</v>
      </c>
    </row>
    <row r="15" spans="1:52" x14ac:dyDescent="0.25">
      <c r="B15" s="21"/>
      <c r="C15" s="22"/>
      <c r="D15" s="22"/>
      <c r="E15" s="22"/>
      <c r="G15" s="24"/>
      <c r="H15" s="25" t="s">
        <v>47</v>
      </c>
      <c r="I15" s="25"/>
      <c r="J15" s="187" t="str">
        <f>IF(G15="","",IF(StaticData.Today=TODAY(),_xll.BDP(G15,"BID"),_xll.BDH(G15,"BID",StaticData.Today,StaticData.Today)))</f>
        <v/>
      </c>
      <c r="K15" s="187" t="str">
        <f>IF(G15="","",IF(StaticData.Today=TODAY(),_xll.BDP(G15,"ASK"),_xll.BDH(G15,"ASK",StaticData.Today,StaticData.Today)))</f>
        <v/>
      </c>
      <c r="L15" s="26" t="str">
        <f>IF(G15="","",IF(StaticData.Today=TODAY(),_xll.BDP(G15,"LAST_PRICE"),_xll.BDH(G15,"LAST_PRICE",StaticData.Today,StaticData.Today)))</f>
        <v/>
      </c>
      <c r="M15" s="27" t="e">
        <f>L15/100</f>
        <v>#VALUE!</v>
      </c>
      <c r="O15" s="24" t="str">
        <f>"RNSW4"&amp;$O$1&amp;" Curncy"</f>
        <v>RNSW4 CCMK Curncy</v>
      </c>
      <c r="P15" s="25" t="s">
        <v>324</v>
      </c>
      <c r="Q15" s="31"/>
      <c r="R15" s="182">
        <f>IF(O15="","",IF(StaticData.Today=TODAY(),_xll.BDP(O15,"BID"),_xll.BDH(O15,"BID",StaticData.Today,StaticData.Today)))</f>
        <v>1.68</v>
      </c>
      <c r="S15" s="182">
        <f>IF(O15="","",IF(StaticData.Today=TODAY(),_xll.BDP(O15,"ASK"),_xll.BDH(O15,"ASK",StaticData.Today,StaticData.Today)))</f>
        <v>2.08</v>
      </c>
      <c r="T15" s="30">
        <f>IF(O15="","",IF(StaticData.Today=TODAY(),_xll.BDP(O15,"LAST_PRICE"),_xll.BDH(O15,"LAST_PRICE",StaticData.Today,StaticData.Today)))</f>
        <v>1.88</v>
      </c>
      <c r="U15" s="183">
        <f t="shared" si="3"/>
        <v>1.8799999999999997E-2</v>
      </c>
      <c r="W15" s="24"/>
      <c r="X15" s="25" t="s">
        <v>364</v>
      </c>
      <c r="Y15" s="191" t="str">
        <f>IF(W15="","",IF(StaticData.Today=TODAY(),_xll.BDP(W15,"LAST_PRICE"),_xll.BDH(W15,"LAST_PRICE",StaticData.Today,StaticData.Today)))</f>
        <v/>
      </c>
      <c r="Z15" s="27"/>
      <c r="AB15" s="24"/>
      <c r="AC15" s="25" t="s">
        <v>364</v>
      </c>
      <c r="AD15" s="26" t="str">
        <f>IF(AB15="","",IF(StaticData.Today=TODAY(),_xll.BDP(AB15,"LAST_PRICE"),_xll.BDH(AB15,"LAST_PRICE",StaticData.Today,StaticData.Today)))</f>
        <v/>
      </c>
      <c r="AE15" s="27"/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14"/>
      <c r="AM15" s="25" t="s">
        <v>364</v>
      </c>
      <c r="AN15" s="31"/>
      <c r="AO15" s="29" t="str">
        <f>IF(AL15="","",IF(StaticData.Today=TODAY(),_xll.BDP(AL15,"BID"),_xll.BDH(AL15,"BID",StaticData.Today,StaticData.Today)))</f>
        <v/>
      </c>
      <c r="AP15" s="29" t="str">
        <f>IF(AL15="","",IF(StaticData.Today=TODAY(),_xll.BDP(AL15,"ASK"),_xll.BDH(AL15,"ASK",StaticData.Today,StaticData.Today)))</f>
        <v/>
      </c>
      <c r="AQ15" s="177" t="str">
        <f>IF(AL15="","",IF(StaticData.Today=TODAY(),_xll.BDP(AL15,"LAST_PRICE"),_xll.BDH(AL15,"LAST_PRICE",StaticData.Today,StaticData.Today)))</f>
        <v/>
      </c>
      <c r="AR15" s="181" t="str">
        <f t="shared" si="4"/>
        <v/>
      </c>
      <c r="AT15" s="24" t="str">
        <f t="shared" si="2"/>
        <v>EURRON6M CCMK Curncy</v>
      </c>
      <c r="AU15" s="25" t="s">
        <v>46</v>
      </c>
      <c r="AV15" s="31"/>
      <c r="AW15" s="177">
        <f>IF(AT15="","",IF(StaticData.Today=TODAY(),_xll.BDP(AT15,"BID"),_xll.BDH(AT15,"BID",StaticData.Today,StaticData.Today)))</f>
        <v>682</v>
      </c>
      <c r="AX15" s="177">
        <f>IF(AT15="","",IF(StaticData.Today=TODAY(),_xll.BDP(AT15,"ASK"),_xll.BDH(AT15,"ASK",StaticData.Today,StaticData.Today)))</f>
        <v>780</v>
      </c>
      <c r="AY15" s="177">
        <f>IF(AT15="","",IF(StaticData.Today=TODAY(),_xll.BDP(AT15,"LAST_PRICE"),_xll.BDH(AT15,"LAST_PRICE",StaticData.Today,StaticData.Today)))</f>
        <v>731</v>
      </c>
      <c r="AZ15" s="181">
        <f t="shared" si="5"/>
        <v>731</v>
      </c>
    </row>
    <row r="16" spans="1:52" x14ac:dyDescent="0.25">
      <c r="B16" s="21"/>
      <c r="C16" s="22"/>
      <c r="D16" s="22"/>
      <c r="E16" s="22"/>
      <c r="G16" s="24"/>
      <c r="H16" s="25"/>
      <c r="I16" s="25"/>
      <c r="J16" s="187"/>
      <c r="K16" s="187"/>
      <c r="L16" s="26"/>
      <c r="M16" s="27"/>
      <c r="O16" s="24" t="str">
        <f>"RNSW5"&amp;$O$1&amp;" Curncy"</f>
        <v>RNSW5 CCMK Curncy</v>
      </c>
      <c r="P16" s="25" t="s">
        <v>331</v>
      </c>
      <c r="Q16" s="31"/>
      <c r="R16" s="182">
        <f>IF(O16="","",IF(StaticData.Today=TODAY(),_xll.BDP(O16,"BID"),_xll.BDH(O16,"BID",StaticData.Today,StaticData.Today)))</f>
        <v>1.69</v>
      </c>
      <c r="S16" s="182">
        <f>IF(O16="","",IF(StaticData.Today=TODAY(),_xll.BDP(O16,"ASK"),_xll.BDH(O16,"ASK",StaticData.Today,StaticData.Today)))</f>
        <v>2.09</v>
      </c>
      <c r="T16" s="30">
        <f>IF(O16="","",IF(StaticData.Today=TODAY(),_xll.BDP(O16,"LAST_PRICE"),_xll.BDH(O16,"LAST_PRICE",StaticData.Today,StaticData.Today)))</f>
        <v>1.89</v>
      </c>
      <c r="U16" s="183">
        <f t="shared" si="3"/>
        <v>1.89E-2</v>
      </c>
      <c r="W16" s="24"/>
      <c r="X16" s="25" t="s">
        <v>349</v>
      </c>
      <c r="Y16" s="191" t="str">
        <f>IF(W16="","",IF(StaticData.Today=TODAY(),_xll.BDP(W16,"LAST_PRICE"),_xll.BDH(W16,"LAST_PRICE",StaticData.Today,StaticData.Today)))</f>
        <v/>
      </c>
      <c r="Z16" s="27"/>
      <c r="AB16" s="24"/>
      <c r="AC16" s="25" t="s">
        <v>349</v>
      </c>
      <c r="AD16" s="26" t="str">
        <f>IF(AB16="","",IF(StaticData.Today=TODAY(),_xll.BDP(AB16,"LAST_PRICE"),_xll.BDH(AB16,"LAST_PRICE",StaticData.Today,StaticData.Today)))</f>
        <v/>
      </c>
      <c r="AE16" s="27"/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14"/>
      <c r="AM16" s="25" t="s">
        <v>349</v>
      </c>
      <c r="AN16" s="31"/>
      <c r="AO16" s="29" t="str">
        <f>IF(AL16="","",IF(StaticData.Today=TODAY(),_xll.BDP(AL16,"BID"),_xll.BDH(AL16,"BID",StaticData.Today,StaticData.Today)))</f>
        <v/>
      </c>
      <c r="AP16" s="29" t="str">
        <f>IF(AL16="","",IF(StaticData.Today=TODAY(),_xll.BDP(AL16,"ASK"),_xll.BDH(AL16,"ASK",StaticData.Today,StaticData.Today)))</f>
        <v/>
      </c>
      <c r="AQ16" s="177" t="str">
        <f>IF(AL16="","",IF(StaticData.Today=TODAY(),_xll.BDP(AL16,"LAST_PRICE"),_xll.BDH(AL16,"LAST_PRICE",StaticData.Today,StaticData.Today)))</f>
        <v/>
      </c>
      <c r="AR16" s="181" t="str">
        <f t="shared" si="4"/>
        <v/>
      </c>
      <c r="AT16" s="24" t="str">
        <f t="shared" si="2"/>
        <v>EURRON9M CCMK Curncy</v>
      </c>
      <c r="AU16" s="25" t="s">
        <v>376</v>
      </c>
      <c r="AV16" s="31"/>
      <c r="AW16" s="177">
        <f>IF(AT16="","",IF(StaticData.Today=TODAY(),_xll.BDP(AT16,"BID"),_xll.BDH(AT16,"BID",StaticData.Today,StaticData.Today)))</f>
        <v>1021</v>
      </c>
      <c r="AX16" s="177">
        <f>IF(AT16="","",IF(StaticData.Today=TODAY(),_xll.BDP(AT16,"ASK"),_xll.BDH(AT16,"ASK",StaticData.Today,StaticData.Today)))</f>
        <v>1180</v>
      </c>
      <c r="AY16" s="177">
        <f>IF(AT16="","",IF(StaticData.Today=TODAY(),_xll.BDP(AT16,"LAST_PRICE"),_xll.BDH(AT16,"LAST_PRICE",StaticData.Today,StaticData.Today)))</f>
        <v>1100.5</v>
      </c>
      <c r="AZ16" s="181">
        <f t="shared" si="5"/>
        <v>1100.5</v>
      </c>
    </row>
    <row r="17" spans="2:55" x14ac:dyDescent="0.25">
      <c r="B17" s="34"/>
      <c r="C17" s="35"/>
      <c r="D17" s="35"/>
      <c r="E17" s="35"/>
      <c r="G17" s="24"/>
      <c r="H17" s="25"/>
      <c r="I17" s="25"/>
      <c r="J17" s="187"/>
      <c r="K17" s="187"/>
      <c r="L17" s="26"/>
      <c r="M17" s="27"/>
      <c r="O17" s="24" t="str">
        <f>"RNSW6"&amp;$O$1&amp;" Curncy"</f>
        <v>RNSW6 CCMK Curncy</v>
      </c>
      <c r="P17" s="25" t="s">
        <v>339</v>
      </c>
      <c r="Q17" s="31"/>
      <c r="R17" s="182">
        <f>IF(O17="","",IF(StaticData.Today=TODAY(),_xll.BDP(O17,"BID"),_xll.BDH(O17,"BID",StaticData.Today,StaticData.Today)))</f>
        <v>1.71</v>
      </c>
      <c r="S17" s="182">
        <f>IF(O17="","",IF(StaticData.Today=TODAY(),_xll.BDP(O17,"ASK"),_xll.BDH(O17,"ASK",StaticData.Today,StaticData.Today)))</f>
        <v>2.11</v>
      </c>
      <c r="T17" s="30">
        <f>IF(O17="","",IF(StaticData.Today=TODAY(),_xll.BDP(O17,"LAST_PRICE"),_xll.BDH(O17,"LAST_PRICE",StaticData.Today,StaticData.Today)))</f>
        <v>1.91</v>
      </c>
      <c r="U17" s="183">
        <f t="shared" si="3"/>
        <v>1.9099999999999999E-2</v>
      </c>
      <c r="W17" s="24"/>
      <c r="X17" s="25" t="s">
        <v>358</v>
      </c>
      <c r="Y17" s="191" t="str">
        <f>IF(W17="","",IF(StaticData.Today=TODAY(),_xll.BDP(W17,"LAST_PRICE"),_xll.BDH(W17,"LAST_PRICE",StaticData.Today,StaticData.Today)))</f>
        <v/>
      </c>
      <c r="Z17" s="27"/>
      <c r="AB17" s="24"/>
      <c r="AC17" s="25" t="s">
        <v>358</v>
      </c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14"/>
      <c r="AM17" s="25" t="s">
        <v>358</v>
      </c>
      <c r="AN17" s="31"/>
      <c r="AO17" s="29" t="str">
        <f>IF(AL17="","",IF(StaticData.Today=TODAY(),_xll.BDP(AL17,"BID"),_xll.BDH(AL17,"BID",StaticData.Today,StaticData.Today)))</f>
        <v/>
      </c>
      <c r="AP17" s="29" t="str">
        <f>IF(AL17="","",IF(StaticData.Today=TODAY(),_xll.BDP(AL17,"ASK"),_xll.BDH(AL17,"ASK",StaticData.Today,StaticData.Today)))</f>
        <v/>
      </c>
      <c r="AQ17" s="177" t="str">
        <f>IF(AL17="","",IF(StaticData.Today=TODAY(),_xll.BDP(AL17,"LAST_PRICE"),_xll.BDH(AL17,"LAST_PRICE",StaticData.Today,StaticData.Today)))</f>
        <v/>
      </c>
      <c r="AR17" s="181" t="str">
        <f t="shared" si="4"/>
        <v/>
      </c>
      <c r="AT17" s="24" t="str">
        <f t="shared" si="2"/>
        <v>EURRON12M CCMK Curncy</v>
      </c>
      <c r="AU17" s="25" t="s">
        <v>322</v>
      </c>
      <c r="AV17" s="31"/>
      <c r="AW17" s="177">
        <f>IF(AT17="","",IF(StaticData.Today=TODAY(),_xll.BDP(AT17,"BID"),_xll.BDH(AT17,"BID",StaticData.Today,StaticData.Today)))</f>
        <v>1439</v>
      </c>
      <c r="AX17" s="177">
        <f>IF(AT17="","",IF(StaticData.Today=TODAY(),_xll.BDP(AT17,"ASK"),_xll.BDH(AT17,"ASK",StaticData.Today,StaticData.Today)))</f>
        <v>1554</v>
      </c>
      <c r="AY17" s="177">
        <f>IF(AT17="","",IF(StaticData.Today=TODAY(),_xll.BDP(AT17,"LAST_PRICE"),_xll.BDH(AT17,"LAST_PRICE",StaticData.Today,StaticData.Today)))</f>
        <v>1496.5</v>
      </c>
      <c r="AZ17" s="181">
        <f t="shared" si="5"/>
        <v>1496.5</v>
      </c>
    </row>
    <row r="18" spans="2:55" x14ac:dyDescent="0.25">
      <c r="B18" s="36"/>
      <c r="C18" s="36"/>
      <c r="D18" s="36"/>
      <c r="E18" s="36"/>
      <c r="G18" s="24"/>
      <c r="H18" s="25"/>
      <c r="I18" s="25"/>
      <c r="J18" s="25"/>
      <c r="K18" s="25"/>
      <c r="L18" s="26"/>
      <c r="M18" s="27"/>
      <c r="O18" s="24" t="str">
        <f>"RNSW7"&amp;$O$1&amp;" Curncy"</f>
        <v>RNSW7 CCMK Curncy</v>
      </c>
      <c r="P18" s="25" t="s">
        <v>342</v>
      </c>
      <c r="Q18" s="28"/>
      <c r="R18" s="29">
        <f>IF(O18="","",IF(StaticData.Today=TODAY(),_xll.BDP(O18,"BID"),_xll.BDH(O18,"BID",StaticData.Today,StaticData.Today)))</f>
        <v>1.73</v>
      </c>
      <c r="S18" s="29">
        <f>IF(O18="","",IF(StaticData.Today=TODAY(),_xll.BDP(O18,"ASK"),_xll.BDH(O18,"ASK",StaticData.Today,StaticData.Today)))</f>
        <v>2.13</v>
      </c>
      <c r="T18" s="30">
        <f>IF(O18="","",IF(StaticData.Today=TODAY(),_xll.BDP(O18,"LAST_PRICE"),_xll.BDH(O18,"LAST_PRICE",StaticData.Today,StaticData.Today)))</f>
        <v>1.93</v>
      </c>
      <c r="U18" s="183">
        <f t="shared" si="3"/>
        <v>1.9299999999999998E-2</v>
      </c>
      <c r="W18" s="24"/>
      <c r="X18" s="25" t="s">
        <v>367</v>
      </c>
      <c r="Y18" s="191" t="str">
        <f>IF(W18="","",IF(StaticData.Today=TODAY(),_xll.BDP(W18,"LAST_PRICE"),_xll.BDH(W18,"LAST_PRICE",StaticData.Today,StaticData.Today)))</f>
        <v/>
      </c>
      <c r="Z18" s="27"/>
      <c r="AB18" s="24"/>
      <c r="AC18" s="25" t="s">
        <v>367</v>
      </c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14"/>
      <c r="AM18" s="25" t="s">
        <v>367</v>
      </c>
      <c r="AN18" s="31"/>
      <c r="AO18" s="29" t="str">
        <f>IF(AL18="","",IF(StaticData.Today=TODAY(),_xll.BDP(AL18,"BID"),_xll.BDH(AL18,"BID",StaticData.Today,StaticData.Today)))</f>
        <v/>
      </c>
      <c r="AP18" s="29" t="str">
        <f>IF(AL18="","",IF(StaticData.Today=TODAY(),_xll.BDP(AL18,"ASK"),_xll.BDH(AL18,"ASK",StaticData.Today,StaticData.Today)))</f>
        <v/>
      </c>
      <c r="AQ18" s="177" t="str">
        <f>IF(AL18="","",IF(StaticData.Today=TODAY(),_xll.BDP(AL18,"LAST_PRICE"),_xll.BDH(AL18,"LAST_PRICE",StaticData.Today,StaticData.Today)))</f>
        <v/>
      </c>
      <c r="AR18" s="181" t="str">
        <f t="shared" si="4"/>
        <v/>
      </c>
      <c r="AT18" s="24" t="str">
        <f t="shared" ref="AT18:AT20" si="6">"EURRON"&amp;AU18&amp;$AT$1&amp;" Curncy"</f>
        <v>EURRON2Y CCMK Curncy</v>
      </c>
      <c r="AU18" s="25" t="s">
        <v>308</v>
      </c>
      <c r="AV18" s="31"/>
      <c r="AW18" s="177">
        <f>IF(AT18="","",IF(StaticData.Today=TODAY(),_xll.BDP(AT18,"BID"),_xll.BDH(AT18,"BID",StaticData.Today,StaticData.Today)))</f>
        <v>2929</v>
      </c>
      <c r="AX18" s="177">
        <f>IF(AT18="","",IF(StaticData.Today=TODAY(),_xll.BDP(AT18,"ASK"),_xll.BDH(AT18,"ASK",StaticData.Today,StaticData.Today)))</f>
        <v>3133</v>
      </c>
      <c r="AY18" s="177">
        <f>IF(AT18="","",IF(StaticData.Today=TODAY(),_xll.BDP(AT18,"LAST_PRICE"),_xll.BDH(AT18,"LAST_PRICE",StaticData.Today,StaticData.Today)))</f>
        <v>3031</v>
      </c>
      <c r="AZ18" s="181">
        <f t="shared" si="5"/>
        <v>3031</v>
      </c>
    </row>
    <row r="19" spans="2:55" x14ac:dyDescent="0.25">
      <c r="B19" s="36"/>
      <c r="C19" s="36"/>
      <c r="D19" s="36"/>
      <c r="E19" s="36"/>
      <c r="G19" s="38"/>
      <c r="H19" s="39"/>
      <c r="I19" s="39"/>
      <c r="J19" s="39"/>
      <c r="K19" s="39"/>
      <c r="L19" s="40"/>
      <c r="M19" s="41"/>
      <c r="O19" s="24" t="str">
        <f>"RNSW8"&amp;$O$1&amp;" Curncy"</f>
        <v>RNSW8 CCMK Curncy</v>
      </c>
      <c r="P19" s="25" t="s">
        <v>355</v>
      </c>
      <c r="Q19" s="28"/>
      <c r="R19" s="29">
        <f>IF(O19="","",IF(StaticData.Today=TODAY(),_xll.BDP(O19,"BID"),_xll.BDH(O19,"BID",StaticData.Today,StaticData.Today)))</f>
        <v>1.75</v>
      </c>
      <c r="S19" s="29">
        <f>IF(O19="","",IF(StaticData.Today=TODAY(),_xll.BDP(O19,"ASK"),_xll.BDH(O19,"ASK",StaticData.Today,StaticData.Today)))</f>
        <v>2.15</v>
      </c>
      <c r="T19" s="30">
        <f>IF(O19="","",IF(StaticData.Today=TODAY(),_xll.BDP(O19,"LAST_PRICE"),_xll.BDH(O19,"LAST_PRICE",StaticData.Today,StaticData.Today)))</f>
        <v>1.95</v>
      </c>
      <c r="U19" s="183">
        <f t="shared" si="3"/>
        <v>1.95E-2</v>
      </c>
      <c r="W19" s="24"/>
      <c r="X19" s="25" t="s">
        <v>374</v>
      </c>
      <c r="Y19" s="191" t="str">
        <f>IF(W19="","",IF(StaticData.Today=TODAY(),_xll.BDP(W19,"LAST_PRICE"),_xll.BDH(W19,"LAST_PRICE",StaticData.Today,StaticData.Today)))</f>
        <v/>
      </c>
      <c r="Z19" s="27"/>
      <c r="AB19" s="24"/>
      <c r="AC19" s="25" t="s">
        <v>374</v>
      </c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14"/>
      <c r="AM19" s="25" t="s">
        <v>374</v>
      </c>
      <c r="AN19" s="28"/>
      <c r="AO19" s="29" t="str">
        <f>IF(AL19="","",IF(StaticData.Today=TODAY(),_xll.BDP(AL19,"BID"),_xll.BDH(AL19,"BID",StaticData.Today,StaticData.Today)))</f>
        <v/>
      </c>
      <c r="AP19" s="29" t="str">
        <f>IF(AL19="","",IF(StaticData.Today=TODAY(),_xll.BDP(AL19,"ASK"),_xll.BDH(AL19,"ASK",StaticData.Today,StaticData.Today)))</f>
        <v/>
      </c>
      <c r="AQ19" s="177" t="str">
        <f>IF(AL19="","",IF(StaticData.Today=TODAY(),_xll.BDP(AL19,"LAST_PRICE"),_xll.BDH(AL19,"LAST_PRICE",StaticData.Today,StaticData.Today)))</f>
        <v/>
      </c>
      <c r="AR19" s="181" t="str">
        <f t="shared" si="4"/>
        <v/>
      </c>
      <c r="AT19" s="24" t="str">
        <f t="shared" si="6"/>
        <v>EURRON3Y CCMK Curncy</v>
      </c>
      <c r="AU19" s="25" t="s">
        <v>316</v>
      </c>
      <c r="AV19" s="31"/>
      <c r="AW19" s="177">
        <f>IF(AT19="","",IF(StaticData.Today=TODAY(),_xll.BDP(AT19,"BID"),_xll.BDH(AT19,"BID",StaticData.Today,StaticData.Today)))</f>
        <v>4428</v>
      </c>
      <c r="AX19" s="177">
        <f>IF(AT19="","",IF(StaticData.Today=TODAY(),_xll.BDP(AT19,"ASK"),_xll.BDH(AT19,"ASK",StaticData.Today,StaticData.Today)))</f>
        <v>4743</v>
      </c>
      <c r="AY19" s="177">
        <f>IF(AT19="","",IF(StaticData.Today=TODAY(),_xll.BDP(AT19,"LAST_PRICE"),_xll.BDH(AT19,"LAST_PRICE",StaticData.Today,StaticData.Today)))</f>
        <v>4585.5</v>
      </c>
      <c r="AZ19" s="181">
        <f t="shared" si="5"/>
        <v>4585.5</v>
      </c>
    </row>
    <row r="20" spans="2:55" x14ac:dyDescent="0.25">
      <c r="B20" s="36"/>
      <c r="C20" s="36"/>
      <c r="D20" s="36"/>
      <c r="E20" s="36"/>
      <c r="O20" s="24" t="str">
        <f>"RNSW9"&amp;$O$1&amp;" Curncy"</f>
        <v>RNSW9 CCMK Curncy</v>
      </c>
      <c r="P20" s="25" t="s">
        <v>364</v>
      </c>
      <c r="Q20" s="28"/>
      <c r="R20" s="29">
        <f>IF(O20="","",IF(StaticData.Today=TODAY(),_xll.BDP(O20,"BID"),_xll.BDH(O20,"BID",StaticData.Today,StaticData.Today)))</f>
        <v>1.78</v>
      </c>
      <c r="S20" s="29">
        <f>IF(O20="","",IF(StaticData.Today=TODAY(),_xll.BDP(O20,"ASK"),_xll.BDH(O20,"ASK",StaticData.Today,StaticData.Today)))</f>
        <v>2.1800000000000002</v>
      </c>
      <c r="T20" s="30">
        <f>IF(O20="","",IF(StaticData.Today=TODAY(),_xll.BDP(O20,"LAST_PRICE"),_xll.BDH(O20,"LAST_PRICE",StaticData.Today,StaticData.Today)))</f>
        <v>1.98</v>
      </c>
      <c r="U20" s="183">
        <f t="shared" si="3"/>
        <v>1.9799999999999998E-2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14"/>
      <c r="AM20" s="25"/>
      <c r="AN20" s="28"/>
      <c r="AO20" s="29"/>
      <c r="AP20" s="29"/>
      <c r="AQ20" s="177"/>
      <c r="AR20" s="181"/>
      <c r="AT20" s="24" t="str">
        <f t="shared" si="6"/>
        <v>EURRON5Y CCMK Curncy</v>
      </c>
      <c r="AU20" s="25" t="s">
        <v>331</v>
      </c>
      <c r="AV20" s="28"/>
      <c r="AW20" s="177">
        <f>IF(AT20="","",IF(StaticData.Today=TODAY(),_xll.BDP(AT20,"BID"),_xll.BDH(AT20,"BID",StaticData.Today,StaticData.Today)))</f>
        <v>7229</v>
      </c>
      <c r="AX20" s="177">
        <f>IF(AT20="","",IF(StaticData.Today=TODAY(),_xll.BDP(AT20,"ASK"),_xll.BDH(AT20,"ASK",StaticData.Today,StaticData.Today)))</f>
        <v>8362</v>
      </c>
      <c r="AY20" s="177">
        <f>IF(AT20="","",IF(StaticData.Today=TODAY(),_xll.BDP(AT20,"LAST_PRICE"),_xll.BDH(AT20,"LAST_PRICE",StaticData.Today,StaticData.Today)))</f>
        <v>7795.5</v>
      </c>
      <c r="AZ20" s="181">
        <f t="shared" si="5"/>
        <v>7795.5</v>
      </c>
    </row>
    <row r="21" spans="2:55" x14ac:dyDescent="0.25">
      <c r="B21" s="36"/>
      <c r="C21" s="36"/>
      <c r="D21" s="36"/>
      <c r="E21" s="36"/>
      <c r="O21" s="24" t="str">
        <f>"RNSW10"&amp;$O$1&amp;" Curncy"</f>
        <v>RNSW10 CCMK Curncy</v>
      </c>
      <c r="P21" s="25" t="s">
        <v>349</v>
      </c>
      <c r="Q21" s="28"/>
      <c r="R21" s="29">
        <f>IF(O21="","",IF(StaticData.Today=TODAY(),_xll.BDP(O21,"BID"),_xll.BDH(O21,"BID",StaticData.Today,StaticData.Today)))</f>
        <v>1.82</v>
      </c>
      <c r="S21" s="29">
        <f>IF(O21="","",IF(StaticData.Today=TODAY(),_xll.BDP(O21,"ASK"),_xll.BDH(O21,"ASK",StaticData.Today,StaticData.Today)))</f>
        <v>2.2200000000000002</v>
      </c>
      <c r="T21" s="30">
        <f>IF(O21="","",IF(StaticData.Today=TODAY(),_xll.BDP(O21,"LAST_PRICE"),_xll.BDH(O21,"LAST_PRICE",StaticData.Today,StaticData.Today)))</f>
        <v>2.02</v>
      </c>
      <c r="U21" s="183">
        <f t="shared" si="3"/>
        <v>2.0199999999999999E-2</v>
      </c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>"EURNSW1"&amp;$AT$1&amp;" Curncy"</f>
        <v>EURNSW1 CCMK Curncy</v>
      </c>
      <c r="AU21" s="25" t="s">
        <v>47</v>
      </c>
      <c r="AV21" s="28"/>
      <c r="AW21" s="194">
        <f>IF(AT21="","",IF(StaticData.Today=TODAY(),_xll.BDP(AT21,"BID"),_xll.BDH(AT21,"BID",StaticData.Today,StaticData.Today)))</f>
        <v>2.355</v>
      </c>
      <c r="AX21" s="194">
        <f>IF(AT21="","",IF(StaticData.Today=TODAY(),_xll.BDP(AT21,"ASK"),_xll.BDH(AT21,"ASK",StaticData.Today,StaticData.Today)))</f>
        <v>2.6549999999999998</v>
      </c>
      <c r="AY21" s="194">
        <f>IF(AT21="","",IF(StaticData.Today=TODAY(),_xll.BDP(AT21,"LAST_PRICE"),_xll.BDH(AT21,"LAST_PRICE",StaticData.Today,StaticData.Today)))</f>
        <v>2.5049999999999999</v>
      </c>
      <c r="AZ21" s="338">
        <f>AY21/100</f>
        <v>2.5049999999999999E-2</v>
      </c>
    </row>
    <row r="22" spans="2:55" x14ac:dyDescent="0.25">
      <c r="B22" s="36"/>
      <c r="C22" s="36"/>
      <c r="D22" s="36"/>
      <c r="E22" s="36"/>
      <c r="O22" s="24"/>
      <c r="P22" s="25"/>
      <c r="Q22" s="28"/>
      <c r="R22" s="29"/>
      <c r="S22" s="29"/>
      <c r="T22" s="30"/>
      <c r="U22" s="183"/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>"EURNSW2"&amp;$AT$1&amp;" Curncy"</f>
        <v>EURNSW2 CCMK Curncy</v>
      </c>
      <c r="AU22" s="25" t="s">
        <v>308</v>
      </c>
      <c r="AV22" s="28"/>
      <c r="AW22" s="194">
        <f>IF(AT22="","",IF(StaticData.Today=TODAY(),_xll.BDP(AT22,"BID"),_xll.BDH(AT22,"BID",StaticData.Today,StaticData.Today)))</f>
        <v>2.2850000000000001</v>
      </c>
      <c r="AX22" s="194">
        <f>IF(AT22="","",IF(StaticData.Today=TODAY(),_xll.BDP(AT22,"ASK"),_xll.BDH(AT22,"ASK",StaticData.Today,StaticData.Today)))</f>
        <v>2.6850000000000001</v>
      </c>
      <c r="AY22" s="194">
        <f>IF(AT22="","",IF(StaticData.Today=TODAY(),_xll.BDP(AT22,"LAST_PRICE"),_xll.BDH(AT22,"LAST_PRICE",StaticData.Today,StaticData.Today)))</f>
        <v>2.4849999999999999</v>
      </c>
      <c r="AZ22" s="338">
        <f t="shared" ref="AZ22:AZ30" si="7">AY22/100</f>
        <v>2.4849999999999997E-2</v>
      </c>
      <c r="BC22" s="193"/>
    </row>
    <row r="23" spans="2:55" x14ac:dyDescent="0.25">
      <c r="B23" s="36"/>
      <c r="C23" s="36"/>
      <c r="D23" s="36"/>
      <c r="E23" s="36"/>
      <c r="O23" s="24"/>
      <c r="P23" s="25"/>
      <c r="Q23" s="28"/>
      <c r="R23" s="29"/>
      <c r="S23" s="29"/>
      <c r="T23" s="30"/>
      <c r="U23" s="183"/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>"EURNSW3"&amp;$AT$1&amp;" Curncy"</f>
        <v>EURNSW3 CCMK Curncy</v>
      </c>
      <c r="AU23" s="25" t="s">
        <v>316</v>
      </c>
      <c r="AV23" s="28"/>
      <c r="AW23" s="194">
        <f>IF(AT23="","",IF(StaticData.Today=TODAY(),_xll.BDP(AT23,"BID"),_xll.BDH(AT23,"BID",StaticData.Today,StaticData.Today)))</f>
        <v>2.2749999999999999</v>
      </c>
      <c r="AX23" s="194">
        <f>IF(AT23="","",IF(StaticData.Today=TODAY(),_xll.BDP(AT23,"ASK"),_xll.BDH(AT23,"ASK",StaticData.Today,StaticData.Today)))</f>
        <v>2.6749999999999998</v>
      </c>
      <c r="AY23" s="194">
        <f>IF(AT23="","",IF(StaticData.Today=TODAY(),_xll.BDP(AT23,"LAST_PRICE"),_xll.BDH(AT23,"LAST_PRICE",StaticData.Today,StaticData.Today)))</f>
        <v>2.4750000000000001</v>
      </c>
      <c r="AZ23" s="338">
        <f t="shared" si="7"/>
        <v>2.4750000000000001E-2</v>
      </c>
      <c r="BC23" s="193"/>
    </row>
    <row r="24" spans="2:55" x14ac:dyDescent="0.25">
      <c r="O24" s="24"/>
      <c r="P24" s="25"/>
      <c r="Q24" s="28"/>
      <c r="R24" s="29"/>
      <c r="S24" s="29"/>
      <c r="T24" s="30"/>
      <c r="U24" s="183"/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>"EURNSW4"&amp;$AT$1&amp;" Curncy"</f>
        <v>EURNSW4 CCMK Curncy</v>
      </c>
      <c r="AU24" s="25" t="s">
        <v>324</v>
      </c>
      <c r="AV24" s="28"/>
      <c r="AW24" s="194">
        <f>IF(AT24="","",IF(StaticData.Today=TODAY(),_xll.BDP(AT24,"BID"),_xll.BDH(AT24,"BID",StaticData.Today,StaticData.Today)))</f>
        <v>2.2749999999999999</v>
      </c>
      <c r="AX24" s="194">
        <f>IF(AT24="","",IF(StaticData.Today=TODAY(),_xll.BDP(AT24,"ASK"),_xll.BDH(AT24,"ASK",StaticData.Today,StaticData.Today)))</f>
        <v>2.6749999999999998</v>
      </c>
      <c r="AY24" s="194">
        <f>IF(AT24="","",IF(StaticData.Today=TODAY(),_xll.BDP(AT24,"LAST_PRICE"),_xll.BDH(AT24,"LAST_PRICE",StaticData.Today,StaticData.Today)))</f>
        <v>2.4750000000000001</v>
      </c>
      <c r="AZ24" s="338">
        <f t="shared" si="7"/>
        <v>2.4750000000000001E-2</v>
      </c>
    </row>
    <row r="25" spans="2:55" x14ac:dyDescent="0.25"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>"EURNSW5"&amp;$AT$1&amp;" Curncy"</f>
        <v>EURNSW5 CCMK Curncy</v>
      </c>
      <c r="AU25" s="25" t="s">
        <v>331</v>
      </c>
      <c r="AV25" s="28"/>
      <c r="AW25" s="194">
        <f>IF(AT25="","",IF(StaticData.Today=TODAY(),_xll.BDP(AT25,"BID"),_xll.BDH(AT25,"BID",StaticData.Today,StaticData.Today)))</f>
        <v>2.2850000000000001</v>
      </c>
      <c r="AX25" s="194">
        <f>IF(AT25="","",IF(StaticData.Today=TODAY(),_xll.BDP(AT25,"ASK"),_xll.BDH(AT25,"ASK",StaticData.Today,StaticData.Today)))</f>
        <v>2.6850000000000001</v>
      </c>
      <c r="AY25" s="194">
        <f>IF(AT25="","",IF(StaticData.Today=TODAY(),_xll.BDP(AT25,"LAST_PRICE"),_xll.BDH(AT25,"LAST_PRICE",StaticData.Today,StaticData.Today)))</f>
        <v>2.4849999999999999</v>
      </c>
      <c r="AZ25" s="338">
        <f t="shared" si="7"/>
        <v>2.4849999999999997E-2</v>
      </c>
    </row>
    <row r="26" spans="2:55" x14ac:dyDescent="0.25">
      <c r="O26" s="24"/>
      <c r="P26" s="25"/>
      <c r="Q26" s="28"/>
      <c r="R26" s="29"/>
      <c r="S26" s="29"/>
      <c r="T26" s="30"/>
      <c r="U26" s="183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>"EURNSW6"&amp;$AT$1&amp;" Curncy"</f>
        <v>EURNSW6 CCMK Curncy</v>
      </c>
      <c r="AU26" s="25" t="s">
        <v>339</v>
      </c>
      <c r="AV26" s="28"/>
      <c r="AW26" s="194">
        <f>IF(AT26="","",IF(StaticData.Today=TODAY(),_xll.BDP(AT26,"BID"),_xll.BDH(AT26,"BID",StaticData.Today,StaticData.Today)))</f>
        <v>2.3050000000000002</v>
      </c>
      <c r="AX26" s="194">
        <f>IF(AT26="","",IF(StaticData.Today=TODAY(),_xll.BDP(AT26,"ASK"),_xll.BDH(AT26,"ASK",StaticData.Today,StaticData.Today)))</f>
        <v>2.7050000000000001</v>
      </c>
      <c r="AY26" s="194">
        <f>IF(AT26="","",IF(StaticData.Today=TODAY(),_xll.BDP(AT26,"LAST_PRICE"),_xll.BDH(AT26,"LAST_PRICE",StaticData.Today,StaticData.Today)))</f>
        <v>2.5049999999999999</v>
      </c>
      <c r="AZ26" s="338">
        <f t="shared" si="7"/>
        <v>2.5049999999999999E-2</v>
      </c>
    </row>
    <row r="27" spans="2:55" x14ac:dyDescent="0.25">
      <c r="O27" s="24"/>
      <c r="P27" s="25"/>
      <c r="Q27" s="28"/>
      <c r="R27" s="29"/>
      <c r="S27" s="29"/>
      <c r="T27" s="30"/>
      <c r="U27" s="183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>"EURNSW7"&amp;$AT$1&amp;" Curncy"</f>
        <v>EURNSW7 CCMK Curncy</v>
      </c>
      <c r="AU27" s="25" t="s">
        <v>342</v>
      </c>
      <c r="AV27" s="28"/>
      <c r="AW27" s="194">
        <f>IF(AT27="","",IF(StaticData.Today=TODAY(),_xll.BDP(AT27,"BID"),_xll.BDH(AT27,"BID",StaticData.Today,StaticData.Today)))</f>
        <v>2.3250000000000002</v>
      </c>
      <c r="AX27" s="194">
        <f>IF(AT27="","",IF(StaticData.Today=TODAY(),_xll.BDP(AT27,"ASK"),_xll.BDH(AT27,"ASK",StaticData.Today,StaticData.Today)))</f>
        <v>2.7250000000000001</v>
      </c>
      <c r="AY27" s="194">
        <f>IF(AT27="","",IF(StaticData.Today=TODAY(),_xll.BDP(AT27,"LAST_PRICE"),_xll.BDH(AT27,"LAST_PRICE",StaticData.Today,StaticData.Today)))</f>
        <v>2.5249999999999999</v>
      </c>
      <c r="AZ27" s="338">
        <f t="shared" si="7"/>
        <v>2.5249999999999998E-2</v>
      </c>
    </row>
    <row r="28" spans="2:55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>"EURNSW8"&amp;$AT$1&amp;" Curncy"</f>
        <v>EURNSW8 CCMK Curncy</v>
      </c>
      <c r="AU28" s="25" t="s">
        <v>355</v>
      </c>
      <c r="AV28" s="28"/>
      <c r="AW28" s="194">
        <f>IF(AT28="","",IF(StaticData.Today=TODAY(),_xll.BDP(AT28,"BID"),_xll.BDH(AT28,"BID",StaticData.Today,StaticData.Today)))</f>
        <v>2.35</v>
      </c>
      <c r="AX28" s="194">
        <f>IF(AT28="","",IF(StaticData.Today=TODAY(),_xll.BDP(AT28,"ASK"),_xll.BDH(AT28,"ASK",StaticData.Today,StaticData.Today)))</f>
        <v>2.75</v>
      </c>
      <c r="AY28" s="194">
        <f>IF(AT28="","",IF(StaticData.Today=TODAY(),_xll.BDP(AT28,"LAST_PRICE"),_xll.BDH(AT28,"LAST_PRICE",StaticData.Today,StaticData.Today)))</f>
        <v>2.5499999999999998</v>
      </c>
      <c r="AZ28" s="338">
        <f t="shared" si="7"/>
        <v>2.5499999999999998E-2</v>
      </c>
    </row>
    <row r="29" spans="2:55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>"EURNSW9"&amp;$AT$1&amp;" Curncy"</f>
        <v>EURNSW9 CCMK Curncy</v>
      </c>
      <c r="AU29" s="25" t="s">
        <v>364</v>
      </c>
      <c r="AV29" s="28"/>
      <c r="AW29" s="194">
        <f>IF(AT29="","",IF(StaticData.Today=TODAY(),_xll.BDP(AT29,"BID"),_xll.BDH(AT29,"BID",StaticData.Today,StaticData.Today)))</f>
        <v>2.38</v>
      </c>
      <c r="AX29" s="194">
        <f>IF(AT29="","",IF(StaticData.Today=TODAY(),_xll.BDP(AT29,"ASK"),_xll.BDH(AT29,"ASK",StaticData.Today,StaticData.Today)))</f>
        <v>2.78</v>
      </c>
      <c r="AY29" s="194">
        <f>IF(AT29="","",IF(StaticData.Today=TODAY(),_xll.BDP(AT29,"LAST_PRICE"),_xll.BDH(AT29,"LAST_PRICE",StaticData.Today,StaticData.Today)))</f>
        <v>2.58</v>
      </c>
      <c r="AZ29" s="338">
        <f t="shared" si="7"/>
        <v>2.58E-2</v>
      </c>
    </row>
    <row r="30" spans="2:55" x14ac:dyDescent="0.25">
      <c r="O30" s="24"/>
      <c r="P30" s="25"/>
      <c r="Q30" s="28"/>
      <c r="R30" s="29"/>
      <c r="S30" s="29"/>
      <c r="T30" s="30"/>
      <c r="U30" s="27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>"EURNSW10"&amp;$AT$1&amp;" Curncy"</f>
        <v>EURNSW10 CCMK Curncy</v>
      </c>
      <c r="AU30" s="25" t="s">
        <v>349</v>
      </c>
      <c r="AV30" s="28"/>
      <c r="AW30" s="194">
        <f>IF(AT30="","",IF(StaticData.Today=TODAY(),_xll.BDP(AT30,"BID"),_xll.BDH(AT30,"BID",StaticData.Today,StaticData.Today)))</f>
        <v>2.415</v>
      </c>
      <c r="AX30" s="194">
        <f>IF(AT30="","",IF(StaticData.Today=TODAY(),_xll.BDP(AT30,"ASK"),_xll.BDH(AT30,"ASK",StaticData.Today,StaticData.Today)))</f>
        <v>2.8149999999999999</v>
      </c>
      <c r="AY30" s="194">
        <f>IF(AT30="","",IF(StaticData.Today=TODAY(),_xll.BDP(AT30,"LAST_PRICE"),_xll.BDH(AT30,"LAST_PRICE",StaticData.Today,StaticData.Today)))</f>
        <v>2.6150000000000002</v>
      </c>
      <c r="AZ30" s="338">
        <f t="shared" si="7"/>
        <v>2.6150000000000003E-2</v>
      </c>
    </row>
    <row r="31" spans="2:55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/>
      <c r="AU31" s="25"/>
      <c r="AV31" s="28"/>
      <c r="AW31" s="29"/>
      <c r="AX31" s="29"/>
      <c r="AY31" s="30" t="str">
        <f>IF(AT31="","",IF(StaticData.Today=TODAY(),_xll.BDP(AT31,"LAST_PRICE"),_xll.BDH(AT31,"LAST_PRICE",StaticData.Today,StaticData.Today)))</f>
        <v/>
      </c>
      <c r="AZ31" s="27"/>
    </row>
    <row r="32" spans="2:55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/>
      <c r="AU32" s="25"/>
      <c r="AV32" s="28"/>
      <c r="AW32" s="29"/>
      <c r="AX32" s="29"/>
      <c r="AY32" s="30"/>
      <c r="AZ32" s="27"/>
    </row>
    <row r="33" spans="15:52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/>
      <c r="AU33" s="25"/>
      <c r="AV33" s="28"/>
      <c r="AW33" s="29"/>
      <c r="AX33" s="29"/>
      <c r="AY33" s="30"/>
      <c r="AZ33" s="27"/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/>
      <c r="AU34" s="25"/>
      <c r="AV34" s="28"/>
      <c r="AW34" s="29"/>
      <c r="AX34" s="29"/>
      <c r="AY34" s="30"/>
      <c r="AZ34" s="27"/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/>
      <c r="AU35" s="25"/>
      <c r="AV35" s="28"/>
      <c r="AW35" s="29"/>
      <c r="AX35" s="29"/>
      <c r="AY35" s="30"/>
      <c r="AZ35" s="27"/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/>
      <c r="AU36" s="25"/>
      <c r="AV36" s="28"/>
      <c r="AW36" s="29"/>
      <c r="AX36" s="29"/>
      <c r="AY36" s="30"/>
      <c r="AZ36" s="27"/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 t="str">
        <f>IF(AT40="","",IF(StaticData.Today=TODAY(),_xll.BDP(AT40,"LAST_PRICE"),_xll.BDH(AT40,"LAST_PRICE",StaticData.Today,StaticData.Today)))</f>
        <v/>
      </c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 t="str">
        <f>IF(AT41="","",IF(StaticData.Today=TODAY(),_xll.BDP(AT41,"LAST_PRICE"),_xll.BDH(AT41,"LAST_PRICE",StaticData.Today,StaticData.Today)))</f>
        <v/>
      </c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 t="str">
        <f>IF(AT42="","",IF(StaticData.Today=TODAY(),_xll.BDP(AT42,"LAST_PRICE"),_xll.BDH(AT42,"LAST_PRICE",StaticData.Today,StaticData.Today)))</f>
        <v/>
      </c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38"/>
      <c r="P47" s="39"/>
      <c r="Q47" s="42"/>
      <c r="R47" s="43"/>
      <c r="S47" s="43"/>
      <c r="T47" s="44"/>
      <c r="U47" s="41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W48" s="38"/>
      <c r="X48" s="39"/>
      <c r="Y48" s="192"/>
      <c r="Z48" s="41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46:52" x14ac:dyDescent="0.25">
      <c r="AT49" s="38"/>
      <c r="AU49" s="39"/>
      <c r="AV49" s="42"/>
      <c r="AW49" s="43"/>
      <c r="AX49" s="43"/>
      <c r="AY49" s="44" t="str">
        <f>IF(AT49="","",IF(StaticData.Today=TODAY(),_xll.BDP(AT49,"LAST_PRICE"),_xll.BDH(AT49,"LAST_PRICE",StaticData.Today,StaticData.Today)))</f>
        <v/>
      </c>
      <c r="AZ49" s="41"/>
    </row>
  </sheetData>
  <dataValidations count="2">
    <dataValidation type="list" allowBlank="1" showInputMessage="1" showErrorMessage="1" sqref="AL2">
      <formula1>$T$93:$T$96</formula1>
    </dataValidation>
    <dataValidation type="list" allowBlank="1" showInputMessage="1" showErrorMessage="1" sqref="O1:O2">
      <formula1>$T$95:$T$98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'STATIC DATA'!$R$97:$R$100</xm:f>
          </x14:formula1>
          <xm:sqref>AT2</xm:sqref>
        </x14:dataValidation>
        <x14:dataValidation type="list" allowBlank="1" showInputMessage="1" showErrorMessage="1">
          <x14:formula1>
            <xm:f>'STATIC DATA'!$R$92:$R$95</xm:f>
          </x14:formula1>
          <xm:sqref>G1</xm:sqref>
        </x14:dataValidation>
        <x14:dataValidation type="list" allowBlank="1" showInputMessage="1" showErrorMessage="1">
          <x14:formula1>
            <xm:f>'STATIC DATA'!$T$97:$T$100</xm:f>
          </x14:formula1>
          <xm:sqref>W2</xm:sqref>
        </x14:dataValidation>
        <x14:dataValidation type="list" allowBlank="1" showInputMessage="1" showErrorMessage="1">
          <x14:formula1>
            <xm:f>'STATIC DATA'!$T$92:$T$95</xm:f>
          </x14:formula1>
          <xm:sqref>AT1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Z56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4.7109375" style="6" bestFit="1" customWidth="1"/>
    <col min="26" max="26" width="8.1406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4.7109375" style="6" bestFit="1" customWidth="1"/>
    <col min="31" max="31" width="7.57031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tr">
        <f>'STATIC DATA'!$Z$4</f>
        <v>RUB</v>
      </c>
      <c r="G1" s="6" t="s">
        <v>509</v>
      </c>
      <c r="O1" s="6" t="s">
        <v>504</v>
      </c>
      <c r="AT1" s="6" t="s">
        <v>504</v>
      </c>
    </row>
    <row r="2" spans="1:52" x14ac:dyDescent="0.25">
      <c r="G2" s="7"/>
      <c r="O2" s="6" t="s">
        <v>510</v>
      </c>
      <c r="AL2" s="6" t="s">
        <v>510</v>
      </c>
      <c r="AT2" s="6" t="s">
        <v>510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257</v>
      </c>
      <c r="L3" s="8"/>
      <c r="O3" s="2" t="str">
        <f>$A$1&amp;"_3M"</f>
        <v>RUB_3M</v>
      </c>
      <c r="T3" s="8" t="s">
        <v>282</v>
      </c>
      <c r="W3" s="2" t="str">
        <f>$A$1&amp;"_BASIS_6M"</f>
        <v>RUB_BASIS_6M</v>
      </c>
      <c r="AB3" s="2" t="str">
        <f>$A$1&amp;"_BASIS_1M"</f>
        <v>RUB_BASIS_1M</v>
      </c>
      <c r="AG3" s="2" t="str">
        <f>$A$1&amp;"_BASIS_12M"</f>
        <v>RUB_BASIS_12M</v>
      </c>
      <c r="AL3" s="2" t="str">
        <f>'STATIC DATA'!$C$4&amp;'STATIC DATA'!$Z$4&amp;"_BASIS"</f>
        <v>USDRUB_BASIS</v>
      </c>
      <c r="AQ3" s="8" t="s">
        <v>282</v>
      </c>
      <c r="AT3" s="2" t="str">
        <f>$A$1&amp;"_"&amp;'STATIC DATA'!Z67</f>
        <v>RUB_USD_1D</v>
      </c>
      <c r="AY3" s="8" t="s">
        <v>282</v>
      </c>
    </row>
    <row r="4" spans="1:52" x14ac:dyDescent="0.25">
      <c r="B4" s="9" t="b">
        <f>SUM(C7:C17)=SUM(D7:D17)</f>
        <v>0</v>
      </c>
      <c r="E4" s="10">
        <f>SUM(E7:E17)</f>
        <v>1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8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">
        <v>257</v>
      </c>
      <c r="C7" s="12">
        <f>COUNTA(G7:G19)</f>
        <v>11</v>
      </c>
      <c r="D7" s="12">
        <f>COUNT(L7:L19)</f>
        <v>11</v>
      </c>
      <c r="E7" s="13">
        <f t="shared" ref="E7:E12" si="0">C7-D7</f>
        <v>0</v>
      </c>
      <c r="G7" s="14" t="s">
        <v>488</v>
      </c>
      <c r="H7" s="15" t="s">
        <v>298</v>
      </c>
      <c r="I7" s="15"/>
      <c r="J7" s="186">
        <f>IF(G7="","",IF(StaticData.Today=TODAY(),_xll.BDP(G7,"BID"),_xll.BDH(G7,"BID",StaticData.Today,StaticData.Today)))</f>
        <v>4</v>
      </c>
      <c r="K7" s="186">
        <f>IF(G7="","",IF(StaticData.Today=TODAY(),_xll.BDP(G7,"ASK"),_xll.BDH(G7,"ASK",StaticData.Today,StaticData.Today)))</f>
        <v>4</v>
      </c>
      <c r="L7" s="16">
        <f>IF(G7="","",IF(StaticData.Today=TODAY(),_xll.BDP(G7,"LAST_PRICE"),_xll.BDH(G7,"MID",StaticData.Today,StaticData.Today)))</f>
        <v>4</v>
      </c>
      <c r="M7" s="17">
        <f>L7/100</f>
        <v>0.04</v>
      </c>
      <c r="O7" s="14" t="s">
        <v>492</v>
      </c>
      <c r="P7" s="15" t="s">
        <v>298</v>
      </c>
      <c r="Q7" s="18"/>
      <c r="R7" s="19"/>
      <c r="S7" s="19"/>
      <c r="T7" s="20">
        <f>IF(O7="","",IF(StaticData.Today=TODAY(),_xll.BDP(O7,"PX_LAST"),_xll.BDH(O7,"PX_LAST",StaticData.Today,StaticData.Today)))</f>
        <v>4.38</v>
      </c>
      <c r="U7" s="337">
        <f>T7/100</f>
        <v>4.3799999999999999E-2</v>
      </c>
      <c r="W7" s="14"/>
      <c r="X7" s="15" t="s">
        <v>47</v>
      </c>
      <c r="Y7" s="16" t="str">
        <f>IF(W7="","",IF(StaticData.Today=TODAY(),_xll.BDP(W7,"LAST_PRICE"),_xll.BDH(W7,"LAST_PRICE",StaticData.Today,StaticData.Today)))</f>
        <v/>
      </c>
      <c r="Z7" s="17">
        <v>1E-3</v>
      </c>
      <c r="AB7" s="14"/>
      <c r="AC7" s="15" t="s">
        <v>47</v>
      </c>
      <c r="AD7" s="16" t="str">
        <f>IF(AB7="","",IF(StaticData.Today=TODAY(),_xll.BDP(AB7,"LAST_PRICE"),_xll.BDH(AB7,"LAST_PRICE",StaticData.Today,StaticData.Today)))</f>
        <v/>
      </c>
      <c r="AE7" s="17"/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K7" s="208">
        <f>RUB_DATA!Z7</f>
        <v>1E-3</v>
      </c>
      <c r="AL7" s="14" t="str">
        <f>"RRBS1"&amp;$AL$2&amp;" Curncy"</f>
        <v>RRBS1 TRPU Curncy</v>
      </c>
      <c r="AM7" s="15" t="s">
        <v>47</v>
      </c>
      <c r="AN7" s="18"/>
      <c r="AO7" s="19">
        <f>IF(AL7="","",IF(StaticData.Today=TODAY(),_xll.BDP(AL7,"BID"),_xll.BDH(AL7,"BID",StaticData.Today,StaticData.Today)))</f>
        <v>-59</v>
      </c>
      <c r="AP7" s="19">
        <f>IF(AL7="","",IF(StaticData.Today=TODAY(),_xll.BDP(AL7,"ASK"),_xll.BDH(AL7,"ASK",StaticData.Today,StaticData.Today)))</f>
        <v>-49</v>
      </c>
      <c r="AQ7" s="179">
        <f>IF(AL7="","",IF(StaticData.Today=TODAY(),_xll.BDP(AL7,"PX_LAST"),_xll.BDH(AL7,"PX_LAST",StaticData.Today,StaticData.Today)))</f>
        <v>-55</v>
      </c>
      <c r="AR7" s="17">
        <f>AQ7/10000</f>
        <v>-5.4999999999999997E-3</v>
      </c>
      <c r="AT7" s="8" t="str">
        <f>"RUB"&amp;" Curncy"</f>
        <v>RUB Curncy</v>
      </c>
      <c r="AU7" s="8"/>
      <c r="AV7" s="8"/>
      <c r="AW7" s="178">
        <f>IF(AT7="","",IF(StaticData.Today=TODAY(),_xll.BDP(AT7,"LAST_PRICE"),_xll.BDH(AT7,"BID",StaticData.Today,StaticData.Today)))</f>
        <v>75.871099999999998</v>
      </c>
      <c r="AX7" s="178">
        <f>IF(AT7="","",IF(StaticData.Today=TODAY(),_xll.BDP(AT7,"LAST_PRICE"),_xll.BDH(AT7,"LAST_PRICE",StaticData.Today,StaticData.Today)))</f>
        <v>75.871099999999998</v>
      </c>
      <c r="AY7" s="336">
        <f>IF(AT7="","",IF(StaticData.Today=TODAY(),_xll.BDP(AT7,"LAST_PRICE"),_xll.BDH(AT7,"LAST_PRICE",StaticData.Today,StaticData.Today)))</f>
        <v>75.871099999999998</v>
      </c>
      <c r="AZ7" s="334">
        <f t="shared" ref="AZ7:AZ12" si="1">AY7</f>
        <v>75.871099999999998</v>
      </c>
    </row>
    <row r="8" spans="1:52" x14ac:dyDescent="0.25">
      <c r="B8" s="21" t="s">
        <v>281</v>
      </c>
      <c r="C8" s="22">
        <f>COUNTA(O7:O48)</f>
        <v>25</v>
      </c>
      <c r="D8" s="22">
        <f>COUNT(T7:T48)</f>
        <v>24</v>
      </c>
      <c r="E8" s="23">
        <f t="shared" si="0"/>
        <v>1</v>
      </c>
      <c r="G8" s="24" t="str">
        <f>"RRSO"&amp;I8&amp;$G$1&amp;" Curncy"</f>
        <v>RRSO1Z GFUN Curncy</v>
      </c>
      <c r="H8" s="25" t="s">
        <v>305</v>
      </c>
      <c r="I8" s="25" t="s">
        <v>519</v>
      </c>
      <c r="J8" s="187">
        <f>IF(G8="","",IF(StaticData.Today=TODAY(),_xll.BDP(G8,"BID"),_xll.BDH(G8,"BID",StaticData.Today,StaticData.Today)))</f>
        <v>4.07</v>
      </c>
      <c r="K8" s="187">
        <f>IF(G8="","",IF(StaticData.Today=TODAY(),_xll.BDP(G8,"ASK"),_xll.BDH(G8,"ASK",StaticData.Today,StaticData.Today)))</f>
        <v>4.2699999999999996</v>
      </c>
      <c r="L8" s="26">
        <f>IF(G8="","",IF(StaticData.Today=TODAY(),_xll.BDP(G8,"LAST_PRICE"),_xll.BDH(G8,"LAST_PRICE",StaticData.Today,StaticData.Today)))</f>
        <v>4.17</v>
      </c>
      <c r="M8" s="27">
        <f t="shared" ref="M8:M14" si="2">L8/100</f>
        <v>4.1700000000000001E-2</v>
      </c>
      <c r="O8" s="24" t="s">
        <v>491</v>
      </c>
      <c r="P8" s="25" t="s">
        <v>300</v>
      </c>
      <c r="Q8" s="28"/>
      <c r="R8" s="29"/>
      <c r="S8" s="29"/>
      <c r="T8" s="30">
        <f>IF(O8="","",IF(StaticData.Today=TODAY(),_xll.BDP(O8,"PX_LAST"),_xll.BDH(O8,"PX_LAST",StaticData.Today,StaticData.Today)))</f>
        <v>4.55</v>
      </c>
      <c r="U8" s="338">
        <f>T8/100</f>
        <v>4.5499999999999999E-2</v>
      </c>
      <c r="W8" s="24"/>
      <c r="X8" s="25" t="s">
        <v>308</v>
      </c>
      <c r="Y8" s="26" t="str">
        <f>IF(W8="","",IF(StaticData.Today=TODAY(),_xll.BDP(W8,"LAST_PRICE"),_xll.BDH(W8,"LAST_PRICE",StaticData.Today,StaticData.Today)))</f>
        <v/>
      </c>
      <c r="Z8" s="27">
        <v>1E-3</v>
      </c>
      <c r="AB8" s="24"/>
      <c r="AC8" s="25" t="s">
        <v>308</v>
      </c>
      <c r="AD8" s="26" t="str">
        <f>IF(AB8="","",IF(StaticData.Today=TODAY(),_xll.BDP(AB8,"LAST_PRICE"),_xll.BDH(AB8,"LAST_PRICE",StaticData.Today,StaticData.Today)))</f>
        <v/>
      </c>
      <c r="AE8" s="27"/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K8" s="208">
        <f>RUB_DATA!Z8</f>
        <v>1E-3</v>
      </c>
      <c r="AL8" s="14" t="str">
        <f>"RRBS2"&amp;$AL$2&amp;" Curncy"</f>
        <v>RRBS2 TRPU Curncy</v>
      </c>
      <c r="AM8" s="25" t="s">
        <v>308</v>
      </c>
      <c r="AN8" s="28"/>
      <c r="AO8" s="29">
        <f>IF(AL8="","",IF(StaticData.Today=TODAY(),_xll.BDP(AL8,"BID"),_xll.BDH(AL8,"BID",StaticData.Today,StaticData.Today)))</f>
        <v>-72</v>
      </c>
      <c r="AP8" s="29">
        <f>IF(AL8="","",IF(StaticData.Today=TODAY(),_xll.BDP(AL8,"ASK"),_xll.BDH(AL8,"ASK",StaticData.Today,StaticData.Today)))</f>
        <v>-62</v>
      </c>
      <c r="AQ8" s="177">
        <f>IF(AL8="","",IF(StaticData.Today=TODAY(),_xll.BDP(AL8,"PX_LAST"),_xll.BDH(AL8,"PX_LAST",StaticData.Today,StaticData.Today)))</f>
        <v>-68</v>
      </c>
      <c r="AR8" s="17">
        <f t="shared" ref="AR8:AR17" si="3">AQ8/10000</f>
        <v>-6.7999999999999996E-3</v>
      </c>
      <c r="AT8" s="24" t="str">
        <f>"RUB"&amp;AU8&amp;$AT$1&amp;" Curncy"</f>
        <v>RUBON TRSU Curncy</v>
      </c>
      <c r="AU8" s="15" t="s">
        <v>298</v>
      </c>
      <c r="AV8" s="18"/>
      <c r="AW8" s="177">
        <f>IF(AT8="","",IF(StaticData.Today=TODAY(),_xll.BDP(AT8,"BID"),_xll.BDH(AT8,"BID",StaticData.Today,StaticData.Today)))</f>
        <v>78</v>
      </c>
      <c r="AX8" s="177">
        <f>IF(AT8="","",IF(StaticData.Today=TODAY(),_xll.BDP(AT8,"ASK"),_xll.BDH(AT8,"ASK",StaticData.Today,StaticData.Today)))</f>
        <v>82</v>
      </c>
      <c r="AY8" s="179">
        <f>IF(AT8="","",IF(StaticData.Today=TODAY(),_xll.BDP(AT8,"PX_LAST"),_xll.BDH(AT8,"PX_LAST",StaticData.Today,StaticData.Today)))</f>
        <v>80</v>
      </c>
      <c r="AZ8" s="180">
        <f t="shared" si="1"/>
        <v>80</v>
      </c>
    </row>
    <row r="9" spans="1:52" x14ac:dyDescent="0.25">
      <c r="B9" s="21" t="s">
        <v>511</v>
      </c>
      <c r="C9" s="22">
        <f>COUNTA(O11:O18)*2</f>
        <v>16</v>
      </c>
      <c r="D9" s="22">
        <f>COUNT(R11:S18)</f>
        <v>16</v>
      </c>
      <c r="E9" s="23">
        <f t="shared" si="0"/>
        <v>0</v>
      </c>
      <c r="G9" s="24" t="str">
        <f>"RRSO"&amp;I9&amp;" BGN"&amp;" Curncy"</f>
        <v>RRSO2Z BGN Curncy</v>
      </c>
      <c r="H9" s="25" t="s">
        <v>313</v>
      </c>
      <c r="I9" s="25" t="s">
        <v>520</v>
      </c>
      <c r="J9" s="187">
        <f>IF(G9="","",IF(StaticData.Today=TODAY(),_xll.BDP(G9,"BID"),_xll.BDH(G9,"BID",StaticData.Today,StaticData.Today)))</f>
        <v>4.0599999999999996</v>
      </c>
      <c r="K9" s="187">
        <f>IF(G9="","",IF(StaticData.Today=TODAY(),_xll.BDP(G9,"ASK"),_xll.BDH(G9,"ASK",StaticData.Today,StaticData.Today)))</f>
        <v>4.16</v>
      </c>
      <c r="L9" s="26">
        <f>IF(G9="","",IF(StaticData.Today=TODAY(),_xll.BDP(G9,"LAST_PRICE"),_xll.BDH(G9,"LAST_PRICE",StaticData.Today,StaticData.Today)))</f>
        <v>4.1100000000000003</v>
      </c>
      <c r="M9" s="27">
        <f t="shared" si="2"/>
        <v>4.1100000000000005E-2</v>
      </c>
      <c r="O9" s="24" t="s">
        <v>489</v>
      </c>
      <c r="P9" s="25" t="s">
        <v>49</v>
      </c>
      <c r="Q9" s="28"/>
      <c r="R9" s="29"/>
      <c r="S9" s="29"/>
      <c r="T9" s="30">
        <f>IF(O9="","",IF(StaticData.Today=TODAY(),_xll.BDP(O9,"PX_LAST"),_xll.BDH(O9,"PX_LAST",StaticData.Today,StaticData.Today)))</f>
        <v>4.68</v>
      </c>
      <c r="U9" s="338">
        <f>T9/100</f>
        <v>4.6799999999999994E-2</v>
      </c>
      <c r="W9" s="24"/>
      <c r="X9" s="25" t="s">
        <v>316</v>
      </c>
      <c r="Y9" s="26" t="str">
        <f>IF(W9="","",IF(StaticData.Today=TODAY(),_xll.BDP(W9,"LAST_PRICE"),_xll.BDH(W9,"LAST_PRICE",StaticData.Today,StaticData.Today)))</f>
        <v/>
      </c>
      <c r="Z9" s="27">
        <v>1E-3</v>
      </c>
      <c r="AB9" s="24"/>
      <c r="AC9" s="25" t="s">
        <v>316</v>
      </c>
      <c r="AD9" s="26" t="str">
        <f>IF(AB9="","",IF(StaticData.Today=TODAY(),_xll.BDP(AB9,"LAST_PRICE"),_xll.BDH(AB9,"LAST_PRICE",StaticData.Today,StaticData.Today)))</f>
        <v/>
      </c>
      <c r="AE9" s="27"/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K9" s="208">
        <f>RUB_DATA!Z9</f>
        <v>1E-3</v>
      </c>
      <c r="AL9" s="14" t="str">
        <f>"RRBS3"&amp;$AL$2&amp;" Curncy"</f>
        <v>RRBS3 TRPU Curncy</v>
      </c>
      <c r="AM9" s="25" t="s">
        <v>316</v>
      </c>
      <c r="AN9" s="28"/>
      <c r="AO9" s="29">
        <f>IF(AL9="","",IF(StaticData.Today=TODAY(),_xll.BDP(AL9,"BID"),_xll.BDH(AL9,"BID",StaticData.Today,StaticData.Today)))</f>
        <v>-91</v>
      </c>
      <c r="AP9" s="29">
        <f>IF(AL9="","",IF(StaticData.Today=TODAY(),_xll.BDP(AL9,"ASK"),_xll.BDH(AL9,"ASK",StaticData.Today,StaticData.Today)))</f>
        <v>-81</v>
      </c>
      <c r="AQ9" s="177">
        <f>IF(AL9="","",IF(StaticData.Today=TODAY(),_xll.BDP(AL9,"PX_LAST"),_xll.BDH(AL9,"PX_LAST",StaticData.Today,StaticData.Today)))</f>
        <v>-87</v>
      </c>
      <c r="AR9" s="17">
        <f t="shared" si="3"/>
        <v>-8.6999999999999994E-3</v>
      </c>
      <c r="AT9" s="24" t="str">
        <f t="shared" ref="AT9:AT24" si="4">"RUB"&amp;AU9&amp;$AT$1&amp;" Curncy"</f>
        <v>RUBTN TRSU Curncy</v>
      </c>
      <c r="AU9" s="25" t="s">
        <v>506</v>
      </c>
      <c r="AV9" s="28"/>
      <c r="AW9" s="177">
        <f>IF(AT9="","",IF(StaticData.Today=TODAY(),_xll.BDP(AT9,"BID"),_xll.BDH(AT9,"BID",StaticData.Today,StaticData.Today)))</f>
        <v>76</v>
      </c>
      <c r="AX9" s="177">
        <f>IF(AT9="","",IF(StaticData.Today=TODAY(),_xll.BDP(AT9,"ASK"),_xll.BDH(AT9,"ASK",StaticData.Today,StaticData.Today)))</f>
        <v>82</v>
      </c>
      <c r="AY9" s="177">
        <f>IF(AT9="","",IF(StaticData.Today=TODAY(),_xll.BDP(AT9,"PX_LAST"),_xll.BDH(AT9,"PX_LAST",StaticData.Today,StaticData.Today)))</f>
        <v>79</v>
      </c>
      <c r="AZ9" s="181">
        <f t="shared" si="1"/>
        <v>79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 t="str">
        <f t="shared" ref="G10:G14" si="5">"RRSO"&amp;I10&amp;$G$1&amp;" Curncy"</f>
        <v>RRSOA GFUN Curncy</v>
      </c>
      <c r="H10" s="25" t="s">
        <v>300</v>
      </c>
      <c r="I10" s="25" t="s">
        <v>521</v>
      </c>
      <c r="J10" s="187">
        <f>IF(G10="","",IF(StaticData.Today=TODAY(),_xll.BDP(G10,"BID"),_xll.BDH(G10,"BID",StaticData.Today,StaticData.Today)))</f>
        <v>4.03</v>
      </c>
      <c r="K10" s="187">
        <f>IF(G10="","",IF(StaticData.Today=TODAY(),_xll.BDP(G10,"ASK"),_xll.BDH(G10,"ASK",StaticData.Today,StaticData.Today)))</f>
        <v>4.2300000000000004</v>
      </c>
      <c r="L10" s="26">
        <f>IF(G10="","",IF(StaticData.Today=TODAY(),_xll.BDP(G10,"LAST_PRICE"),_xll.BDH(G10,"LAST_PRICE",StaticData.Today,StaticData.Today)))</f>
        <v>4.13</v>
      </c>
      <c r="M10" s="27">
        <f t="shared" si="2"/>
        <v>4.1299999999999996E-2</v>
      </c>
      <c r="O10" s="24" t="s">
        <v>490</v>
      </c>
      <c r="P10" s="25" t="s">
        <v>46</v>
      </c>
      <c r="Q10" s="28"/>
      <c r="R10" s="29"/>
      <c r="S10" s="29"/>
      <c r="T10" s="30">
        <f>IF(O10="","",IF(StaticData.Today=TODAY(),_xll.BDP(O10,"PX_LAST"),_xll.BDH(O10,"PX_LAST",StaticData.Today,StaticData.Today)))</f>
        <v>4.7</v>
      </c>
      <c r="U10" s="338">
        <f>T10/100</f>
        <v>4.7E-2</v>
      </c>
      <c r="W10" s="24"/>
      <c r="X10" s="25" t="s">
        <v>324</v>
      </c>
      <c r="Y10" s="26" t="str">
        <f>IF(W10="","",IF(StaticData.Today=TODAY(),_xll.BDP(W10,"LAST_PRICE"),_xll.BDH(W10,"LAST_PRICE",StaticData.Today,StaticData.Today)))</f>
        <v/>
      </c>
      <c r="Z10" s="27">
        <v>1E-3</v>
      </c>
      <c r="AB10" s="24"/>
      <c r="AC10" s="25" t="s">
        <v>324</v>
      </c>
      <c r="AD10" s="26" t="str">
        <f>IF(AB10="","",IF(StaticData.Today=TODAY(),_xll.BDP(AB10,"LAST_PRICE"),_xll.BDH(AB10,"LAST_PRICE",StaticData.Today,StaticData.Today)))</f>
        <v/>
      </c>
      <c r="AE10" s="27"/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K10" s="208">
        <f>RUB_DATA!Z10</f>
        <v>1E-3</v>
      </c>
      <c r="AL10" s="14" t="str">
        <f>"RRBS4"&amp;$AL$2&amp;" Curncy"</f>
        <v>RRBS4 TRPU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-110</v>
      </c>
      <c r="AP10" s="29">
        <f>IF(AL10="","",IF(StaticData.Today=TODAY(),_xll.BDP(AL10,"ASK"),_xll.BDH(AL10,"ASK",StaticData.Today,StaticData.Today)))</f>
        <v>-100</v>
      </c>
      <c r="AQ10" s="177">
        <f>IF(AL10="","",IF(StaticData.Today=TODAY(),_xll.BDP(AL10,"PX_LAST"),_xll.BDH(AL10,"PX_LAST",StaticData.Today,StaticData.Today)))</f>
        <v>-106</v>
      </c>
      <c r="AR10" s="17">
        <f t="shared" si="3"/>
        <v>-1.06E-2</v>
      </c>
      <c r="AT10" s="24" t="str">
        <f t="shared" si="4"/>
        <v>RUB1W TRSU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535</v>
      </c>
      <c r="AX10" s="177">
        <f>IF(AT10="","",IF(StaticData.Today=TODAY(),_xll.BDP(AT10,"ASK"),_xll.BDH(AT10,"ASK",StaticData.Today,StaticData.Today)))</f>
        <v>565</v>
      </c>
      <c r="AY10" s="177">
        <f>IF(AT10="","",IF(StaticData.Today=TODAY(),_xll.BDP(AT10,"PX_LAST"),_xll.BDH(AT10,"PX_LAST",StaticData.Today,StaticData.Today)))</f>
        <v>555</v>
      </c>
      <c r="AZ10" s="181">
        <f t="shared" si="1"/>
        <v>555</v>
      </c>
    </row>
    <row r="11" spans="1:52" x14ac:dyDescent="0.25">
      <c r="B11" s="21" t="s">
        <v>284</v>
      </c>
      <c r="C11" s="22">
        <f>COUNTA(AB7:AB48)</f>
        <v>0</v>
      </c>
      <c r="D11" s="22">
        <f>COUNT(AD7:AD48)</f>
        <v>0</v>
      </c>
      <c r="E11" s="23">
        <f t="shared" si="0"/>
        <v>0</v>
      </c>
      <c r="G11" s="24" t="str">
        <f t="shared" si="5"/>
        <v>RRSOB GFUN Curncy</v>
      </c>
      <c r="H11" s="25" t="s">
        <v>335</v>
      </c>
      <c r="I11" s="25" t="s">
        <v>522</v>
      </c>
      <c r="J11" s="187">
        <f>IF(G11="","",IF(StaticData.Today=TODAY(),_xll.BDP(G11,"BID"),_xll.BDH(G11,"BID",StaticData.Today,StaticData.Today)))</f>
        <v>4.03</v>
      </c>
      <c r="K11" s="187">
        <f>IF(G11="","",IF(StaticData.Today=TODAY(),_xll.BDP(G11,"ASK"),_xll.BDH(G11,"ASK",StaticData.Today,StaticData.Today)))</f>
        <v>4.2300000000000004</v>
      </c>
      <c r="L11" s="26">
        <f>IF(G11="","",IF(StaticData.Today=TODAY(),_xll.BDP(G11,"LAST_PRICE"),_xll.BDH(G11,"LAST_PRICE",StaticData.Today,StaticData.Today)))</f>
        <v>4.13</v>
      </c>
      <c r="M11" s="27">
        <f t="shared" si="2"/>
        <v>4.1299999999999996E-2</v>
      </c>
      <c r="O11" s="24" t="str">
        <f>"RRFR"&amp;P11&amp;$O$1&amp;" Curncy"</f>
        <v>RRFR00C TRSU Curncy</v>
      </c>
      <c r="P11" s="25" t="s">
        <v>512</v>
      </c>
      <c r="Q11" s="31" t="s">
        <v>493</v>
      </c>
      <c r="R11" s="182">
        <f>IF(O11="","",IF(StaticData.Today=TODAY(),_xll.BDP(O11,"BID"),_xll.BDH(O11,"BID",StaticData.Today,StaticData.Today)))</f>
        <v>4.67</v>
      </c>
      <c r="S11" s="182">
        <f>IF(O11="","",IF(StaticData.Today=TODAY(),_xll.BDP(O11,"ASK"),_xll.BDH(O11,"ASK",StaticData.Today,StaticData.Today)))</f>
        <v>4.7699999999999996</v>
      </c>
      <c r="T11" s="30">
        <f>IF(O11="","",IF(StaticData.Today=TODAY(),_xll.BDP(O11,"LAST_PRICE"),_xll.BDH(O11,"LAST_PRICE",StaticData.Today,StaticData.Today)))</f>
        <v>4.72</v>
      </c>
      <c r="U11" s="338">
        <f>T11/100</f>
        <v>4.7199999999999999E-2</v>
      </c>
      <c r="W11" s="24"/>
      <c r="X11" s="25" t="s">
        <v>331</v>
      </c>
      <c r="Y11" s="26" t="str">
        <f>IF(W11="","",IF(StaticData.Today=TODAY(),_xll.BDP(W11,"LAST_PRICE"),_xll.BDH(W11,"LAST_PRICE",StaticData.Today,StaticData.Today)))</f>
        <v/>
      </c>
      <c r="Z11" s="27">
        <v>1E-3</v>
      </c>
      <c r="AB11" s="24"/>
      <c r="AC11" s="25" t="s">
        <v>331</v>
      </c>
      <c r="AD11" s="26" t="str">
        <f>IF(AB11="","",IF(StaticData.Today=TODAY(),_xll.BDP(AB11,"LAST_PRICE"),_xll.BDH(AB11,"LAST_PRICE",StaticData.Today,StaticData.Today)))</f>
        <v/>
      </c>
      <c r="AE11" s="27"/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K11" s="208">
        <f>RUB_DATA!Z11</f>
        <v>1E-3</v>
      </c>
      <c r="AL11" s="14" t="str">
        <f>"RRBS5"&amp;$AL$2&amp;" Curncy"</f>
        <v>RRBS5 TRPU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-126</v>
      </c>
      <c r="AP11" s="29">
        <f>IF(AL11="","",IF(StaticData.Today=TODAY(),_xll.BDP(AL11,"ASK"),_xll.BDH(AL11,"ASK",StaticData.Today,StaticData.Today)))</f>
        <v>-116</v>
      </c>
      <c r="AQ11" s="177">
        <f>IF(AL11="","",IF(StaticData.Today=TODAY(),_xll.BDP(AL11,"LAST_PRICE"),_xll.BDH(AL11,"LAST_PRICE",StaticData.Today,StaticData.Today)))</f>
        <v>-121</v>
      </c>
      <c r="AR11" s="17">
        <f t="shared" si="3"/>
        <v>-1.21E-2</v>
      </c>
      <c r="AT11" s="24" t="str">
        <f t="shared" si="4"/>
        <v>RUB2W TRSU Curncy</v>
      </c>
      <c r="AU11" s="25" t="s">
        <v>313</v>
      </c>
      <c r="AV11" s="28"/>
      <c r="AW11" s="177">
        <f>IF(AT11="","",IF(StaticData.Today=TODAY(),_xll.BDP(AT11,"BID"),_xll.BDH(AT11,"BID",StaticData.Today,StaticData.Today)))</f>
        <v>1090</v>
      </c>
      <c r="AX11" s="177">
        <f>IF(AT11="","",IF(StaticData.Today=TODAY(),_xll.BDP(AT11,"ASK"),_xll.BDH(AT11,"ASK",StaticData.Today,StaticData.Today)))</f>
        <v>1130</v>
      </c>
      <c r="AY11" s="177">
        <f>IF(AT11="","",IF(StaticData.Today=TODAY(),_xll.BDP(AT11,"PX_LAST"),_xll.BDH(AT11,"PX_LAST",StaticData.Today,StaticData.Today)))</f>
        <v>1115</v>
      </c>
      <c r="AZ11" s="181">
        <f t="shared" si="1"/>
        <v>1115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 t="shared" si="5"/>
        <v>RRSOC GFUN Curncy</v>
      </c>
      <c r="H12" s="25" t="s">
        <v>49</v>
      </c>
      <c r="I12" s="25" t="s">
        <v>523</v>
      </c>
      <c r="J12" s="187">
        <f>IF(G12="","",IF(StaticData.Today=TODAY(),_xll.BDP(G12,"BID"),_xll.BDH(G12,"BID",StaticData.Today,StaticData.Today)))</f>
        <v>4.04</v>
      </c>
      <c r="K12" s="187">
        <f>IF(G12="","",IF(StaticData.Today=TODAY(),_xll.BDP(G12,"ASK"),_xll.BDH(G12,"ASK",StaticData.Today,StaticData.Today)))</f>
        <v>4.24</v>
      </c>
      <c r="L12" s="26">
        <f>IF(G12="","",IF(StaticData.Today=TODAY(),_xll.BDP(G12,"LAST_PRICE"),_xll.BDH(G12,"LAST_PRICE",StaticData.Today,StaticData.Today)))</f>
        <v>4.1399999999999997</v>
      </c>
      <c r="M12" s="27">
        <f t="shared" si="2"/>
        <v>4.1399999999999999E-2</v>
      </c>
      <c r="O12" s="24" t="str">
        <f t="shared" ref="O12:O17" si="6">"RRFR"&amp;P12&amp;$O$1&amp;" Curncy"</f>
        <v>RRFR0AD TRSU Curncy</v>
      </c>
      <c r="P12" s="25" t="s">
        <v>513</v>
      </c>
      <c r="Q12" s="31" t="s">
        <v>494</v>
      </c>
      <c r="R12" s="182">
        <f>IF(O12="","",IF(StaticData.Today=TODAY(),_xll.BDP(O12,"BID"),_xll.BDH(O12,"BID",StaticData.Today,StaticData.Today)))</f>
        <v>4.66</v>
      </c>
      <c r="S12" s="182">
        <f>IF(O12="","",IF(StaticData.Today=TODAY(),_xll.BDP(O12,"ASK"),_xll.BDH(O12,"ASK",StaticData.Today,StaticData.Today)))</f>
        <v>4.76</v>
      </c>
      <c r="T12" s="30">
        <f>IF(O12="","",IF(StaticData.Today=TODAY(),_xll.BDP(O12,"LAST_PRICE"),_xll.BDH(O12,"LAST_PRICE",StaticData.Today,StaticData.Today)))</f>
        <v>4.71</v>
      </c>
      <c r="U12" s="338">
        <f t="shared" ref="U12:U18" si="7">T12/100</f>
        <v>4.7100000000000003E-2</v>
      </c>
      <c r="W12" s="24"/>
      <c r="X12" s="25" t="s">
        <v>339</v>
      </c>
      <c r="Y12" s="26" t="str">
        <f>IF(W12="","",IF(StaticData.Today=TODAY(),_xll.BDP(W12,"LAST_PRICE"),_xll.BDH(W12,"LAST_PRICE",StaticData.Today,StaticData.Today)))</f>
        <v/>
      </c>
      <c r="Z12" s="27">
        <v>1E-3</v>
      </c>
      <c r="AB12" s="24"/>
      <c r="AC12" s="25" t="s">
        <v>339</v>
      </c>
      <c r="AD12" s="26" t="str">
        <f>IF(AB12="","",IF(StaticData.Today=TODAY(),_xll.BDP(AB12,"LAST_PRICE"),_xll.BDH(AB12,"LAST_PRICE",StaticData.Today,StaticData.Today)))</f>
        <v/>
      </c>
      <c r="AE12" s="27"/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K12" s="208">
        <f>RUB_DATA!Z12</f>
        <v>1E-3</v>
      </c>
      <c r="AL12" s="14" t="str">
        <f>"RRBS6"&amp;$AL$2&amp;" Curncy"</f>
        <v>RRBS6 TRPU Curncy</v>
      </c>
      <c r="AM12" s="25" t="s">
        <v>339</v>
      </c>
      <c r="AN12" s="31"/>
      <c r="AO12" s="29">
        <f>IF(AL12="","",IF(StaticData.Today=TODAY(),_xll.BDP(AL12,"BID"),_xll.BDH(AL12,"BID",StaticData.Today,StaticData.Today)))</f>
        <v>-142</v>
      </c>
      <c r="AP12" s="29">
        <f>IF(AL12="","",IF(StaticData.Today=TODAY(),_xll.BDP(AL12,"ASK"),_xll.BDH(AL12,"ASK",StaticData.Today,StaticData.Today)))</f>
        <v>-132</v>
      </c>
      <c r="AQ12" s="177">
        <f>IF(AL12="","",IF(StaticData.Today=TODAY(),_xll.BDP(AL12,"LAST_PRICE"),_xll.BDH(AL12,"LAST_PRICE",StaticData.Today,StaticData.Today)))</f>
        <v>-137</v>
      </c>
      <c r="AR12" s="17">
        <f t="shared" si="3"/>
        <v>-1.37E-2</v>
      </c>
      <c r="AT12" s="24" t="str">
        <f t="shared" si="4"/>
        <v>RUB1M TRSU Curncy</v>
      </c>
      <c r="AU12" s="25" t="s">
        <v>300</v>
      </c>
      <c r="AV12" s="31"/>
      <c r="AW12" s="177">
        <f>IF(AT12="","",IF(StaticData.Today=TODAY(),_xll.BDP(AT12,"BID"),_xll.BDH(AT12,"BID",StaticData.Today,StaticData.Today)))</f>
        <v>2600</v>
      </c>
      <c r="AX12" s="177">
        <f>IF(AT12="","",IF(StaticData.Today=TODAY(),_xll.BDP(AT12,"ASK"),_xll.BDH(AT12,"ASK",StaticData.Today,StaticData.Today)))</f>
        <v>2660</v>
      </c>
      <c r="AY12" s="177">
        <f>IF(AT12="","",IF(StaticData.Today=TODAY(),_xll.BDP(AT12,"LAST_PRICE"),_xll.BDH(AT12,"LAST_PRICE",StaticData.Today,StaticData.Today)))</f>
        <v>2630</v>
      </c>
      <c r="AZ12" s="181">
        <f t="shared" si="1"/>
        <v>2630</v>
      </c>
    </row>
    <row r="13" spans="1:52" x14ac:dyDescent="0.25">
      <c r="B13" s="21"/>
      <c r="C13" s="22"/>
      <c r="D13" s="22"/>
      <c r="E13" s="22"/>
      <c r="G13" s="24" t="str">
        <f t="shared" si="5"/>
        <v>RRSOF GFUN Curncy</v>
      </c>
      <c r="H13" s="25" t="s">
        <v>46</v>
      </c>
      <c r="I13" s="25" t="s">
        <v>524</v>
      </c>
      <c r="J13" s="187">
        <f>IF(G13="","",IF(StaticData.Today=TODAY(),_xll.BDP(G13,"BID"),_xll.BDH(G13,"BID",StaticData.Today,StaticData.Today)))</f>
        <v>4.05</v>
      </c>
      <c r="K13" s="187">
        <f>IF(G13="","",IF(StaticData.Today=TODAY(),_xll.BDP(G13,"ASK"),_xll.BDH(G13,"ASK",StaticData.Today,StaticData.Today)))</f>
        <v>4.25</v>
      </c>
      <c r="L13" s="26">
        <f>IF(G13="","",IF(StaticData.Today=TODAY(),_xll.BDP(G13,"LAST_PRICE"),_xll.BDH(G13,"LAST_PRICE",StaticData.Today,StaticData.Today)))</f>
        <v>4.1500000000000004</v>
      </c>
      <c r="M13" s="27">
        <f t="shared" si="2"/>
        <v>4.1500000000000002E-2</v>
      </c>
      <c r="O13" s="24" t="str">
        <f t="shared" si="6"/>
        <v>RRFR0BE TRSU Curncy</v>
      </c>
      <c r="P13" s="25" t="s">
        <v>514</v>
      </c>
      <c r="Q13" s="31" t="s">
        <v>495</v>
      </c>
      <c r="R13" s="182">
        <f>IF(O13="","",IF(StaticData.Today=TODAY(),_xll.BDP(O13,"BID"),_xll.BDH(O13,"BID",StaticData.Today,StaticData.Today)))</f>
        <v>4.66</v>
      </c>
      <c r="S13" s="182">
        <f>IF(O13="","",IF(StaticData.Today=TODAY(),_xll.BDP(O13,"ASK"),_xll.BDH(O13,"ASK",StaticData.Today,StaticData.Today)))</f>
        <v>4.76</v>
      </c>
      <c r="T13" s="30">
        <f>IF(O13="","",IF(StaticData.Today=TODAY(),_xll.BDP(O13,"LAST_PRICE"),_xll.BDH(O13,"LAST_PRICE",StaticData.Today,StaticData.Today)))</f>
        <v>4.71</v>
      </c>
      <c r="U13" s="338">
        <f t="shared" si="7"/>
        <v>4.7100000000000003E-2</v>
      </c>
      <c r="W13" s="24"/>
      <c r="X13" s="25" t="s">
        <v>342</v>
      </c>
      <c r="Y13" s="26" t="str">
        <f>IF(W13="","",IF(StaticData.Today=TODAY(),_xll.BDP(W13,"LAST_PRICE"),_xll.BDH(W13,"LAST_PRICE",StaticData.Today,StaticData.Today)))</f>
        <v/>
      </c>
      <c r="Z13" s="27">
        <v>1E-3</v>
      </c>
      <c r="AB13" s="24"/>
      <c r="AC13" s="25" t="s">
        <v>342</v>
      </c>
      <c r="AD13" s="26" t="str">
        <f>IF(AB13="","",IF(StaticData.Today=TODAY(),_xll.BDP(AB13,"LAST_PRICE"),_xll.BDH(AB13,"LAST_PRICE",StaticData.Today,StaticData.Today)))</f>
        <v/>
      </c>
      <c r="AE13" s="27"/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K13" s="208">
        <f>RUB_DATA!Z13</f>
        <v>1E-3</v>
      </c>
      <c r="AL13" s="14" t="str">
        <f>"RRBS7"&amp;$AL$2&amp;" Curncy"</f>
        <v>RRBS7 TRPU Curncy</v>
      </c>
      <c r="AM13" s="25" t="s">
        <v>342</v>
      </c>
      <c r="AN13" s="31"/>
      <c r="AO13" s="29">
        <f>IF(AL13="","",IF(StaticData.Today=TODAY(),_xll.BDP(AL13,"BID"),_xll.BDH(AL13,"BID",StaticData.Today,StaticData.Today)))</f>
        <v>-157</v>
      </c>
      <c r="AP13" s="29">
        <f>IF(AL13="","",IF(StaticData.Today=TODAY(),_xll.BDP(AL13,"ASK"),_xll.BDH(AL13,"ASK",StaticData.Today,StaticData.Today)))</f>
        <v>-147</v>
      </c>
      <c r="AQ13" s="177">
        <f>IF(AL13="","",IF(StaticData.Today=TODAY(),_xll.BDP(AL13,"LAST_PRICE"),_xll.BDH(AL13,"LAST_PRICE",StaticData.Today,StaticData.Today)))</f>
        <v>-152</v>
      </c>
      <c r="AR13" s="17">
        <f t="shared" si="3"/>
        <v>-1.52E-2</v>
      </c>
      <c r="AT13" s="24" t="str">
        <f t="shared" si="4"/>
        <v>RUB2M TRSU Curncy</v>
      </c>
      <c r="AU13" s="25" t="s">
        <v>335</v>
      </c>
      <c r="AV13" s="31"/>
      <c r="AW13" s="177">
        <f>IF(AT13="","",IF(StaticData.Today=TODAY(),_xll.BDP(AT13,"BID"),_xll.BDH(AT13,"BID",StaticData.Today,StaticData.Today)))</f>
        <v>4830</v>
      </c>
      <c r="AX13" s="177">
        <f>IF(AT13="","",IF(StaticData.Today=TODAY(),_xll.BDP(AT13,"ASK"),_xll.BDH(AT13,"ASK",StaticData.Today,StaticData.Today)))</f>
        <v>4910</v>
      </c>
      <c r="AY13" s="177">
        <f>IF(AT13="","",IF(StaticData.Today=TODAY(),_xll.BDP(AT13,"LAST_PRICE"),_xll.BDH(AT13,"LAST_PRICE",StaticData.Today,StaticData.Today)))</f>
        <v>4870</v>
      </c>
      <c r="AZ13" s="181">
        <f t="shared" ref="AZ13:AZ20" si="8">AY13</f>
        <v>4870</v>
      </c>
    </row>
    <row r="14" spans="1:52" x14ac:dyDescent="0.25">
      <c r="B14" s="21"/>
      <c r="C14" s="22"/>
      <c r="D14" s="22"/>
      <c r="E14" s="22"/>
      <c r="G14" s="24" t="str">
        <f t="shared" si="5"/>
        <v>RRSOI GFUN Curncy</v>
      </c>
      <c r="H14" s="25" t="s">
        <v>376</v>
      </c>
      <c r="I14" s="25" t="s">
        <v>525</v>
      </c>
      <c r="J14" s="187">
        <f>IF(G14="","",IF(StaticData.Today=TODAY(),_xll.BDP(G14,"BID"),_xll.BDH(G14,"BID",StaticData.Today,StaticData.Today)))</f>
        <v>4.16</v>
      </c>
      <c r="K14" s="187">
        <f>IF(G14="","",IF(StaticData.Today=TODAY(),_xll.BDP(G14,"ASK"),_xll.BDH(G14,"ASK",StaticData.Today,StaticData.Today)))</f>
        <v>4.3600000000000003</v>
      </c>
      <c r="L14" s="26">
        <f>IF(G14="","",IF(StaticData.Today=TODAY(),_xll.BDP(G14,"LAST_PRICE"),_xll.BDH(G14,"LAST_PRICE",StaticData.Today,StaticData.Today)))</f>
        <v>4.26</v>
      </c>
      <c r="M14" s="27">
        <f t="shared" si="2"/>
        <v>4.2599999999999999E-2</v>
      </c>
      <c r="O14" s="24" t="str">
        <f t="shared" si="6"/>
        <v>RRFR0CF TRSU Curncy</v>
      </c>
      <c r="P14" s="25" t="s">
        <v>515</v>
      </c>
      <c r="Q14" s="31" t="s">
        <v>496</v>
      </c>
      <c r="R14" s="182">
        <f>IF(O14="","",IF(StaticData.Today=TODAY(),_xll.BDP(O14,"BID"),_xll.BDH(O14,"BID",StaticData.Today,StaticData.Today)))</f>
        <v>4.63</v>
      </c>
      <c r="S14" s="182">
        <f>IF(O14="","",IF(StaticData.Today=TODAY(),_xll.BDP(O14,"ASK"),_xll.BDH(O14,"ASK",StaticData.Today,StaticData.Today)))</f>
        <v>4.7300000000000004</v>
      </c>
      <c r="T14" s="30">
        <f>IF(O14="","",IF(StaticData.Today=TODAY(),_xll.BDP(O14,"LAST_PRICE"),_xll.BDH(O14,"LAST_PRICE",StaticData.Today,StaticData.Today)))</f>
        <v>4.68</v>
      </c>
      <c r="U14" s="338">
        <f t="shared" si="7"/>
        <v>4.6799999999999994E-2</v>
      </c>
      <c r="W14" s="24"/>
      <c r="X14" s="25" t="s">
        <v>355</v>
      </c>
      <c r="Y14" s="26" t="str">
        <f>IF(W14="","",IF(StaticData.Today=TODAY(),_xll.BDP(W14,"LAST_PRICE"),_xll.BDH(W14,"LAST_PRICE",StaticData.Today,StaticData.Today)))</f>
        <v/>
      </c>
      <c r="Z14" s="27">
        <v>1E-3</v>
      </c>
      <c r="AB14" s="24"/>
      <c r="AC14" s="25" t="s">
        <v>355</v>
      </c>
      <c r="AD14" s="26" t="str">
        <f>IF(AB14="","",IF(StaticData.Today=TODAY(),_xll.BDP(AB14,"LAST_PRICE"),_xll.BDH(AB14,"LAST_PRICE",StaticData.Today,StaticData.Today)))</f>
        <v/>
      </c>
      <c r="AE14" s="27"/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K14" s="208">
        <f>RUB_DATA!Z14</f>
        <v>1E-3</v>
      </c>
      <c r="AL14" s="14" t="str">
        <f>"RRBS10"&amp;$AL$2&amp;" Curncy"</f>
        <v>RRBS10 TRPU Curncy</v>
      </c>
      <c r="AM14" s="25" t="s">
        <v>349</v>
      </c>
      <c r="AN14" s="31"/>
      <c r="AO14" s="29">
        <f>IF(AL14="","",IF(StaticData.Today=TODAY(),_xll.BDP(AL14,"BID"),_xll.BDH(AL14,"BID",StaticData.Today,StaticData.Today)))</f>
        <v>-191</v>
      </c>
      <c r="AP14" s="29">
        <f>IF(AL14="","",IF(StaticData.Today=TODAY(),_xll.BDP(AL14,"ASK"),_xll.BDH(AL14,"ASK",StaticData.Today,StaticData.Today)))</f>
        <v>-181</v>
      </c>
      <c r="AQ14" s="177">
        <f>IF(AL14="","",IF(StaticData.Today=TODAY(),_xll.BDP(AL14,"LAST_PRICE"),_xll.BDH(AL14,"LAST_PRICE",StaticData.Today,StaticData.Today)))</f>
        <v>-186</v>
      </c>
      <c r="AR14" s="17">
        <f t="shared" si="3"/>
        <v>-1.8599999999999998E-2</v>
      </c>
      <c r="AT14" s="24" t="str">
        <f t="shared" si="4"/>
        <v>RUB3M TRSU Curncy</v>
      </c>
      <c r="AU14" s="25" t="s">
        <v>49</v>
      </c>
      <c r="AV14" s="31"/>
      <c r="AW14" s="177">
        <f>IF(AT14="","",IF(StaticData.Today=TODAY(),_xll.BDP(AT14,"BID"),_xll.BDH(AT14,"BID",StaticData.Today,StaticData.Today)))</f>
        <v>7240</v>
      </c>
      <c r="AX14" s="177">
        <f>IF(AT14="","",IF(StaticData.Today=TODAY(),_xll.BDP(AT14,"ASK"),_xll.BDH(AT14,"ASK",StaticData.Today,StaticData.Today)))</f>
        <v>7340</v>
      </c>
      <c r="AY14" s="177">
        <f>IF(AT14="","",IF(StaticData.Today=TODAY(),_xll.BDP(AT14,"LAST_PRICE"),_xll.BDH(AT14,"LAST_PRICE",StaticData.Today,StaticData.Today)))</f>
        <v>7290</v>
      </c>
      <c r="AZ14" s="181">
        <f t="shared" si="8"/>
        <v>7290</v>
      </c>
    </row>
    <row r="15" spans="1:52" x14ac:dyDescent="0.25">
      <c r="B15" s="21"/>
      <c r="C15" s="22"/>
      <c r="D15" s="22"/>
      <c r="E15" s="22"/>
      <c r="G15" s="24" t="str">
        <f>"RRSO1"&amp;$G$1&amp;" Curncy"</f>
        <v>RRSO1 GFUN Curncy</v>
      </c>
      <c r="H15" s="25" t="s">
        <v>47</v>
      </c>
      <c r="I15" s="25"/>
      <c r="J15" s="187">
        <f>IF(G15="","",IF(StaticData.Today=TODAY(),_xll.BDP(G15,"BID"),_xll.BDH(G15,"BID",StaticData.Today,StaticData.Today)))</f>
        <v>4.2699999999999996</v>
      </c>
      <c r="K15" s="187">
        <f>IF(G15="","",IF(StaticData.Today=TODAY(),_xll.BDP(G15,"ASK"),_xll.BDH(G15,"ASK",StaticData.Today,StaticData.Today)))</f>
        <v>4.47</v>
      </c>
      <c r="L15" s="26">
        <f>IF(G15="","",IF(StaticData.Today=TODAY(),_xll.BDP(G15,"LAST_PRICE"),_xll.BDH(G15,"LAST_PRICE",StaticData.Today,StaticData.Today)))</f>
        <v>4.37</v>
      </c>
      <c r="M15" s="27">
        <f>L15/100</f>
        <v>4.3700000000000003E-2</v>
      </c>
      <c r="O15" s="24" t="str">
        <f t="shared" si="6"/>
        <v>RRFR0FI TRSU Curncy</v>
      </c>
      <c r="P15" s="25" t="s">
        <v>516</v>
      </c>
      <c r="Q15" s="31" t="s">
        <v>497</v>
      </c>
      <c r="R15" s="182">
        <f>IF(O15="","",IF(StaticData.Today=TODAY(),_xll.BDP(O15,"BID"),_xll.BDH(O15,"BID",StaticData.Today,StaticData.Today)))</f>
        <v>4.78</v>
      </c>
      <c r="S15" s="182">
        <f>IF(O15="","",IF(StaticData.Today=TODAY(),_xll.BDP(O15,"ASK"),_xll.BDH(O15,"ASK",StaticData.Today,StaticData.Today)))</f>
        <v>4.88</v>
      </c>
      <c r="T15" s="30">
        <f>IF(O15="","",IF(StaticData.Today=TODAY(),_xll.BDP(O15,"LAST_PRICE"),_xll.BDH(O15,"LAST_PRICE",StaticData.Today,StaticData.Today)))</f>
        <v>4.83</v>
      </c>
      <c r="U15" s="338">
        <f t="shared" si="7"/>
        <v>4.8300000000000003E-2</v>
      </c>
      <c r="W15" s="24"/>
      <c r="X15" s="25" t="s">
        <v>364</v>
      </c>
      <c r="Y15" s="26" t="str">
        <f>IF(W15="","",IF(StaticData.Today=TODAY(),_xll.BDP(W15,"LAST_PRICE"),_xll.BDH(W15,"LAST_PRICE",StaticData.Today,StaticData.Today)))</f>
        <v/>
      </c>
      <c r="Z15" s="27">
        <v>1E-3</v>
      </c>
      <c r="AB15" s="24"/>
      <c r="AC15" s="25" t="s">
        <v>364</v>
      </c>
      <c r="AD15" s="26" t="str">
        <f>IF(AB15="","",IF(StaticData.Today=TODAY(),_xll.BDP(AB15,"LAST_PRICE"),_xll.BDH(AB15,"LAST_PRICE",StaticData.Today,StaticData.Today)))</f>
        <v/>
      </c>
      <c r="AE15" s="27"/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K15" s="208">
        <f>RUB_DATA!Z15</f>
        <v>1E-3</v>
      </c>
      <c r="AL15" s="14" t="str">
        <f>"RRBS12"&amp;$AL$2&amp;" Curncy"</f>
        <v>RRBS12 TRPU Curncy</v>
      </c>
      <c r="AM15" s="25" t="s">
        <v>358</v>
      </c>
      <c r="AN15" s="31"/>
      <c r="AO15" s="29">
        <f>IF(AL15="","",IF(StaticData.Today=TODAY(),_xll.BDP(AL15,"BID"),_xll.BDH(AL15,"BID",StaticData.Today,StaticData.Today)))</f>
        <v>-206</v>
      </c>
      <c r="AP15" s="29">
        <f>IF(AL15="","",IF(StaticData.Today=TODAY(),_xll.BDP(AL15,"ASK"),_xll.BDH(AL15,"ASK",StaticData.Today,StaticData.Today)))</f>
        <v>-186</v>
      </c>
      <c r="AQ15" s="177">
        <f>IF(AL15="","",IF(StaticData.Today=TODAY(),_xll.BDP(AL15,"LAST_PRICE"),_xll.BDH(AL15,"LAST_PRICE",StaticData.Today,StaticData.Today)))</f>
        <v>-196</v>
      </c>
      <c r="AR15" s="17">
        <f t="shared" si="3"/>
        <v>-1.9599999999999999E-2</v>
      </c>
      <c r="AT15" s="24" t="str">
        <f t="shared" si="4"/>
        <v>RUB4M TRSU Curncy</v>
      </c>
      <c r="AU15" s="25" t="s">
        <v>351</v>
      </c>
      <c r="AV15" s="31"/>
      <c r="AW15" s="177" t="str">
        <f>IF(AT15="","",IF(StaticData.Today=TODAY(),_xll.BDP(AT15,"BID"),_xll.BDH(AT15,"BID",StaticData.Today,StaticData.Today)))</f>
        <v>#N/A N/A</v>
      </c>
      <c r="AX15" s="177" t="str">
        <f>IF(AT15="","",IF(StaticData.Today=TODAY(),_xll.BDP(AT15,"ASK"),_xll.BDH(AT15,"ASK",StaticData.Today,StaticData.Today)))</f>
        <v>#N/A N/A</v>
      </c>
      <c r="AY15" s="177" t="str">
        <f>IF(AT15="","",IF(StaticData.Today=TODAY(),_xll.BDP(AT15,"LAST_PRICE"),_xll.BDH(AT15,"LAST_PRICE",StaticData.Today,StaticData.Today)))</f>
        <v>#N/A N/A</v>
      </c>
      <c r="AZ15" s="181" t="str">
        <f t="shared" ref="AZ15:AZ16" si="9">AY15</f>
        <v>#N/A N/A</v>
      </c>
    </row>
    <row r="16" spans="1:52" x14ac:dyDescent="0.25">
      <c r="B16" s="21"/>
      <c r="C16" s="22"/>
      <c r="D16" s="22"/>
      <c r="E16" s="22"/>
      <c r="G16" s="24" t="str">
        <f>"RRSO2"&amp;$G$1&amp;" Curncy"</f>
        <v>RRSO2 GFUN Curncy</v>
      </c>
      <c r="H16" s="25" t="s">
        <v>308</v>
      </c>
      <c r="I16" s="25"/>
      <c r="J16" s="187">
        <f>IF(G16="","",IF(StaticData.Today=TODAY(),_xll.BDP(G16,"BID"),_xll.BDH(G16,"BID",StaticData.Today,StaticData.Today)))</f>
        <v>4.49</v>
      </c>
      <c r="K16" s="187">
        <f>IF(G16="","",IF(StaticData.Today=TODAY(),_xll.BDP(G16,"ASK"),_xll.BDH(G16,"ASK",StaticData.Today,StaticData.Today)))</f>
        <v>4.6900000000000004</v>
      </c>
      <c r="L16" s="26">
        <f>IF(G16="","",IF(StaticData.Today=TODAY(),_xll.BDP(G16,"LAST_PRICE"),_xll.BDH(G16,"LAST_PRICE",StaticData.Today,StaticData.Today)))</f>
        <v>4.59</v>
      </c>
      <c r="M16" s="27">
        <f>(M15+M17)/2</f>
        <v>4.5899999999999996E-2</v>
      </c>
      <c r="O16" s="24" t="str">
        <f t="shared" si="6"/>
        <v>RRFR0I1 TRSU Curncy</v>
      </c>
      <c r="P16" s="25" t="s">
        <v>517</v>
      </c>
      <c r="Q16" s="31" t="s">
        <v>498</v>
      </c>
      <c r="R16" s="182">
        <f>IF(O16="","",IF(StaticData.Today=TODAY(),_xll.BDP(O16,"BID"),_xll.BDH(O16,"BID",StaticData.Today,StaticData.Today)))</f>
        <v>4.83</v>
      </c>
      <c r="S16" s="182">
        <f>IF(O16="","",IF(StaticData.Today=TODAY(),_xll.BDP(O16,"ASK"),_xll.BDH(O16,"ASK",StaticData.Today,StaticData.Today)))</f>
        <v>4.93</v>
      </c>
      <c r="T16" s="30">
        <f>IF(O16="","",IF(StaticData.Today=TODAY(),_xll.BDP(O16,"LAST_PRICE"),_xll.BDH(O16,"LAST_PRICE",StaticData.Today,StaticData.Today)))</f>
        <v>4.88</v>
      </c>
      <c r="U16" s="338">
        <f t="shared" si="7"/>
        <v>4.8799999999999996E-2</v>
      </c>
      <c r="W16" s="24"/>
      <c r="X16" s="25" t="s">
        <v>349</v>
      </c>
      <c r="Y16" s="26" t="str">
        <f>IF(W16="","",IF(StaticData.Today=TODAY(),_xll.BDP(W16,"LAST_PRICE"),_xll.BDH(W16,"LAST_PRICE",StaticData.Today,StaticData.Today)))</f>
        <v/>
      </c>
      <c r="Z16" s="27">
        <v>1E-3</v>
      </c>
      <c r="AB16" s="24"/>
      <c r="AC16" s="25" t="s">
        <v>349</v>
      </c>
      <c r="AD16" s="26" t="str">
        <f>IF(AB16="","",IF(StaticData.Today=TODAY(),_xll.BDP(AB16,"LAST_PRICE"),_xll.BDH(AB16,"LAST_PRICE",StaticData.Today,StaticData.Today)))</f>
        <v/>
      </c>
      <c r="AE16" s="27"/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K16" s="208">
        <f>RUB_DATA!Z16</f>
        <v>1E-3</v>
      </c>
      <c r="AL16" s="14" t="str">
        <f>"RRBS15"&amp;$AL$2&amp;" Curncy"</f>
        <v>RRBS15 TRPU Curncy</v>
      </c>
      <c r="AM16" s="25" t="s">
        <v>367</v>
      </c>
      <c r="AN16" s="31"/>
      <c r="AO16" s="29">
        <f>IF(AL16="","",IF(StaticData.Today=TODAY(),_xll.BDP(AL16,"BID"),_xll.BDH(AL16,"BID",StaticData.Today,StaticData.Today)))</f>
        <v>-209</v>
      </c>
      <c r="AP16" s="29">
        <f>IF(AL16="","",IF(StaticData.Today=TODAY(),_xll.BDP(AL16,"ASK"),_xll.BDH(AL16,"ASK",StaticData.Today,StaticData.Today)))</f>
        <v>-189</v>
      </c>
      <c r="AQ16" s="177">
        <f>IF(AL16="","",IF(StaticData.Today=TODAY(),_xll.BDP(AL16,"LAST_PRICE"),_xll.BDH(AL16,"LAST_PRICE",StaticData.Today,StaticData.Today)))</f>
        <v>-199</v>
      </c>
      <c r="AR16" s="17">
        <f t="shared" si="3"/>
        <v>-1.9900000000000001E-2</v>
      </c>
      <c r="AT16" s="24" t="str">
        <f t="shared" si="4"/>
        <v>RUB5M TRSU Curncy</v>
      </c>
      <c r="AU16" s="25" t="s">
        <v>360</v>
      </c>
      <c r="AV16" s="31"/>
      <c r="AW16" s="177" t="str">
        <f>IF(AT16="","",IF(StaticData.Today=TODAY(),_xll.BDP(AT16,"BID"),_xll.BDH(AT16,"BID",StaticData.Today,StaticData.Today)))</f>
        <v>#N/A N/A</v>
      </c>
      <c r="AX16" s="177" t="str">
        <f>IF(AT16="","",IF(StaticData.Today=TODAY(),_xll.BDP(AT16,"ASK"),_xll.BDH(AT16,"ASK",StaticData.Today,StaticData.Today)))</f>
        <v>#N/A N/A</v>
      </c>
      <c r="AY16" s="177" t="str">
        <f>IF(AT16="","",IF(StaticData.Today=TODAY(),_xll.BDP(AT16,"LAST_PRICE"),_xll.BDH(AT16,"LAST_PRICE",StaticData.Today,StaticData.Today)))</f>
        <v>#N/A N/A</v>
      </c>
      <c r="AZ16" s="181" t="str">
        <f t="shared" si="9"/>
        <v>#N/A N/A</v>
      </c>
    </row>
    <row r="17" spans="2:52" x14ac:dyDescent="0.25">
      <c r="B17" s="34"/>
      <c r="C17" s="35"/>
      <c r="D17" s="35"/>
      <c r="E17" s="35"/>
      <c r="G17" s="24" t="str">
        <f>"RRSO3"&amp;$G$1&amp;" Curncy"</f>
        <v>RRSO3 GFUN Curncy</v>
      </c>
      <c r="H17" s="25" t="s">
        <v>316</v>
      </c>
      <c r="I17" s="25"/>
      <c r="J17" s="187">
        <f>IF(G17="","",IF(StaticData.Today=TODAY(),_xll.BDP(G17,"BID"),_xll.BDH(G17,"BID",StaticData.Today,StaticData.Today)))</f>
        <v>4.71</v>
      </c>
      <c r="K17" s="187">
        <f>IF(G17="","",IF(StaticData.Today=TODAY(),_xll.BDP(G17,"ASK"),_xll.BDH(G17,"ASK",StaticData.Today,StaticData.Today)))</f>
        <v>4.91</v>
      </c>
      <c r="L17" s="26">
        <f>IF(G17="","",IF(StaticData.Today=TODAY(),_xll.BDP(G17,"LAST_PRICE"),_xll.BDH(G17,"LAST_PRICE",StaticData.Today,StaticData.Today)))</f>
        <v>4.8099999999999996</v>
      </c>
      <c r="M17" s="27">
        <f>L17/100</f>
        <v>4.8099999999999997E-2</v>
      </c>
      <c r="O17" s="24" t="str">
        <f t="shared" si="6"/>
        <v>RRFR1C1F TRSU Curncy</v>
      </c>
      <c r="P17" s="25" t="s">
        <v>518</v>
      </c>
      <c r="Q17" s="31" t="s">
        <v>499</v>
      </c>
      <c r="R17" s="182">
        <f>IF(O17="","",IF(StaticData.Today=TODAY(),_xll.BDP(O17,"BID"),_xll.BDH(O17,"BID",StaticData.Today,StaticData.Today)))</f>
        <v>4.66</v>
      </c>
      <c r="S17" s="182">
        <f>IF(O17="","",IF(StaticData.Today=TODAY(),_xll.BDP(O17,"ASK"),_xll.BDH(O17,"ASK",StaticData.Today,StaticData.Today)))</f>
        <v>4.76</v>
      </c>
      <c r="T17" s="30">
        <f>IF(O17="","",IF(StaticData.Today=TODAY(),_xll.BDP(O17,"LAST_PRICE"),_xll.BDH(O17,"LAST_PRICE",StaticData.Today,StaticData.Today)))</f>
        <v>4.71</v>
      </c>
      <c r="U17" s="338">
        <f t="shared" si="7"/>
        <v>4.7100000000000003E-2</v>
      </c>
      <c r="W17" s="24"/>
      <c r="X17" s="25" t="s">
        <v>358</v>
      </c>
      <c r="Y17" s="26" t="str">
        <f>IF(W17="","",IF(StaticData.Today=TODAY(),_xll.BDP(W17,"LAST_PRICE"),_xll.BDH(W17,"LAST_PRICE",StaticData.Today,StaticData.Today)))</f>
        <v/>
      </c>
      <c r="Z17" s="27">
        <v>1E-3</v>
      </c>
      <c r="AB17" s="24"/>
      <c r="AC17" s="25" t="s">
        <v>358</v>
      </c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K17" s="208">
        <f>RUB_DATA!Z17</f>
        <v>1E-3</v>
      </c>
      <c r="AL17" s="14" t="str">
        <f>"RRBS20"&amp;$AL$2&amp;" Curncy"</f>
        <v>RRBS20 TRPU Curncy</v>
      </c>
      <c r="AM17" s="25" t="s">
        <v>374</v>
      </c>
      <c r="AN17" s="31"/>
      <c r="AO17" s="29">
        <f>IF(AL17="","",IF(StaticData.Today=TODAY(),_xll.BDP(AL17,"BID"),_xll.BDH(AL17,"BID",StaticData.Today,StaticData.Today)))</f>
        <v>-209</v>
      </c>
      <c r="AP17" s="29">
        <f>IF(AL17="","",IF(StaticData.Today=TODAY(),_xll.BDP(AL17,"ASK"),_xll.BDH(AL17,"ASK",StaticData.Today,StaticData.Today)))</f>
        <v>-189</v>
      </c>
      <c r="AQ17" s="177">
        <f>IF(AL17="","",IF(StaticData.Today=TODAY(),_xll.BDP(AL17,"LAST_PRICE"),_xll.BDH(AL17,"LAST_PRICE",StaticData.Today,StaticData.Today)))</f>
        <v>-199</v>
      </c>
      <c r="AR17" s="17">
        <f t="shared" si="3"/>
        <v>-1.9900000000000001E-2</v>
      </c>
      <c r="AT17" s="24" t="str">
        <f t="shared" si="4"/>
        <v>RUB6M TRSU Curncy</v>
      </c>
      <c r="AU17" s="25" t="s">
        <v>46</v>
      </c>
      <c r="AV17" s="31"/>
      <c r="AW17" s="177">
        <f>IF(AT17="","",IF(StaticData.Today=TODAY(),_xll.BDP(AT17,"BID"),_xll.BDH(AT17,"BID",StaticData.Today,StaticData.Today)))</f>
        <v>14470</v>
      </c>
      <c r="AX17" s="177">
        <f>IF(AT17="","",IF(StaticData.Today=TODAY(),_xll.BDP(AT17,"ASK"),_xll.BDH(AT17,"ASK",StaticData.Today,StaticData.Today)))</f>
        <v>14670</v>
      </c>
      <c r="AY17" s="177">
        <f>IF(AT17="","",IF(StaticData.Today=TODAY(),_xll.BDP(AT17,"LAST_PRICE"),_xll.BDH(AT17,"LAST_PRICE",StaticData.Today,StaticData.Today)))</f>
        <v>14570</v>
      </c>
      <c r="AZ17" s="181">
        <f t="shared" si="8"/>
        <v>14570</v>
      </c>
    </row>
    <row r="18" spans="2:52" x14ac:dyDescent="0.25">
      <c r="B18" s="36"/>
      <c r="C18" s="36"/>
      <c r="D18" s="36"/>
      <c r="E18" s="36"/>
      <c r="G18" s="24"/>
      <c r="H18" s="25"/>
      <c r="I18" s="25"/>
      <c r="J18" s="25"/>
      <c r="K18" s="25"/>
      <c r="L18" s="26"/>
      <c r="M18" s="27"/>
      <c r="O18" s="24" t="str">
        <f>"RRSWM1"&amp;$O$2&amp;" Curncy"</f>
        <v>RRSWM1 TRPU Curncy</v>
      </c>
      <c r="P18" s="25" t="s">
        <v>47</v>
      </c>
      <c r="Q18" s="31"/>
      <c r="R18" s="182">
        <f>IF(O18="","",IF(StaticData.Today=TODAY(),_xll.BDP(O18,"BID"),_xll.BDH(O18,"BID",StaticData.Today,StaticData.Today)))</f>
        <v>4.79</v>
      </c>
      <c r="S18" s="182">
        <f>IF(O18="","",IF(StaticData.Today=TODAY(),_xll.BDP(O18,"ASK"),_xll.BDH(O18,"ASK",StaticData.Today,StaticData.Today)))</f>
        <v>4.8899999999999997</v>
      </c>
      <c r="T18" s="30">
        <f>IF(O18="","",IF(StaticData.Today=TODAY(),_xll.BDP(O18,"LAST_PRICE"),_xll.BDH(O18,"LAST_PRICE",StaticData.Today,StaticData.Today)))</f>
        <v>4.84</v>
      </c>
      <c r="U18" s="338">
        <f t="shared" si="7"/>
        <v>4.8399999999999999E-2</v>
      </c>
      <c r="W18" s="24"/>
      <c r="X18" s="25" t="s">
        <v>367</v>
      </c>
      <c r="Y18" s="26" t="str">
        <f>IF(W18="","",IF(StaticData.Today=TODAY(),_xll.BDP(W18,"LAST_PRICE"),_xll.BDH(W18,"LAST_PRICE",StaticData.Today,StaticData.Today)))</f>
        <v/>
      </c>
      <c r="Z18" s="27">
        <v>1E-3</v>
      </c>
      <c r="AB18" s="24"/>
      <c r="AC18" s="25" t="s">
        <v>367</v>
      </c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K18" s="208">
        <f>RUB_DATA!Z18</f>
        <v>1E-3</v>
      </c>
      <c r="AL18" s="24"/>
      <c r="AM18" s="25"/>
      <c r="AN18" s="31"/>
      <c r="AO18" s="32"/>
      <c r="AP18" s="32"/>
      <c r="AQ18" s="30"/>
      <c r="AR18" s="33"/>
      <c r="AT18" s="24" t="str">
        <f t="shared" si="4"/>
        <v>RUB9M TRSU Curncy</v>
      </c>
      <c r="AU18" s="25" t="s">
        <v>376</v>
      </c>
      <c r="AV18" s="31"/>
      <c r="AW18" s="177">
        <f>IF(AT18="","",IF(StaticData.Today=TODAY(),_xll.BDP(AT18,"BID"),_xll.BDH(AT18,"BID",StaticData.Today,StaticData.Today)))</f>
        <v>22440</v>
      </c>
      <c r="AX18" s="177">
        <f>IF(AT18="","",IF(StaticData.Today=TODAY(),_xll.BDP(AT18,"ASK"),_xll.BDH(AT18,"ASK",StaticData.Today,StaticData.Today)))</f>
        <v>22640</v>
      </c>
      <c r="AY18" s="177">
        <f>IF(AT18="","",IF(StaticData.Today=TODAY(),_xll.BDP(AT18,"LAST_PRICE"),_xll.BDH(AT18,"LAST_PRICE",StaticData.Today,StaticData.Today)))</f>
        <v>22540</v>
      </c>
      <c r="AZ18" s="181">
        <f t="shared" si="8"/>
        <v>22540</v>
      </c>
    </row>
    <row r="19" spans="2:52" x14ac:dyDescent="0.25">
      <c r="B19" s="36"/>
      <c r="C19" s="36"/>
      <c r="D19" s="36"/>
      <c r="E19" s="36"/>
      <c r="G19" s="38"/>
      <c r="H19" s="39"/>
      <c r="I19" s="39"/>
      <c r="J19" s="39"/>
      <c r="K19" s="39"/>
      <c r="L19" s="40"/>
      <c r="M19" s="41"/>
      <c r="O19" s="24" t="str">
        <f>"RRSWM2"&amp;$O$2&amp;" Curncy"</f>
        <v>RRSWM2 TRPU Curncy</v>
      </c>
      <c r="P19" s="25" t="s">
        <v>308</v>
      </c>
      <c r="Q19" s="28"/>
      <c r="R19" s="29">
        <f>IF(O19="","",IF(StaticData.Today=TODAY(),_xll.BDP(O19,"BID"),_xll.BDH(O19,"BID",StaticData.Today,StaticData.Today)))</f>
        <v>4.9800000000000004</v>
      </c>
      <c r="S19" s="29">
        <f>IF(O19="","",IF(StaticData.Today=TODAY(),_xll.BDP(O19,"ASK"),_xll.BDH(O19,"ASK",StaticData.Today,StaticData.Today)))</f>
        <v>5.08</v>
      </c>
      <c r="T19" s="30">
        <f>IF(O19="","",IF(StaticData.Today=TODAY(),_xll.BDP(O19,"LAST_PRICE"),_xll.BDH(O19,"LAST_PRICE",StaticData.Today,StaticData.Today)))</f>
        <v>5.03</v>
      </c>
      <c r="U19" s="338">
        <f t="shared" ref="U19:U30" si="10">T19/100</f>
        <v>5.0300000000000004E-2</v>
      </c>
      <c r="W19" s="24"/>
      <c r="X19" s="25" t="s">
        <v>374</v>
      </c>
      <c r="Y19" s="26" t="str">
        <f>IF(W19="","",IF(StaticData.Today=TODAY(),_xll.BDP(W19,"LAST_PRICE"),_xll.BDH(W19,"LAST_PRICE",StaticData.Today,StaticData.Today)))</f>
        <v/>
      </c>
      <c r="Z19" s="27">
        <v>1E-3</v>
      </c>
      <c r="AB19" s="24"/>
      <c r="AC19" s="25" t="s">
        <v>374</v>
      </c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K19" s="208">
        <f>RUB_DATA!Z19</f>
        <v>1E-3</v>
      </c>
      <c r="AL19" s="24"/>
      <c r="AM19" s="25"/>
      <c r="AN19" s="28"/>
      <c r="AO19" s="29"/>
      <c r="AP19" s="29"/>
      <c r="AQ19" s="30"/>
      <c r="AR19" s="27"/>
      <c r="AT19" s="24" t="str">
        <f t="shared" si="4"/>
        <v>RUB12M TRSU Curncy</v>
      </c>
      <c r="AU19" s="25" t="s">
        <v>322</v>
      </c>
      <c r="AV19" s="31"/>
      <c r="AW19" s="177">
        <f>IF(AT19="","",IF(StaticData.Today=TODAY(),_xll.BDP(AT19,"BID"),_xll.BDH(AT19,"BID",StaticData.Today,StaticData.Today)))</f>
        <v>30460</v>
      </c>
      <c r="AX19" s="177">
        <f>IF(AT19="","",IF(StaticData.Today=TODAY(),_xll.BDP(AT19,"ASK"),_xll.BDH(AT19,"ASK",StaticData.Today,StaticData.Today)))</f>
        <v>30760</v>
      </c>
      <c r="AY19" s="177">
        <f>IF(AT19="","",IF(StaticData.Today=TODAY(),_xll.BDP(AT19,"LAST_PRICE"),_xll.BDH(AT19,"LAST_PRICE",StaticData.Today,StaticData.Today)))</f>
        <v>30610</v>
      </c>
      <c r="AZ19" s="181">
        <f t="shared" si="8"/>
        <v>30610</v>
      </c>
    </row>
    <row r="20" spans="2:52" x14ac:dyDescent="0.25">
      <c r="B20" s="36"/>
      <c r="C20" s="36"/>
      <c r="D20" s="36"/>
      <c r="E20" s="36"/>
      <c r="O20" s="24" t="str">
        <f>"RRSWM3"&amp;$O$2&amp;" Curncy"</f>
        <v>RRSWM3 TRPU Curncy</v>
      </c>
      <c r="P20" s="25" t="s">
        <v>316</v>
      </c>
      <c r="Q20" s="28"/>
      <c r="R20" s="29">
        <f>IF(O20="","",IF(StaticData.Today=TODAY(),_xll.BDP(O20,"BID"),_xll.BDH(O20,"BID",StaticData.Today,StaticData.Today)))</f>
        <v>5.18</v>
      </c>
      <c r="S20" s="29">
        <f>IF(O20="","",IF(StaticData.Today=TODAY(),_xll.BDP(O20,"ASK"),_xll.BDH(O20,"ASK",StaticData.Today,StaticData.Today)))</f>
        <v>5.28</v>
      </c>
      <c r="T20" s="30">
        <f>IF(O20="","",IF(StaticData.Today=TODAY(),_xll.BDP(O20,"LAST_PRICE"),_xll.BDH(O20,"LAST_PRICE",StaticData.Today,StaticData.Today)))</f>
        <v>5.23</v>
      </c>
      <c r="U20" s="338">
        <f t="shared" si="10"/>
        <v>5.2300000000000006E-2</v>
      </c>
      <c r="W20" s="24"/>
      <c r="X20" s="25" t="s">
        <v>382</v>
      </c>
      <c r="Y20" s="26" t="str">
        <f>IF(W20="","",IF(StaticData.Today=TODAY(),_xll.BDP(W20,"LAST_PRICE"),_xll.BDH(W20,"LAST_PRICE",StaticData.Today,StaticData.Today)))</f>
        <v/>
      </c>
      <c r="Z20" s="27">
        <v>1E-3</v>
      </c>
      <c r="AB20" s="24"/>
      <c r="AC20" s="25" t="s">
        <v>382</v>
      </c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K20" s="208">
        <f>RUB_DATA!Z20</f>
        <v>1E-3</v>
      </c>
      <c r="AL20" s="24"/>
      <c r="AM20" s="25"/>
      <c r="AN20" s="28"/>
      <c r="AO20" s="29"/>
      <c r="AP20" s="29"/>
      <c r="AQ20" s="30"/>
      <c r="AR20" s="27"/>
      <c r="AT20" s="24" t="str">
        <f>"RUB"&amp;AU20&amp;" TRSU"&amp;" Curncy"</f>
        <v>RUB18M TRSU Curncy</v>
      </c>
      <c r="AU20" s="25" t="s">
        <v>501</v>
      </c>
      <c r="AV20" s="31"/>
      <c r="AW20" s="177">
        <f>IF(AT20="","",IF(StaticData.Today=TODAY(),_xll.BDP(AT20,"BID"),_xll.BDH(AT20,"BID",StaticData.Today,StaticData.Today)))</f>
        <v>46010</v>
      </c>
      <c r="AX20" s="177">
        <f>IF(AT20="","",IF(StaticData.Today=TODAY(),_xll.BDP(AT20,"ASK"),_xll.BDH(AT20,"ASK",StaticData.Today,StaticData.Today)))</f>
        <v>47010</v>
      </c>
      <c r="AY20" s="177">
        <f>IF(AT20="","",IF(StaticData.Today=TODAY(),_xll.BDP(AT20,"LAST_PRICE"),_xll.BDH(AT20,"LAST_PRICE",StaticData.Today,StaticData.Today)))</f>
        <v>46510</v>
      </c>
      <c r="AZ20" s="181">
        <f t="shared" si="8"/>
        <v>46510</v>
      </c>
    </row>
    <row r="21" spans="2:52" x14ac:dyDescent="0.25">
      <c r="B21" s="36"/>
      <c r="C21" s="36"/>
      <c r="D21" s="36"/>
      <c r="E21" s="36"/>
      <c r="O21" s="24" t="str">
        <f>"RRSWM4"&amp;$O$2&amp;" Curncy"</f>
        <v>RRSWM4 TRPU Curncy</v>
      </c>
      <c r="P21" s="25" t="s">
        <v>324</v>
      </c>
      <c r="Q21" s="28"/>
      <c r="R21" s="29">
        <f>IF(O21="","",IF(StaticData.Today=TODAY(),_xll.BDP(O21,"BID"),_xll.BDH(O21,"BID",StaticData.Today,StaticData.Today)))</f>
        <v>5.38</v>
      </c>
      <c r="S21" s="29">
        <f>IF(O21="","",IF(StaticData.Today=TODAY(),_xll.BDP(O21,"ASK"),_xll.BDH(O21,"ASK",StaticData.Today,StaticData.Today)))</f>
        <v>5.48</v>
      </c>
      <c r="T21" s="30">
        <f>IF(O21="","",IF(StaticData.Today=TODAY(),_xll.BDP(O21,"LAST_PRICE"),_xll.BDH(O21,"LAST_PRICE",StaticData.Today,StaticData.Today)))</f>
        <v>5.43</v>
      </c>
      <c r="U21" s="338">
        <f t="shared" si="10"/>
        <v>5.4299999999999994E-2</v>
      </c>
      <c r="W21" s="24"/>
      <c r="X21" s="25" t="s">
        <v>389</v>
      </c>
      <c r="Y21" s="26" t="str">
        <f>IF(W21="","",IF(StaticData.Today=TODAY(),_xll.BDP(W21,"LAST_PRICE"),_xll.BDH(W21,"LAST_PRICE",StaticData.Today,StaticData.Today)))</f>
        <v/>
      </c>
      <c r="Z21" s="27">
        <v>1E-3</v>
      </c>
      <c r="AB21" s="24"/>
      <c r="AC21" s="25" t="s">
        <v>389</v>
      </c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K21" s="208">
        <f>RUB_DATA!Z21</f>
        <v>1E-3</v>
      </c>
      <c r="AL21" s="24"/>
      <c r="AM21" s="25"/>
      <c r="AN21" s="28"/>
      <c r="AO21" s="29"/>
      <c r="AP21" s="29"/>
      <c r="AQ21" s="30"/>
      <c r="AR21" s="27"/>
      <c r="AT21" s="24" t="str">
        <f t="shared" si="4"/>
        <v>RUB2Y TRSU Curncy</v>
      </c>
      <c r="AU21" s="25" t="s">
        <v>308</v>
      </c>
      <c r="AV21" s="31"/>
      <c r="AW21" s="177">
        <f>IF(AT21="","",IF(StaticData.Today=TODAY(),_xll.BDP(AT21,"BID"),_xll.BDH(AT21,"BID",StaticData.Today,StaticData.Today)))</f>
        <v>62900</v>
      </c>
      <c r="AX21" s="177">
        <f>IF(AT21="","",IF(StaticData.Today=TODAY(),_xll.BDP(AT21,"ASK"),_xll.BDH(AT21,"ASK",StaticData.Today,StaticData.Today)))</f>
        <v>64300</v>
      </c>
      <c r="AY21" s="177">
        <f>IF(AT21="","",IF(StaticData.Today=TODAY(),_xll.BDP(AT21,"LAST_PRICE"),_xll.BDH(AT21,"LAST_PRICE",StaticData.Today,StaticData.Today)))</f>
        <v>63600</v>
      </c>
      <c r="AZ21" s="181">
        <f t="shared" ref="AZ21:AZ24" si="11">AY21</f>
        <v>63600</v>
      </c>
    </row>
    <row r="22" spans="2:52" x14ac:dyDescent="0.25">
      <c r="B22" s="36"/>
      <c r="C22" s="36"/>
      <c r="D22" s="36"/>
      <c r="E22" s="36"/>
      <c r="O22" s="24" t="str">
        <f>"RRSWM5"&amp;$O$2&amp;" Curncy"</f>
        <v>RRSWM5 TRPU Curncy</v>
      </c>
      <c r="P22" s="25" t="s">
        <v>331</v>
      </c>
      <c r="Q22" s="28"/>
      <c r="R22" s="29">
        <f>IF(O22="","",IF(StaticData.Today=TODAY(),_xll.BDP(O22,"BID"),_xll.BDH(O22,"BID",StaticData.Today,StaticData.Today)))</f>
        <v>5.55</v>
      </c>
      <c r="S22" s="29">
        <f>IF(O22="","",IF(StaticData.Today=TODAY(),_xll.BDP(O22,"ASK"),_xll.BDH(O22,"ASK",StaticData.Today,StaticData.Today)))</f>
        <v>5.65</v>
      </c>
      <c r="T22" s="30">
        <f>IF(O22="","",IF(StaticData.Today=TODAY(),_xll.BDP(O22,"LAST_PRICE"),_xll.BDH(O22,"LAST_PRICE",StaticData.Today,StaticData.Today)))</f>
        <v>5.6</v>
      </c>
      <c r="U22" s="338">
        <f t="shared" si="10"/>
        <v>5.5999999999999994E-2</v>
      </c>
      <c r="W22" s="24"/>
      <c r="X22" s="25"/>
      <c r="Y22" s="26" t="str">
        <f>IF(W22="","",IF(StaticData.Today=TODAY(),_xll.BDP(W22,"LAST_PRICE"),_xll.BDH(W22,"LAST_PRICE",StaticData.Today,StaticData.Today)))</f>
        <v/>
      </c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K22" s="208">
        <f>RUB_DATA!Z22</f>
        <v>0</v>
      </c>
      <c r="AL22" s="24"/>
      <c r="AM22" s="25"/>
      <c r="AN22" s="28"/>
      <c r="AO22" s="29"/>
      <c r="AP22" s="29"/>
      <c r="AQ22" s="30"/>
      <c r="AR22" s="27"/>
      <c r="AT22" s="24" t="str">
        <f t="shared" si="4"/>
        <v>RUB3Y TRSU Curncy</v>
      </c>
      <c r="AU22" s="25" t="s">
        <v>316</v>
      </c>
      <c r="AV22" s="31"/>
      <c r="AW22" s="177">
        <f>IF(AT22="","",IF(StaticData.Today=TODAY(),_xll.BDP(AT22,"BID"),_xll.BDH(AT22,"BID",StaticData.Today,StaticData.Today)))</f>
        <v>95940</v>
      </c>
      <c r="AX22" s="177">
        <f>IF(AT22="","",IF(StaticData.Today=TODAY(),_xll.BDP(AT22,"ASK"),_xll.BDH(AT22,"ASK",StaticData.Today,StaticData.Today)))</f>
        <v>98140</v>
      </c>
      <c r="AY22" s="177">
        <f>IF(AT22="","",IF(StaticData.Today=TODAY(),_xll.BDP(AT22,"LAST_PRICE"),_xll.BDH(AT22,"LAST_PRICE",StaticData.Today,StaticData.Today)))</f>
        <v>97040</v>
      </c>
      <c r="AZ22" s="181">
        <f t="shared" si="11"/>
        <v>97040</v>
      </c>
    </row>
    <row r="23" spans="2:52" x14ac:dyDescent="0.25">
      <c r="B23" s="36"/>
      <c r="C23" s="36"/>
      <c r="D23" s="36"/>
      <c r="E23" s="36"/>
      <c r="O23" s="24" t="str">
        <f>"RRSWM6"&amp;$O$2&amp;" Curncy"</f>
        <v>RRSWM6 TRPU Curncy</v>
      </c>
      <c r="P23" s="25" t="s">
        <v>339</v>
      </c>
      <c r="Q23" s="28"/>
      <c r="R23" s="29">
        <f>IF(O23="","",IF(StaticData.Today=TODAY(),_xll.BDP(O23,"BID"),_xll.BDH(O23,"BID",StaticData.Today,StaticData.Today)))</f>
        <v>5.72</v>
      </c>
      <c r="S23" s="29">
        <f>IF(O23="","",IF(StaticData.Today=TODAY(),_xll.BDP(O23,"ASK"),_xll.BDH(O23,"ASK",StaticData.Today,StaticData.Today)))</f>
        <v>5.82</v>
      </c>
      <c r="T23" s="30">
        <f>IF(O23="","",IF(StaticData.Today=TODAY(),_xll.BDP(O23,"LAST_PRICE"),_xll.BDH(O23,"LAST_PRICE",StaticData.Today,StaticData.Today)))</f>
        <v>5.77</v>
      </c>
      <c r="U23" s="338">
        <f t="shared" si="10"/>
        <v>5.7699999999999994E-2</v>
      </c>
      <c r="W23" s="24"/>
      <c r="X23" s="25"/>
      <c r="Y23" s="26" t="str">
        <f>IF(W23="","",IF(StaticData.Today=TODAY(),_xll.BDP(W23,"LAST_PRICE"),_xll.BDH(W23,"LAST_PRICE",StaticData.Today,StaticData.Today)))</f>
        <v/>
      </c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K23" s="208">
        <f>RUB_DATA!Z23</f>
        <v>0</v>
      </c>
      <c r="AL23" s="24"/>
      <c r="AM23" s="25"/>
      <c r="AN23" s="28"/>
      <c r="AO23" s="29"/>
      <c r="AP23" s="29"/>
      <c r="AQ23" s="30"/>
      <c r="AR23" s="27"/>
      <c r="AT23" s="24" t="str">
        <f t="shared" si="4"/>
        <v>RUB4Y TRSU Curncy</v>
      </c>
      <c r="AU23" s="25" t="s">
        <v>324</v>
      </c>
      <c r="AV23" s="31"/>
      <c r="AW23" s="177">
        <f>IF(AT23="","",IF(StaticData.Today=TODAY(),_xll.BDP(AT23,"BID"),_xll.BDH(AT23,"BID",StaticData.Today,StaticData.Today)))</f>
        <v>129220</v>
      </c>
      <c r="AX23" s="177">
        <f>IF(AT23="","",IF(StaticData.Today=TODAY(),_xll.BDP(AT23,"ASK"),_xll.BDH(AT23,"ASK",StaticData.Today,StaticData.Today)))</f>
        <v>132620</v>
      </c>
      <c r="AY23" s="177">
        <f>IF(AT23="","",IF(StaticData.Today=TODAY(),_xll.BDP(AT23,"LAST_PRICE"),_xll.BDH(AT23,"LAST_PRICE",StaticData.Today,StaticData.Today)))</f>
        <v>130920</v>
      </c>
      <c r="AZ23" s="181">
        <f t="shared" si="11"/>
        <v>130920</v>
      </c>
    </row>
    <row r="24" spans="2:52" x14ac:dyDescent="0.25">
      <c r="O24" s="24" t="str">
        <f>"RRSWM7"&amp;$O$2&amp;" Curncy"</f>
        <v>RRSWM7 TRPU Curncy</v>
      </c>
      <c r="P24" s="25" t="s">
        <v>342</v>
      </c>
      <c r="Q24" s="28"/>
      <c r="R24" s="29">
        <f>IF(O24="","",IF(StaticData.Today=TODAY(),_xll.BDP(O24,"BID"),_xll.BDH(O24,"BID",StaticData.Today,StaticData.Today)))</f>
        <v>5.88</v>
      </c>
      <c r="S24" s="29">
        <f>IF(O24="","",IF(StaticData.Today=TODAY(),_xll.BDP(O24,"ASK"),_xll.BDH(O24,"ASK",StaticData.Today,StaticData.Today)))</f>
        <v>5.98</v>
      </c>
      <c r="T24" s="30">
        <f>IF(O24="","",IF(StaticData.Today=TODAY(),_xll.BDP(O24,"LAST_PRICE"),_xll.BDH(O24,"LAST_PRICE",StaticData.Today,StaticData.Today)))</f>
        <v>5.93</v>
      </c>
      <c r="U24" s="338">
        <f t="shared" si="10"/>
        <v>5.9299999999999999E-2</v>
      </c>
      <c r="W24" s="24"/>
      <c r="X24" s="25"/>
      <c r="Y24" s="26" t="str">
        <f>IF(W24="","",IF(StaticData.Today=TODAY(),_xll.BDP(W24,"LAST_PRICE"),_xll.BDH(W24,"LAST_PRICE",StaticData.Today,StaticData.Today)))</f>
        <v/>
      </c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si="4"/>
        <v>RUB5Y TRSU Curncy</v>
      </c>
      <c r="AU24" s="25" t="s">
        <v>331</v>
      </c>
      <c r="AV24" s="31"/>
      <c r="AW24" s="177">
        <f>IF(AT24="","",IF(StaticData.Today=TODAY(),_xll.BDP(AT24,"BID"),_xll.BDH(AT24,"BID",StaticData.Today,StaticData.Today)))</f>
        <v>162590</v>
      </c>
      <c r="AX24" s="177">
        <f>IF(AT24="","",IF(StaticData.Today=TODAY(),_xll.BDP(AT24,"ASK"),_xll.BDH(AT24,"ASK",StaticData.Today,StaticData.Today)))</f>
        <v>166690</v>
      </c>
      <c r="AY24" s="177">
        <f>IF(AT24="","",IF(StaticData.Today=TODAY(),_xll.BDP(AT24,"LAST_PRICE"),_xll.BDH(AT24,"LAST_PRICE",StaticData.Today,StaticData.Today)))</f>
        <v>164640</v>
      </c>
      <c r="AZ24" s="181">
        <f t="shared" si="11"/>
        <v>164640</v>
      </c>
    </row>
    <row r="25" spans="2:52" x14ac:dyDescent="0.25">
      <c r="O25" s="24" t="str">
        <f>"RRSWM8"&amp;$O$2&amp;" Curncy"</f>
        <v>RRSWM8 TRPU Curncy</v>
      </c>
      <c r="P25" s="25" t="s">
        <v>355</v>
      </c>
      <c r="Q25" s="28"/>
      <c r="R25" s="29">
        <f>IF(O25="","",IF(StaticData.Today=TODAY(),_xll.BDP(O25,"BID"),_xll.BDH(O25,"BID",StaticData.Today,StaticData.Today)))</f>
        <v>6.02</v>
      </c>
      <c r="S25" s="29">
        <f>IF(O25="","",IF(StaticData.Today=TODAY(),_xll.BDP(O25,"ASK"),_xll.BDH(O25,"ASK",StaticData.Today,StaticData.Today)))</f>
        <v>6.12</v>
      </c>
      <c r="T25" s="30">
        <f>IF(O25="","",IF(StaticData.Today=TODAY(),_xll.BDP(O25,"LAST_PRICE"),_xll.BDH(O25,"LAST_PRICE",StaticData.Today,StaticData.Today)))</f>
        <v>6.07</v>
      </c>
      <c r="U25" s="338">
        <f t="shared" si="10"/>
        <v>6.0700000000000004E-2</v>
      </c>
      <c r="W25" s="24"/>
      <c r="X25" s="25"/>
      <c r="Y25" s="26" t="str">
        <f>IF(W25="","",IF(StaticData.Today=TODAY(),_xll.BDP(W25,"LAST_PRICE"),_xll.BDH(W25,"LAST_PRICE",StaticData.Today,StaticData.Today)))</f>
        <v/>
      </c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>"RRUSSW1"&amp;$AT$2&amp;" Curncy"</f>
        <v>RRUSSW1 TRPU Curncy</v>
      </c>
      <c r="AU25" s="25" t="s">
        <v>47</v>
      </c>
      <c r="AV25" s="28"/>
      <c r="AW25" s="178">
        <f>IF(AT25="","",IF(StaticData.Today=TODAY(),_xll.BDP(AT25,"BID"),_xll.BDH(AT25,"BID",StaticData.Today,StaticData.Today)))</f>
        <v>4.24</v>
      </c>
      <c r="AX25" s="178">
        <f>IF(AT25="","",IF(StaticData.Today=TODAY(),_xll.BDP(AT25,"ASK"),_xll.BDH(AT25,"ASK",StaticData.Today,StaticData.Today)))</f>
        <v>4.34</v>
      </c>
      <c r="AY25" s="30">
        <f>IF(AT25="","",IF(StaticData.Today=TODAY(),_xll.BDP(AT25,"LAST_PRICE"),_xll.BDH(AT25,"LAST_PRICE",StaticData.Today,StaticData.Today)))</f>
        <v>4.29</v>
      </c>
      <c r="AZ25" s="27">
        <f t="shared" ref="AZ25" si="12">AY25/100</f>
        <v>4.2900000000000001E-2</v>
      </c>
    </row>
    <row r="26" spans="2:52" x14ac:dyDescent="0.25">
      <c r="O26" s="24" t="str">
        <f>"RRSWM9"&amp;$O$2&amp;" Curncy"</f>
        <v>RRSWM9 TRPU Curncy</v>
      </c>
      <c r="P26" s="25" t="s">
        <v>364</v>
      </c>
      <c r="Q26" s="28"/>
      <c r="R26" s="29">
        <f>IF(O26="","",IF(StaticData.Today=TODAY(),_xll.BDP(O26,"BID"),_xll.BDH(O26,"BID",StaticData.Today,StaticData.Today)))</f>
        <v>6.14</v>
      </c>
      <c r="S26" s="29">
        <f>IF(O26="","",IF(StaticData.Today=TODAY(),_xll.BDP(O26,"ASK"),_xll.BDH(O26,"ASK",StaticData.Today,StaticData.Today)))</f>
        <v>6.24</v>
      </c>
      <c r="T26" s="30">
        <f>IF(O26="","",IF(StaticData.Today=TODAY(),_xll.BDP(O26,"LAST_PRICE"),_xll.BDH(O26,"LAST_PRICE",StaticData.Today,StaticData.Today)))</f>
        <v>6.19</v>
      </c>
      <c r="U26" s="338">
        <f t="shared" si="10"/>
        <v>6.1900000000000004E-2</v>
      </c>
      <c r="W26" s="24"/>
      <c r="X26" s="25"/>
      <c r="Y26" s="26" t="str">
        <f>IF(W26="","",IF(StaticData.Today=TODAY(),_xll.BDP(W26,"LAST_PRICE"),_xll.BDH(W26,"LAST_PRICE",StaticData.Today,StaticData.Today)))</f>
        <v/>
      </c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>"RRUSSW2"&amp;$AT$2&amp;" Curncy"</f>
        <v>RRUSSW2 TRPU Curncy</v>
      </c>
      <c r="AU26" s="25" t="s">
        <v>308</v>
      </c>
      <c r="AV26" s="31"/>
      <c r="AW26" s="178">
        <f>IF(AT26="","",IF(StaticData.Today=TODAY(),_xll.BDP(AT26,"BID"),_xll.BDH(AT26,"BID",StaticData.Today,StaticData.Today)))</f>
        <v>4.29</v>
      </c>
      <c r="AX26" s="178">
        <f>IF(AT26="","",IF(StaticData.Today=TODAY(),_xll.BDP(AT26,"ASK"),_xll.BDH(AT26,"ASK",StaticData.Today,StaticData.Today)))</f>
        <v>4.3899999999999997</v>
      </c>
      <c r="AY26" s="30">
        <f>IF(AT26="","",IF(StaticData.Today=TODAY(),_xll.BDP(AT26,"LAST_PRICE"),_xll.BDH(AT26,"LAST_PRICE",StaticData.Today,StaticData.Today)))</f>
        <v>4.34</v>
      </c>
      <c r="AZ26" s="27">
        <f t="shared" ref="AZ26:AZ36" si="13">AY26/100</f>
        <v>4.3400000000000001E-2</v>
      </c>
    </row>
    <row r="27" spans="2:52" x14ac:dyDescent="0.25">
      <c r="O27" s="24" t="str">
        <f>"RRSWM10"&amp;$O$2&amp;" Curncy"</f>
        <v>RRSWM10 TRPU Curncy</v>
      </c>
      <c r="P27" s="25" t="s">
        <v>349</v>
      </c>
      <c r="Q27" s="28"/>
      <c r="R27" s="29">
        <f>IF(O27="","",IF(StaticData.Today=TODAY(),_xll.BDP(O27,"BID"),_xll.BDH(O27,"BID",StaticData.Today,StaticData.Today)))</f>
        <v>6.24</v>
      </c>
      <c r="S27" s="29">
        <f>IF(O27="","",IF(StaticData.Today=TODAY(),_xll.BDP(O27,"ASK"),_xll.BDH(O27,"ASK",StaticData.Today,StaticData.Today)))</f>
        <v>6.34</v>
      </c>
      <c r="T27" s="30">
        <f>IF(O27="","",IF(StaticData.Today=TODAY(),_xll.BDP(O27,"LAST_PRICE"),_xll.BDH(O27,"LAST_PRICE",StaticData.Today,StaticData.Today)))</f>
        <v>6.29</v>
      </c>
      <c r="U27" s="338">
        <f t="shared" si="10"/>
        <v>6.2899999999999998E-2</v>
      </c>
      <c r="W27" s="24"/>
      <c r="X27" s="25"/>
      <c r="Y27" s="26" t="str">
        <f>IF(W27="","",IF(StaticData.Today=TODAY(),_xll.BDP(W27,"LAST_PRICE"),_xll.BDH(W27,"LAST_PRICE",StaticData.Today,StaticData.Today)))</f>
        <v/>
      </c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>"RRUSSW3"&amp;$AT$2&amp;" Curncy"</f>
        <v>RRUSSW3 TRPU Curncy</v>
      </c>
      <c r="AU27" s="25" t="s">
        <v>316</v>
      </c>
      <c r="AV27" s="28"/>
      <c r="AW27" s="178">
        <f>IF(AT27="","",IF(StaticData.Today=TODAY(),_xll.BDP(AT27,"BID"),_xll.BDH(AT27,"BID",StaticData.Today,StaticData.Today)))</f>
        <v>4.3</v>
      </c>
      <c r="AX27" s="178">
        <f>IF(AT27="","",IF(StaticData.Today=TODAY(),_xll.BDP(AT27,"ASK"),_xll.BDH(AT27,"ASK",StaticData.Today,StaticData.Today)))</f>
        <v>4.4000000000000004</v>
      </c>
      <c r="AY27" s="30">
        <f>IF(AT27="","",IF(StaticData.Today=TODAY(),_xll.BDP(AT27,"LAST_PRICE"),_xll.BDH(AT27,"LAST_PRICE",StaticData.Today,StaticData.Today)))</f>
        <v>4.3499999999999996</v>
      </c>
      <c r="AZ27" s="27">
        <f t="shared" si="13"/>
        <v>4.3499999999999997E-2</v>
      </c>
    </row>
    <row r="28" spans="2:52" x14ac:dyDescent="0.25">
      <c r="O28" s="24" t="str">
        <f>"RRSWM12"&amp;$O$2&amp;" Curncy"</f>
        <v>RRSWM12 TRPU Curncy</v>
      </c>
      <c r="P28" s="25" t="s">
        <v>358</v>
      </c>
      <c r="Q28" s="28"/>
      <c r="R28" s="29">
        <f>IF(O28="","",IF(StaticData.Today=TODAY(),_xll.BDP(O28,"BID"),_xll.BDH(O28,"BID",StaticData.Today,StaticData.Today)))</f>
        <v>6.29</v>
      </c>
      <c r="S28" s="29">
        <f>IF(O28="","",IF(StaticData.Today=TODAY(),_xll.BDP(O28,"ASK"),_xll.BDH(O28,"ASK",StaticData.Today,StaticData.Today)))</f>
        <v>6.49</v>
      </c>
      <c r="T28" s="30">
        <f>IF(O28="","",IF(StaticData.Today=TODAY(),_xll.BDP(O28,"LAST_PRICE"),_xll.BDH(O28,"LAST_PRICE",StaticData.Today,StaticData.Today)))</f>
        <v>6.39</v>
      </c>
      <c r="U28" s="338">
        <f t="shared" si="10"/>
        <v>6.3899999999999998E-2</v>
      </c>
      <c r="W28" s="24"/>
      <c r="X28" s="25"/>
      <c r="Y28" s="26" t="str">
        <f>IF(W28="","",IF(StaticData.Today=TODAY(),_xll.BDP(W28,"LAST_PRICE"),_xll.BDH(W28,"LAST_PRICE",StaticData.Today,StaticData.Today)))</f>
        <v/>
      </c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>"RRUSSW4"&amp;$AT$2&amp;" Curncy"</f>
        <v>RRUSSW4 TRPU Curncy</v>
      </c>
      <c r="AU28" s="25" t="s">
        <v>324</v>
      </c>
      <c r="AV28" s="28"/>
      <c r="AW28" s="178">
        <f>IF(AT28="","",IF(StaticData.Today=TODAY(),_xll.BDP(AT28,"BID"),_xll.BDH(AT28,"BID",StaticData.Today,StaticData.Today)))</f>
        <v>4.3099999999999996</v>
      </c>
      <c r="AX28" s="178">
        <f>IF(AT28="","",IF(StaticData.Today=TODAY(),_xll.BDP(AT28,"ASK"),_xll.BDH(AT28,"ASK",StaticData.Today,StaticData.Today)))</f>
        <v>4.41</v>
      </c>
      <c r="AY28" s="30">
        <f>IF(AT28="","",IF(StaticData.Today=TODAY(),_xll.BDP(AT28,"LAST_PRICE"),_xll.BDH(AT28,"LAST_PRICE",StaticData.Today,StaticData.Today)))</f>
        <v>4.3600000000000003</v>
      </c>
      <c r="AZ28" s="27">
        <f t="shared" si="13"/>
        <v>4.36E-2</v>
      </c>
    </row>
    <row r="29" spans="2:52" x14ac:dyDescent="0.25">
      <c r="O29" s="24" t="str">
        <f>"RRSWM15"&amp;$O$2&amp;" Curncy"</f>
        <v>RRSWM15 TRPU Curncy</v>
      </c>
      <c r="P29" s="25" t="s">
        <v>367</v>
      </c>
      <c r="Q29" s="28"/>
      <c r="R29" s="29">
        <f>IF(O29="","",IF(StaticData.Today=TODAY(),_xll.BDP(O29,"BID"),_xll.BDH(O29,"BID",StaticData.Today,StaticData.Today)))</f>
        <v>6.44</v>
      </c>
      <c r="S29" s="29">
        <f>IF(O29="","",IF(StaticData.Today=TODAY(),_xll.BDP(O29,"ASK"),_xll.BDH(O29,"ASK",StaticData.Today,StaticData.Today)))</f>
        <v>6.64</v>
      </c>
      <c r="T29" s="30">
        <f>IF(O29="","",IF(StaticData.Today=TODAY(),_xll.BDP(O29,"LAST_PRICE"),_xll.BDH(O29,"LAST_PRICE",StaticData.Today,StaticData.Today)))</f>
        <v>6.54</v>
      </c>
      <c r="U29" s="338">
        <f t="shared" si="10"/>
        <v>6.54E-2</v>
      </c>
      <c r="W29" s="24"/>
      <c r="X29" s="25"/>
      <c r="Y29" s="26" t="str">
        <f>IF(W29="","",IF(StaticData.Today=TODAY(),_xll.BDP(W29,"LAST_PRICE"),_xll.BDH(W29,"LAST_PRICE",StaticData.Today,StaticData.Today)))</f>
        <v/>
      </c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>"RRUSSW5"&amp;$AT$2&amp;" Curncy"</f>
        <v>RRUSSW5 TRPU Curncy</v>
      </c>
      <c r="AU29" s="25" t="s">
        <v>331</v>
      </c>
      <c r="AV29" s="28"/>
      <c r="AW29" s="178">
        <f>IF(AT29="","",IF(StaticData.Today=TODAY(),_xll.BDP(AT29,"BID"),_xll.BDH(AT29,"BID",StaticData.Today,StaticData.Today)))</f>
        <v>4.32</v>
      </c>
      <c r="AX29" s="178">
        <f>IF(AT29="","",IF(StaticData.Today=TODAY(),_xll.BDP(AT29,"ASK"),_xll.BDH(AT29,"ASK",StaticData.Today,StaticData.Today)))</f>
        <v>4.42</v>
      </c>
      <c r="AY29" s="30">
        <f>IF(AT29="","",IF(StaticData.Today=TODAY(),_xll.BDP(AT29,"LAST_PRICE"),_xll.BDH(AT29,"LAST_PRICE",StaticData.Today,StaticData.Today)))</f>
        <v>4.37</v>
      </c>
      <c r="AZ29" s="27">
        <f t="shared" si="13"/>
        <v>4.3700000000000003E-2</v>
      </c>
    </row>
    <row r="30" spans="2:52" x14ac:dyDescent="0.25">
      <c r="O30" s="24" t="str">
        <f>"RRSWM20"&amp;$O$2&amp;" Curncy"</f>
        <v>RRSWM20 TRPU Curncy</v>
      </c>
      <c r="P30" s="25" t="s">
        <v>374</v>
      </c>
      <c r="Q30" s="28"/>
      <c r="R30" s="29">
        <f>IF(O30="","",IF(StaticData.Today=TODAY(),_xll.BDP(O30,"BID"),_xll.BDH(O30,"BID",StaticData.Today,StaticData.Today)))</f>
        <v>6.29</v>
      </c>
      <c r="S30" s="29">
        <f>IF(O30="","",IF(StaticData.Today=TODAY(),_xll.BDP(O30,"ASK"),_xll.BDH(O30,"ASK",StaticData.Today,StaticData.Today)))</f>
        <v>6.49</v>
      </c>
      <c r="T30" s="30">
        <f>IF(O30="","",IF(StaticData.Today=TODAY(),_xll.BDP(O30,"LAST_PRICE"),_xll.BDH(O30,"LAST_PRICE",StaticData.Today,StaticData.Today)))</f>
        <v>6.39</v>
      </c>
      <c r="U30" s="338">
        <f t="shared" si="10"/>
        <v>6.3899999999999998E-2</v>
      </c>
      <c r="W30" s="24"/>
      <c r="X30" s="25"/>
      <c r="Y30" s="26" t="str">
        <f>IF(W30="","",IF(StaticData.Today=TODAY(),_xll.BDP(W30,"LAST_PRICE"),_xll.BDH(W30,"LAST_PRICE",StaticData.Today,StaticData.Today)))</f>
        <v/>
      </c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>"RRUSSW6"&amp;$AT$2&amp;" Curncy"</f>
        <v>RRUSSW6 TRPU Curncy</v>
      </c>
      <c r="AU30" s="25" t="s">
        <v>339</v>
      </c>
      <c r="AV30" s="28"/>
      <c r="AW30" s="178">
        <f>IF(AT30="","",IF(StaticData.Today=TODAY(),_xll.BDP(AT30,"BID"),_xll.BDH(AT30,"BID",StaticData.Today,StaticData.Today)))</f>
        <v>4.33</v>
      </c>
      <c r="AX30" s="178">
        <f>IF(AT30="","",IF(StaticData.Today=TODAY(),_xll.BDP(AT30,"ASK"),_xll.BDH(AT30,"ASK",StaticData.Today,StaticData.Today)))</f>
        <v>4.43</v>
      </c>
      <c r="AY30" s="30">
        <f>IF(AT30="","",IF(StaticData.Today=TODAY(),_xll.BDP(AT30,"LAST_PRICE"),_xll.BDH(AT30,"LAST_PRICE",StaticData.Today,StaticData.Today)))</f>
        <v>4.38</v>
      </c>
      <c r="AZ30" s="27">
        <f t="shared" si="13"/>
        <v>4.3799999999999999E-2</v>
      </c>
    </row>
    <row r="31" spans="2:52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26" t="str">
        <f>IF(W31="","",IF(StaticData.Today=TODAY(),_xll.BDP(W31,"LAST_PRICE"),_xll.BDH(W31,"LAST_PRICE",StaticData.Today,StaticData.Today)))</f>
        <v/>
      </c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 t="str">
        <f>"RRUSSW7"&amp;$AT$2&amp;" Curncy"</f>
        <v>RRUSSW7 TRPU Curncy</v>
      </c>
      <c r="AU31" s="25" t="s">
        <v>342</v>
      </c>
      <c r="AV31" s="28"/>
      <c r="AW31" s="178">
        <f>IF(AT31="","",IF(StaticData.Today=TODAY(),_xll.BDP(AT31,"BID"),_xll.BDH(AT31,"BID",StaticData.Today,StaticData.Today)))</f>
        <v>4.34</v>
      </c>
      <c r="AX31" s="178">
        <f>IF(AT31="","",IF(StaticData.Today=TODAY(),_xll.BDP(AT31,"ASK"),_xll.BDH(AT31,"ASK",StaticData.Today,StaticData.Today)))</f>
        <v>4.4400000000000004</v>
      </c>
      <c r="AY31" s="30">
        <f>IF(AT31="","",IF(StaticData.Today=TODAY(),_xll.BDP(AT31,"LAST_PRICE"),_xll.BDH(AT31,"LAST_PRICE",StaticData.Today,StaticData.Today)))</f>
        <v>4.3899999999999997</v>
      </c>
      <c r="AZ31" s="27">
        <f t="shared" si="13"/>
        <v>4.3899999999999995E-2</v>
      </c>
    </row>
    <row r="32" spans="2:52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26" t="str">
        <f>IF(W32="","",IF(StaticData.Today=TODAY(),_xll.BDP(W32,"LAST_PRICE"),_xll.BDH(W32,"LAST_PRICE",StaticData.Today,StaticData.Today)))</f>
        <v/>
      </c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 t="str">
        <f>"RRUSSW8"&amp;$AT$2&amp;" Curncy"</f>
        <v>RRUSSW8 TRPU Curncy</v>
      </c>
      <c r="AU32" s="25" t="s">
        <v>355</v>
      </c>
      <c r="AV32" s="28"/>
      <c r="AW32" s="178">
        <f>IF(AT32="","",IF(StaticData.Today=TODAY(),_xll.BDP(AT32,"BID"),_xll.BDH(AT32,"BID",StaticData.Today,StaticData.Today)))</f>
        <v>4.3499999999999996</v>
      </c>
      <c r="AX32" s="178">
        <f>IF(AT32="","",IF(StaticData.Today=TODAY(),_xll.BDP(AT32,"ASK"),_xll.BDH(AT32,"ASK",StaticData.Today,StaticData.Today)))</f>
        <v>4.45</v>
      </c>
      <c r="AY32" s="30">
        <f>IF(AT32="","",IF(StaticData.Today=TODAY(),_xll.BDP(AT32,"LAST_PRICE"),_xll.BDH(AT32,"LAST_PRICE",StaticData.Today,StaticData.Today)))</f>
        <v>4.4000000000000004</v>
      </c>
      <c r="AZ32" s="27">
        <f t="shared" si="13"/>
        <v>4.4000000000000004E-2</v>
      </c>
    </row>
    <row r="33" spans="15:52" x14ac:dyDescent="0.25">
      <c r="O33" s="24" t="str">
        <f>"RRSWM18M"&amp;$O$2&amp;" Curncy"</f>
        <v>RRSWM18M TRPU Curncy</v>
      </c>
      <c r="P33" s="25" t="s">
        <v>501</v>
      </c>
      <c r="Q33" s="31"/>
      <c r="R33" s="182" t="str">
        <f>IF(O33="","",IF(StaticData.Today=TODAY(),_xll.BDP(O33,"BID"),_xll.BDH(O33,"BID",StaticData.Today,StaticData.Today)))</f>
        <v>#N/A Invalid Security</v>
      </c>
      <c r="S33" s="182" t="str">
        <f>IF(O33="","",IF(StaticData.Today=TODAY(),_xll.BDP(O33,"ASK"),_xll.BDH(O33,"ASK",StaticData.Today,StaticData.Today)))</f>
        <v>#N/A Invalid Security</v>
      </c>
      <c r="T33" s="30" t="str">
        <f>IF(O33="","",IF(StaticData.Today=TODAY(),_xll.BDP(O33,"LAST_PRICE"),_xll.BDH(O33,"LAST_PRICE",StaticData.Today,StaticData.Today)))</f>
        <v>#N/A Invalid Security</v>
      </c>
      <c r="U33" s="338" t="e">
        <f t="shared" ref="U33" si="14">T33/100</f>
        <v>#VALUE!</v>
      </c>
      <c r="W33" s="24"/>
      <c r="X33" s="25"/>
      <c r="Y33" s="26" t="str">
        <f>IF(W33="","",IF(StaticData.Today=TODAY(),_xll.BDP(W33,"LAST_PRICE"),_xll.BDH(W33,"LAST_PRICE",StaticData.Today,StaticData.Today)))</f>
        <v/>
      </c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 t="str">
        <f>"RRUSSW9"&amp;$AT$2&amp;" Curncy"</f>
        <v>RRUSSW9 TRPU Curncy</v>
      </c>
      <c r="AU33" s="25" t="s">
        <v>364</v>
      </c>
      <c r="AV33" s="28"/>
      <c r="AW33" s="178">
        <f>IF(AT33="","",IF(StaticData.Today=TODAY(),_xll.BDP(AT33,"BID"),_xll.BDH(AT33,"BID",StaticData.Today,StaticData.Today)))</f>
        <v>4.3600000000000003</v>
      </c>
      <c r="AX33" s="178">
        <f>IF(AT33="","",IF(StaticData.Today=TODAY(),_xll.BDP(AT33,"ASK"),_xll.BDH(AT33,"ASK",StaticData.Today,StaticData.Today)))</f>
        <v>4.46</v>
      </c>
      <c r="AY33" s="30">
        <f>IF(AT33="","",IF(StaticData.Today=TODAY(),_xll.BDP(AT33,"LAST_PRICE"),_xll.BDH(AT33,"LAST_PRICE",StaticData.Today,StaticData.Today)))</f>
        <v>4.41</v>
      </c>
      <c r="AZ33" s="27">
        <f t="shared" si="13"/>
        <v>4.41E-2</v>
      </c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26" t="str">
        <f>IF(W34="","",IF(StaticData.Today=TODAY(),_xll.BDP(W34,"LAST_PRICE"),_xll.BDH(W34,"LAST_PRICE",StaticData.Today,StaticData.Today)))</f>
        <v/>
      </c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 t="str">
        <f>"RRUSSW10"&amp;$AT$2&amp;" Curncy"</f>
        <v>RRUSSW10 TRPU Curncy</v>
      </c>
      <c r="AU34" s="25" t="s">
        <v>349</v>
      </c>
      <c r="AV34" s="28"/>
      <c r="AW34" s="178">
        <f>IF(AT34="","",IF(StaticData.Today=TODAY(),_xll.BDP(AT34,"BID"),_xll.BDH(AT34,"BID",StaticData.Today,StaticData.Today)))</f>
        <v>4.37</v>
      </c>
      <c r="AX34" s="178">
        <f>IF(AT34="","",IF(StaticData.Today=TODAY(),_xll.BDP(AT34,"ASK"),_xll.BDH(AT34,"ASK",StaticData.Today,StaticData.Today)))</f>
        <v>4.47</v>
      </c>
      <c r="AY34" s="30">
        <f>IF(AT34="","",IF(StaticData.Today=TODAY(),_xll.BDP(AT34,"LAST_PRICE"),_xll.BDH(AT34,"LAST_PRICE",StaticData.Today,StaticData.Today)))</f>
        <v>4.42</v>
      </c>
      <c r="AZ34" s="27">
        <f t="shared" si="13"/>
        <v>4.4199999999999996E-2</v>
      </c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26" t="str">
        <f>IF(W35="","",IF(StaticData.Today=TODAY(),_xll.BDP(W35,"LAST_PRICE"),_xll.BDH(W35,"LAST_PRICE",StaticData.Today,StaticData.Today)))</f>
        <v/>
      </c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 t="str">
        <f>"RRUSSW12"&amp;$AT$2&amp;" Curncy"</f>
        <v>RRUSSW12 TRPU Curncy</v>
      </c>
      <c r="AU35" s="25" t="s">
        <v>358</v>
      </c>
      <c r="AV35" s="28"/>
      <c r="AW35" s="178">
        <f>IF(AT35="","",IF(StaticData.Today=TODAY(),_xll.BDP(AT35,"BID"),_xll.BDH(AT35,"BID",StaticData.Today,StaticData.Today)))</f>
        <v>4.3099999999999996</v>
      </c>
      <c r="AX35" s="178">
        <f>IF(AT35="","",IF(StaticData.Today=TODAY(),_xll.BDP(AT35,"ASK"),_xll.BDH(AT35,"ASK",StaticData.Today,StaticData.Today)))</f>
        <v>4.51</v>
      </c>
      <c r="AY35" s="30">
        <f>IF(AT35="","",IF(StaticData.Today=TODAY(),_xll.BDP(AT35,"LAST_PRICE"),_xll.BDH(AT35,"LAST_PRICE",StaticData.Today,StaticData.Today)))</f>
        <v>4.41</v>
      </c>
      <c r="AZ35" s="27">
        <f t="shared" si="13"/>
        <v>4.41E-2</v>
      </c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26" t="str">
        <f>IF(W36="","",IF(StaticData.Today=TODAY(),_xll.BDP(W36,"LAST_PRICE"),_xll.BDH(W36,"LAST_PRICE",StaticData.Today,StaticData.Today)))</f>
        <v/>
      </c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 t="str">
        <f>"RRUSSW15"&amp;$AT$2&amp;" Curncy"</f>
        <v>RRUSSW15 TRPU Curncy</v>
      </c>
      <c r="AU36" s="25" t="s">
        <v>367</v>
      </c>
      <c r="AV36" s="28"/>
      <c r="AW36" s="178">
        <f>IF(AT36="","",IF(StaticData.Today=TODAY(),_xll.BDP(AT36,"BID"),_xll.BDH(AT36,"BID",StaticData.Today,StaticData.Today)))</f>
        <v>4.3</v>
      </c>
      <c r="AX36" s="178">
        <f>IF(AT36="","",IF(StaticData.Today=TODAY(),_xll.BDP(AT36,"ASK"),_xll.BDH(AT36,"ASK",StaticData.Today,StaticData.Today)))</f>
        <v>4.5</v>
      </c>
      <c r="AY36" s="30">
        <f>IF(AT36="","",IF(StaticData.Today=TODAY(),_xll.BDP(AT36,"LAST_PRICE"),_xll.BDH(AT36,"LAST_PRICE",StaticData.Today,StaticData.Today)))</f>
        <v>4.4000000000000004</v>
      </c>
      <c r="AZ36" s="27">
        <f t="shared" si="13"/>
        <v>4.4000000000000004E-2</v>
      </c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26" t="str">
        <f>IF(W37="","",IF(StaticData.Today=TODAY(),_xll.BDP(W37,"LAST_PRICE"),_xll.BDH(W37,"LAST_PRICE",StaticData.Today,StaticData.Today)))</f>
        <v/>
      </c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 t="str">
        <f>IF(AT37="","",IF(StaticData.Today=TODAY(),_xll.BDP(AT37,"LAST_PRICE"),_xll.BDH(AT37,"LAST_PRICE",StaticData.Today,StaticData.Today)))</f>
        <v/>
      </c>
      <c r="AZ37" s="27"/>
    </row>
    <row r="38" spans="15:52" x14ac:dyDescent="0.25">
      <c r="O38" s="24"/>
      <c r="P38" s="25"/>
      <c r="Q38" s="28"/>
      <c r="R38" s="29"/>
      <c r="S38" s="29"/>
      <c r="T38" s="30" t="str">
        <f>IF(O38="","",IF(StaticData.Today=TODAY(),_xll.BDP(O38,"LAST_PRICE"),_xll.BDH(O38,"LAST_PRICE",StaticData.Today,StaticData.Today)))</f>
        <v/>
      </c>
      <c r="U38" s="27"/>
      <c r="W38" s="24"/>
      <c r="X38" s="25"/>
      <c r="Y38" s="26" t="str">
        <f>IF(W38="","",IF(StaticData.Today=TODAY(),_xll.BDP(W38,"LAST_PRICE"),_xll.BDH(W38,"LAST_PRICE",StaticData.Today,StaticData.Today)))</f>
        <v/>
      </c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</row>
    <row r="39" spans="15:52" x14ac:dyDescent="0.25"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W39" s="24"/>
      <c r="X39" s="25"/>
      <c r="Y39" s="26" t="str">
        <f>IF(W39="","",IF(StaticData.Today=TODAY(),_xll.BDP(W39,"LAST_PRICE"),_xll.BDH(W39,"LAST_PRICE",StaticData.Today,StaticData.Today)))</f>
        <v/>
      </c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/>
      <c r="AZ39" s="27"/>
    </row>
    <row r="40" spans="15:52" x14ac:dyDescent="0.25"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W40" s="24"/>
      <c r="X40" s="25"/>
      <c r="Y40" s="26" t="str">
        <f>IF(W40="","",IF(StaticData.Today=TODAY(),_xll.BDP(W40,"LAST_PRICE"),_xll.BDH(W40,"LAST_PRICE",StaticData.Today,StaticData.Today)))</f>
        <v/>
      </c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</row>
    <row r="41" spans="15:52" x14ac:dyDescent="0.25"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W41" s="24"/>
      <c r="X41" s="25"/>
      <c r="Y41" s="26" t="str">
        <f>IF(W41="","",IF(StaticData.Today=TODAY(),_xll.BDP(W41,"LAST_PRICE"),_xll.BDH(W41,"LAST_PRICE",StaticData.Today,StaticData.Today)))</f>
        <v/>
      </c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</row>
    <row r="42" spans="15:52" x14ac:dyDescent="0.25"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W42" s="24"/>
      <c r="X42" s="25"/>
      <c r="Y42" s="26" t="str">
        <f>IF(W42="","",IF(StaticData.Today=TODAY(),_xll.BDP(W42,"LAST_PRICE"),_xll.BDH(W42,"LAST_PRICE",StaticData.Today,StaticData.Today)))</f>
        <v/>
      </c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</row>
    <row r="43" spans="15:52" x14ac:dyDescent="0.25"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W43" s="24"/>
      <c r="X43" s="25"/>
      <c r="Y43" s="26" t="str">
        <f>IF(W43="","",IF(StaticData.Today=TODAY(),_xll.BDP(W43,"LAST_PRICE"),_xll.BDH(W43,"LAST_PRICE",StaticData.Today,StaticData.Today)))</f>
        <v/>
      </c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/>
      <c r="AZ43" s="27"/>
    </row>
    <row r="44" spans="15:52" x14ac:dyDescent="0.25"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W44" s="24"/>
      <c r="X44" s="25"/>
      <c r="Y44" s="26" t="str">
        <f>IF(W44="","",IF(StaticData.Today=TODAY(),_xll.BDP(W44,"LAST_PRICE"),_xll.BDH(W44,"LAST_PRICE",StaticData.Today,StaticData.Today)))</f>
        <v/>
      </c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/>
      <c r="AZ44" s="27"/>
    </row>
    <row r="45" spans="15:52" x14ac:dyDescent="0.25"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W45" s="24"/>
      <c r="X45" s="25"/>
      <c r="Y45" s="26" t="str">
        <f>IF(W45="","",IF(StaticData.Today=TODAY(),_xll.BDP(W45,"LAST_PRICE"),_xll.BDH(W45,"LAST_PRICE",StaticData.Today,StaticData.Today)))</f>
        <v/>
      </c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/>
      <c r="AZ45" s="27"/>
    </row>
    <row r="46" spans="15:52" x14ac:dyDescent="0.25">
      <c r="O46" s="24"/>
      <c r="P46" s="25"/>
      <c r="Q46" s="28"/>
      <c r="R46" s="29"/>
      <c r="S46" s="29"/>
      <c r="T46" s="30" t="str">
        <f>IF(O46="","",IF(StaticData.Today=TODAY(),_xll.BDP(O46,"LAST_PRICE"),_xll.BDH(O46,"LAST_PRICE",StaticData.Today,StaticData.Today)))</f>
        <v/>
      </c>
      <c r="U46" s="27"/>
      <c r="W46" s="24"/>
      <c r="X46" s="25"/>
      <c r="Y46" s="26" t="str">
        <f>IF(W46="","",IF(StaticData.Today=TODAY(),_xll.BDP(W46,"LAST_PRICE"),_xll.BDH(W46,"LAST_PRICE",StaticData.Today,StaticData.Today)))</f>
        <v/>
      </c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24"/>
      <c r="P47" s="25"/>
      <c r="Q47" s="28"/>
      <c r="R47" s="29"/>
      <c r="S47" s="29"/>
      <c r="T47" s="30" t="str">
        <f>IF(O47="","",IF(StaticData.Today=TODAY(),_xll.BDP(O47,"LAST_PRICE"),_xll.BDH(O47,"LAST_PRICE",StaticData.Today,StaticData.Today)))</f>
        <v/>
      </c>
      <c r="U47" s="27"/>
      <c r="W47" s="24"/>
      <c r="X47" s="25"/>
      <c r="Y47" s="26" t="str">
        <f>IF(W47="","",IF(StaticData.Today=TODAY(),_xll.BDP(W47,"LAST_PRICE"),_xll.BDH(W47,"LAST_PRICE",StaticData.Today,StaticData.Today)))</f>
        <v/>
      </c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38"/>
      <c r="P48" s="39"/>
      <c r="Q48" s="42"/>
      <c r="R48" s="43"/>
      <c r="S48" s="43"/>
      <c r="T48" s="44" t="str">
        <f>IF(O48="","",IF(StaticData.Today=TODAY(),_xll.BDP(O48,"LAST_PRICE"),_xll.BDH(O48,"LAST_PRICE",StaticData.Today,StaticData.Today)))</f>
        <v/>
      </c>
      <c r="U48" s="41"/>
      <c r="W48" s="38"/>
      <c r="X48" s="39"/>
      <c r="Y48" s="40" t="str">
        <f>IF(W48="","",IF(StaticData.Today=TODAY(),_xll.BDP(W48,"LAST_PRICE"),_xll.BDH(W48,"LAST_PRICE",StaticData.Today,StaticData.Today)))</f>
        <v/>
      </c>
      <c r="Z48" s="41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46:52" x14ac:dyDescent="0.25"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46:52" x14ac:dyDescent="0.25"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46:52" x14ac:dyDescent="0.25"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46:52" x14ac:dyDescent="0.25"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46:52" x14ac:dyDescent="0.25">
      <c r="AT53" s="24"/>
      <c r="AU53" s="25"/>
      <c r="AV53" s="28"/>
      <c r="AW53" s="29"/>
      <c r="AX53" s="29"/>
      <c r="AY53" s="30" t="str">
        <f>IF(AT53="","",IF(StaticData.Today=TODAY(),_xll.BDP(AT53,"LAST_PRICE"),_xll.BDH(AT53,"LAST_PRICE",StaticData.Today,StaticData.Today)))</f>
        <v/>
      </c>
      <c r="AZ53" s="27"/>
    </row>
    <row r="54" spans="46:52" x14ac:dyDescent="0.25">
      <c r="AT54" s="24"/>
      <c r="AU54" s="25"/>
      <c r="AV54" s="28"/>
      <c r="AW54" s="29"/>
      <c r="AX54" s="29"/>
      <c r="AY54" s="30" t="str">
        <f>IF(AT54="","",IF(StaticData.Today=TODAY(),_xll.BDP(AT54,"LAST_PRICE"),_xll.BDH(AT54,"LAST_PRICE",StaticData.Today,StaticData.Today)))</f>
        <v/>
      </c>
      <c r="AZ54" s="27"/>
    </row>
    <row r="55" spans="46:52" x14ac:dyDescent="0.25">
      <c r="AT55" s="24"/>
      <c r="AU55" s="25"/>
      <c r="AV55" s="28"/>
      <c r="AW55" s="29"/>
      <c r="AX55" s="29"/>
      <c r="AY55" s="30" t="str">
        <f>IF(AT55="","",IF(StaticData.Today=TODAY(),_xll.BDP(AT55,"LAST_PRICE"),_xll.BDH(AT55,"LAST_PRICE",StaticData.Today,StaticData.Today)))</f>
        <v/>
      </c>
      <c r="AZ55" s="27"/>
    </row>
    <row r="56" spans="46:52" x14ac:dyDescent="0.25">
      <c r="AT56" s="38"/>
      <c r="AU56" s="39"/>
      <c r="AV56" s="42"/>
      <c r="AW56" s="43"/>
      <c r="AX56" s="43"/>
      <c r="AY56" s="44" t="str">
        <f>IF(AT56="","",IF(StaticData.Today=TODAY(),_xll.BDP(AT56,"LAST_PRICE"),_xll.BDH(AT56,"LAST_PRICE",StaticData.Today,StaticData.Today)))</f>
        <v/>
      </c>
      <c r="AZ56" s="41"/>
    </row>
  </sheetData>
  <dataValidations count="1">
    <dataValidation type="list" allowBlank="1" showInputMessage="1" showErrorMessage="1" sqref="AL2 AT2">
      <formula1>$Z$95:$Z$98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'STATIC DATA'!$Z$92:$Z$95</xm:f>
          </x14:formula1>
          <xm:sqref>G1 O1</xm:sqref>
        </x14:dataValidation>
        <x14:dataValidation type="list" allowBlank="1" showInputMessage="1" showErrorMessage="1">
          <x14:formula1>
            <xm:f>'STATIC DATA'!$Z$97:$Z$100</xm:f>
          </x14:formula1>
          <xm:sqref>O2</xm:sqref>
        </x14:dataValidation>
        <x14:dataValidation type="list" allowBlank="1" showInputMessage="1" showErrorMessage="1">
          <x14:formula1>
            <xm:f>'STATIC DATA'!$Z$92:$Z$98</xm:f>
          </x14:formula1>
          <xm:sqref>AT1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0.79998168889431442"/>
  </sheetPr>
  <dimension ref="A1:CD53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4" max="14" width="9.42578125" bestFit="1" customWidth="1"/>
    <col min="15" max="15" width="22.7109375" style="6" customWidth="1"/>
    <col min="16" max="16" width="9.140625" style="6"/>
    <col min="17" max="21" width="12.7109375" style="6" customWidth="1"/>
    <col min="23" max="23" width="22.28515625" style="6" bestFit="1" customWidth="1"/>
    <col min="24" max="24" width="12.7109375" style="6" customWidth="1"/>
    <col min="25" max="25" width="9.5703125" style="188" bestFit="1" customWidth="1"/>
    <col min="26" max="26" width="8.42578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9.5703125" style="6" bestFit="1" customWidth="1"/>
    <col min="31" max="31" width="8.1406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10.570312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  <col min="57" max="57" width="9.42578125" bestFit="1" customWidth="1"/>
    <col min="58" max="58" width="7.85546875" customWidth="1"/>
    <col min="62" max="62" width="6" customWidth="1"/>
    <col min="63" max="63" width="9.85546875" bestFit="1" customWidth="1"/>
    <col min="64" max="64" width="7" customWidth="1"/>
    <col min="65" max="65" width="6.5703125" bestFit="1" customWidth="1"/>
    <col min="66" max="66" width="8.42578125" customWidth="1"/>
    <col min="67" max="67" width="6" style="382" customWidth="1"/>
    <col min="68" max="68" width="6.140625" customWidth="1"/>
    <col min="69" max="69" width="9.85546875" bestFit="1" customWidth="1"/>
    <col min="70" max="70" width="9.85546875" customWidth="1"/>
    <col min="71" max="71" width="9.85546875" style="392" customWidth="1"/>
    <col min="72" max="72" width="9.85546875" customWidth="1"/>
    <col min="76" max="76" width="6.5703125" customWidth="1"/>
    <col min="77" max="77" width="9.7109375" bestFit="1" customWidth="1"/>
  </cols>
  <sheetData>
    <row r="1" spans="1:82" x14ac:dyDescent="0.25">
      <c r="A1" t="s">
        <v>246</v>
      </c>
      <c r="G1" s="6" t="s">
        <v>546</v>
      </c>
      <c r="O1" s="6" t="s">
        <v>586</v>
      </c>
      <c r="Q1" s="385">
        <f>StaticData.Today</f>
        <v>44083</v>
      </c>
      <c r="AT1" s="6" t="s">
        <v>586</v>
      </c>
      <c r="BD1" t="s">
        <v>1466</v>
      </c>
    </row>
    <row r="2" spans="1:82" x14ac:dyDescent="0.25">
      <c r="G2" s="7"/>
      <c r="O2" s="6" t="s">
        <v>586</v>
      </c>
      <c r="Q2" s="6">
        <f>IF(StaticData.Today=TODAY(),1,0)</f>
        <v>1</v>
      </c>
      <c r="W2" s="6" t="s">
        <v>587</v>
      </c>
      <c r="AB2" s="6" t="s">
        <v>586</v>
      </c>
      <c r="AG2" s="6" t="s">
        <v>586</v>
      </c>
      <c r="AL2" s="6" t="s">
        <v>586</v>
      </c>
      <c r="AT2" s="6" t="s">
        <v>598</v>
      </c>
    </row>
    <row r="3" spans="1:82" x14ac:dyDescent="0.25">
      <c r="B3" s="7" t="s">
        <v>278</v>
      </c>
      <c r="C3" s="7"/>
      <c r="D3" s="7"/>
      <c r="E3" s="8" t="s">
        <v>279</v>
      </c>
      <c r="G3" s="2" t="s">
        <v>597</v>
      </c>
      <c r="L3" s="8"/>
      <c r="O3" s="2" t="str">
        <f>$A$1&amp;"_3M"</f>
        <v>SAR_3M</v>
      </c>
      <c r="T3" s="8" t="s">
        <v>282</v>
      </c>
      <c r="W3" s="2" t="str">
        <f>$A$1&amp;"_BASIS_6M"</f>
        <v>SAR_BASIS_6M</v>
      </c>
      <c r="AB3" s="2" t="str">
        <f>$A$1&amp;"_BASIS_1M"</f>
        <v>SAR_BASIS_1M</v>
      </c>
      <c r="AG3" s="2" t="str">
        <f>$A$1&amp;"USD_SPREAD"</f>
        <v>SARUSD_SPREAD</v>
      </c>
      <c r="AL3" s="2" t="str">
        <f>'STATIC DATA'!$C$4&amp;'STATIC DATA'!$X$4&amp;"_BASIS"</f>
        <v>USDSAR_BASIS</v>
      </c>
      <c r="AQ3" s="8" t="s">
        <v>282</v>
      </c>
      <c r="AT3" s="2" t="str">
        <f>$A$1&amp;"_"&amp;'STATIC DATA'!S67</f>
        <v>SAR_USD_1D</v>
      </c>
      <c r="AY3" s="8" t="s">
        <v>282</v>
      </c>
    </row>
    <row r="4" spans="1:82" x14ac:dyDescent="0.25">
      <c r="B4" s="9" t="b">
        <f>SUM(C7:C17)=SUM(D7:D17)</f>
        <v>0</v>
      </c>
      <c r="E4" s="10">
        <f>SUM(E7:E17)</f>
        <v>2</v>
      </c>
      <c r="T4" s="6" t="str">
        <f>_xll.BDH(O9,"LAST_PRICE")</f>
        <v>#N/A Start Date</v>
      </c>
    </row>
    <row r="6" spans="1:8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189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82" x14ac:dyDescent="0.25">
      <c r="B7" s="11" t="str">
        <f>G3</f>
        <v>SARONIA</v>
      </c>
      <c r="C7" s="12">
        <f>COUNTA(G7:G19)</f>
        <v>0</v>
      </c>
      <c r="D7" s="12">
        <f>COUNT(L7:L19)</f>
        <v>0</v>
      </c>
      <c r="E7" s="13">
        <f t="shared" ref="E7:E12" si="0">C7-D7</f>
        <v>0</v>
      </c>
      <c r="G7" s="14"/>
      <c r="H7" s="15" t="s">
        <v>298</v>
      </c>
      <c r="I7" s="15"/>
      <c r="J7" s="186"/>
      <c r="K7" s="186"/>
      <c r="L7" s="16"/>
      <c r="M7" s="17"/>
      <c r="O7" s="24" t="s">
        <v>599</v>
      </c>
      <c r="P7" s="15" t="s">
        <v>298</v>
      </c>
      <c r="Q7" s="18"/>
      <c r="R7" s="19"/>
      <c r="S7" s="19"/>
      <c r="T7" s="20">
        <f>IF(O7="","",IF(StaticData.Today=TODAY(),_xll.BDP(O7,"LAST_PRICE"),_xll.BDH(O7,"LAST_PRICE",StaticData.Today,StaticData.Today)))</f>
        <v>0.57125000000000004</v>
      </c>
      <c r="U7" s="184">
        <f>T7/100</f>
        <v>5.7125000000000006E-3</v>
      </c>
      <c r="W7" s="24" t="str">
        <f>O7</f>
        <v>SAIBON Index</v>
      </c>
      <c r="X7" s="25" t="str">
        <f>P7</f>
        <v>ON</v>
      </c>
      <c r="Y7" s="191">
        <f>T7</f>
        <v>0.57125000000000004</v>
      </c>
      <c r="Z7" s="27">
        <f>U7</f>
        <v>5.7125000000000006E-3</v>
      </c>
      <c r="AB7" s="24" t="str">
        <f t="shared" ref="AB7:AE8" si="1">W7</f>
        <v>SAIBON Index</v>
      </c>
      <c r="AC7" s="25" t="str">
        <f t="shared" si="1"/>
        <v>ON</v>
      </c>
      <c r="AD7" s="26">
        <f t="shared" si="1"/>
        <v>0.57125000000000004</v>
      </c>
      <c r="AE7" s="27">
        <f t="shared" si="1"/>
        <v>5.7125000000000006E-3</v>
      </c>
      <c r="AG7" s="14" t="str">
        <f>"SRSSUS0F"&amp;$AG$2&amp;" Curncy"</f>
        <v>SRSSUS0F GMGM Curncy</v>
      </c>
      <c r="AH7" s="15" t="s">
        <v>46</v>
      </c>
      <c r="AI7" s="16">
        <f>IF(AG7="","",IF(StaticData.Today=TODAY(),_xll.BDP(AG7,"LAST_PRICE"),_xll.BDH(AG7,"LAST_PRICE",StaticData.Today,StaticData.Today)))</f>
        <v>66.5</v>
      </c>
      <c r="AJ7" s="17"/>
      <c r="AL7" s="14" t="str">
        <f>"SRUSSW1"&amp;$AL$2&amp;" Curncy"</f>
        <v>SRUSSW1 GMGM Curncy</v>
      </c>
      <c r="AM7" s="15" t="s">
        <v>47</v>
      </c>
      <c r="AN7" s="18"/>
      <c r="AO7" s="19">
        <f>IF(AL7="","",IF(StaticData.Today=TODAY(),_xll.BDP(AL7,"BID"),_xll.BDH(AL7,"BID",StaticData.Today,StaticData.Today)))</f>
        <v>-54</v>
      </c>
      <c r="AP7" s="19">
        <f>IF(AL7="","",IF(StaticData.Today=TODAY(),_xll.BDP(AL7,"ASK"),_xll.BDH(AL7,"ASK",StaticData.Today,StaticData.Today)))</f>
        <v>-44</v>
      </c>
      <c r="AQ7" s="179">
        <f>IF(AL7="","",IF(StaticData.Today=TODAY(),_xll.BDP(AL7,"PX_LAST"),_xll.BDH(AL7,"PX_LAST",StaticData.Today,StaticData.Today)))</f>
        <v>-49</v>
      </c>
      <c r="AR7" s="180">
        <f>AQ7</f>
        <v>-49</v>
      </c>
      <c r="AT7" s="24" t="s">
        <v>934</v>
      </c>
      <c r="AU7" s="15"/>
      <c r="AV7" s="18"/>
      <c r="AW7" s="196">
        <f>IF(AT7="","",IF(StaticData.Today=TODAY(),_xll.BDP(AT7,"BID"),_xll.BDH(AT7,"BID",StaticData.Today,StaticData.Today)))</f>
        <v>3.7507999999999999</v>
      </c>
      <c r="AX7" s="196">
        <f>IF(AT7="","",IF(StaticData.Today=TODAY(),_xll.BDP(AT7,"ASK"),_xll.BDH(AT7,"ASK",StaticData.Today,StaticData.Today)))</f>
        <v>3.7509999999999999</v>
      </c>
      <c r="AY7" s="197">
        <f>IF(AT7="","",IF(StaticData.Today=TODAY(),_xll.BDP(AT7,"PX_LAST"),_xll.BDH(AT7,"PX_LAST",StaticData.Today,StaticData.Today)))</f>
        <v>3.7509000000000001</v>
      </c>
      <c r="AZ7" s="180"/>
    </row>
    <row r="8" spans="1:82" x14ac:dyDescent="0.25">
      <c r="B8" s="21" t="str">
        <f>O3</f>
        <v>SAR_3M</v>
      </c>
      <c r="C8" s="22">
        <f>COUNTA(O7:O48)</f>
        <v>18</v>
      </c>
      <c r="D8" s="22">
        <f>COUNT(T7:T48)</f>
        <v>18</v>
      </c>
      <c r="E8" s="23">
        <f t="shared" si="0"/>
        <v>0</v>
      </c>
      <c r="G8" s="24"/>
      <c r="H8" s="25" t="s">
        <v>305</v>
      </c>
      <c r="I8" s="25"/>
      <c r="J8" s="187"/>
      <c r="K8" s="187"/>
      <c r="L8" s="26"/>
      <c r="M8" s="27"/>
      <c r="O8" s="24" t="s">
        <v>600</v>
      </c>
      <c r="P8" s="25" t="s">
        <v>300</v>
      </c>
      <c r="Q8" s="28"/>
      <c r="R8" s="29"/>
      <c r="S8" s="29"/>
      <c r="T8" s="30">
        <f>IF(O8="","",IF(StaticData.Today=TODAY(),_xll.BDP(O8,"LAST_PRICE"),_xll.BDH(O8,"LAST_PRICE",StaticData.Today,StaticData.Today)))</f>
        <v>0.72499999999999998</v>
      </c>
      <c r="U8" s="183">
        <f>T8/100</f>
        <v>7.2499999999999995E-3</v>
      </c>
      <c r="W8" s="24" t="str">
        <f t="shared" ref="W8:W10" si="2">O8</f>
        <v>SAIB1M Index</v>
      </c>
      <c r="X8" s="25" t="str">
        <f t="shared" ref="X8:X10" si="3">P8</f>
        <v>1M</v>
      </c>
      <c r="Y8" s="191">
        <f>T8</f>
        <v>0.72499999999999998</v>
      </c>
      <c r="Z8" s="27">
        <f>U8</f>
        <v>7.2499999999999995E-3</v>
      </c>
      <c r="AB8" s="24" t="str">
        <f t="shared" si="1"/>
        <v>SAIB1M Index</v>
      </c>
      <c r="AC8" s="25" t="str">
        <f t="shared" si="1"/>
        <v>1M</v>
      </c>
      <c r="AD8" s="26">
        <f t="shared" si="1"/>
        <v>0.72499999999999998</v>
      </c>
      <c r="AE8" s="27">
        <f t="shared" si="1"/>
        <v>7.2499999999999995E-3</v>
      </c>
      <c r="AG8" s="24" t="str">
        <f>"SRSSUS0I"&amp;$AG$2&amp;" Curncy"</f>
        <v>SRSSUS0I GMGM Curncy</v>
      </c>
      <c r="AH8" s="25" t="s">
        <v>376</v>
      </c>
      <c r="AI8" s="26">
        <f>IF(AG8="","",IF(StaticData.Today=TODAY(),_xll.BDP(AG8,"LAST_PRICE"),_xll.BDH(AG8,"LAST_PRICE",StaticData.Today,StaticData.Today)))</f>
        <v>68</v>
      </c>
      <c r="AJ8" s="27"/>
      <c r="AL8" s="24" t="str">
        <f>"SRUSSW2"&amp;$AL$2&amp;" Curncy"</f>
        <v>SRUSSW2 GMGM Curncy</v>
      </c>
      <c r="AM8" s="25" t="s">
        <v>308</v>
      </c>
      <c r="AN8" s="28"/>
      <c r="AO8" s="29">
        <f>IF(AL8="","",IF(StaticData.Today=TODAY(),_xll.BDP(AL8,"BID"),_xll.BDH(AL8,"BID",StaticData.Today,StaticData.Today)))</f>
        <v>-65</v>
      </c>
      <c r="AP8" s="29">
        <f>IF(AL8="","",IF(StaticData.Today=TODAY(),_xll.BDP(AL8,"ASK"),_xll.BDH(AL8,"ASK",StaticData.Today,StaticData.Today)))</f>
        <v>-50</v>
      </c>
      <c r="AQ8" s="177">
        <f>IF(AL8="","",IF(StaticData.Today=TODAY(),_xll.BDP(AL8,"PX_LAST"),_xll.BDH(AL8,"PX_LAST",StaticData.Today,StaticData.Today)))</f>
        <v>-57.5</v>
      </c>
      <c r="AR8" s="181">
        <f>AQ8</f>
        <v>-57.5</v>
      </c>
      <c r="AT8" s="24" t="str">
        <f t="shared" ref="AT8:AT20" si="4">"SAR"&amp;AU8&amp;$AT$1&amp;" Curncy"</f>
        <v>SARON GMGM Curncy</v>
      </c>
      <c r="AU8" s="25" t="s">
        <v>298</v>
      </c>
      <c r="AV8" s="28"/>
      <c r="AW8" s="196">
        <f>IF(AT8="","",IF(StaticData.Today=TODAY(),_xll.BDP(AT8,"BID"),_xll.BDH(AT8,"BID",StaticData.Today,StaticData.Today)))</f>
        <v>-0.4</v>
      </c>
      <c r="AX8" s="196">
        <f>IF(AT8="","",IF(StaticData.Today=TODAY(),_xll.BDP(AT8,"ASK"),_xll.BDH(AT8,"ASK",StaticData.Today,StaticData.Today)))</f>
        <v>0.4</v>
      </c>
      <c r="AY8" s="197">
        <f>IF(AT8="","",IF(StaticData.Today=TODAY(),_xll.BDP(AT8,"PX_LAST"),_xll.BDH(AT8,"PX_LAST",StaticData.Today,StaticData.Today)))</f>
        <v>0</v>
      </c>
      <c r="AZ8" s="180">
        <f t="shared" ref="AZ8:AZ13" si="5">AY8</f>
        <v>0</v>
      </c>
    </row>
    <row r="9" spans="1:82" x14ac:dyDescent="0.25">
      <c r="B9" s="21" t="s">
        <v>511</v>
      </c>
      <c r="C9" s="22">
        <f>COUNTA(O11:O18)*2</f>
        <v>16</v>
      </c>
      <c r="D9" s="22">
        <f>COUNT(R11:S18)</f>
        <v>14</v>
      </c>
      <c r="E9" s="23">
        <f t="shared" si="0"/>
        <v>2</v>
      </c>
      <c r="G9" s="24"/>
      <c r="H9" s="25" t="s">
        <v>313</v>
      </c>
      <c r="I9" s="25"/>
      <c r="J9" s="187"/>
      <c r="K9" s="187"/>
      <c r="L9" s="26"/>
      <c r="M9" s="27"/>
      <c r="O9" s="24" t="s">
        <v>601</v>
      </c>
      <c r="P9" s="25" t="s">
        <v>49</v>
      </c>
      <c r="Q9" s="28"/>
      <c r="R9" s="29"/>
      <c r="S9" s="29"/>
      <c r="T9" s="30">
        <f>IF(O9="","",IF(StaticData.Today=TODAY(),_xll.BDP(O9,"LAST_PRICE"),_xll.BDH(O9,"LAST_PRICE",StaticData.Today,StaticData.Today)))</f>
        <v>0.89</v>
      </c>
      <c r="U9" s="183">
        <f>T9/100</f>
        <v>8.8999999999999999E-3</v>
      </c>
      <c r="W9" s="24" t="str">
        <f t="shared" si="2"/>
        <v>SAIB3M Index</v>
      </c>
      <c r="X9" s="25" t="str">
        <f t="shared" si="3"/>
        <v>3M</v>
      </c>
      <c r="Y9" s="191">
        <f t="shared" ref="Y9:Y10" si="6">T9</f>
        <v>0.89</v>
      </c>
      <c r="Z9" s="27">
        <f t="shared" ref="Z9:Z10" si="7">U9</f>
        <v>8.8999999999999999E-3</v>
      </c>
      <c r="AB9" s="24" t="str">
        <f>"SRBSVC"&amp;$AB$2&amp;" Curncy"</f>
        <v>SRBSVC GMGM Curncy</v>
      </c>
      <c r="AC9" s="25" t="s">
        <v>49</v>
      </c>
      <c r="AD9" s="26">
        <f>IF(AB9="","",IF(StaticData.Today=TODAY(),_xll.BDP(AB9,"MID"),_xll.BDH(AB9,"MID",StaticData.Today,StaticData.Today)))</f>
        <v>17</v>
      </c>
      <c r="AE9" s="27">
        <f t="shared" ref="AE9:AE11" si="8">AD9/10000</f>
        <v>1.6999999999999999E-3</v>
      </c>
      <c r="AG9" s="24" t="str">
        <f>"SRSSUS1"&amp;$AG$2&amp;" Curncy"</f>
        <v>SRSSUS1 GMGM Curncy</v>
      </c>
      <c r="AH9" s="25" t="s">
        <v>47</v>
      </c>
      <c r="AI9" s="26">
        <f>IF(AG9="","",IF(StaticData.Today=TODAY(),_xll.BDP(AG9,"LAST_PRICE"),_xll.BDH(AG9,"LAST_PRICE",StaticData.Today,StaticData.Today)))</f>
        <v>69</v>
      </c>
      <c r="AJ9" s="27"/>
      <c r="AL9" s="24" t="str">
        <f>"SRUSSW3"&amp;$AL$2&amp;" Curncy"</f>
        <v>SRUSSW3 GMGM Curncy</v>
      </c>
      <c r="AM9" s="25" t="s">
        <v>316</v>
      </c>
      <c r="AN9" s="28"/>
      <c r="AO9" s="29">
        <f>IF(AL9="","",IF(StaticData.Today=TODAY(),_xll.BDP(AL9,"BID"),_xll.BDH(AL9,"BID",StaticData.Today,StaticData.Today)))</f>
        <v>-73</v>
      </c>
      <c r="AP9" s="29">
        <f>IF(AL9="","",IF(StaticData.Today=TODAY(),_xll.BDP(AL9,"ASK"),_xll.BDH(AL9,"ASK",StaticData.Today,StaticData.Today)))</f>
        <v>-58</v>
      </c>
      <c r="AQ9" s="177">
        <f>IF(AL9="","",IF(StaticData.Today=TODAY(),_xll.BDP(AL9,"PX_LAST"),_xll.BDH(AL9,"PX_LAST",StaticData.Today,StaticData.Today)))</f>
        <v>-65.5</v>
      </c>
      <c r="AR9" s="181">
        <f>AQ9</f>
        <v>-65.5</v>
      </c>
      <c r="AT9" s="24" t="str">
        <f t="shared" si="4"/>
        <v>SARTN GMGM Curncy</v>
      </c>
      <c r="AU9" s="25" t="s">
        <v>506</v>
      </c>
      <c r="AV9" s="28"/>
      <c r="AW9" s="196">
        <f>IF(AT9="","",IF(StaticData.Today=TODAY(),_xll.BDP(AT9,"BID"),_xll.BDH(AT9,"BID",StaticData.Today,StaticData.Today)))</f>
        <v>-0.3</v>
      </c>
      <c r="AX9" s="196">
        <f>IF(AT9="","",IF(StaticData.Today=TODAY(),_xll.BDP(AT9,"ASK"),_xll.BDH(AT9,"ASK",StaticData.Today,StaticData.Today)))</f>
        <v>0.5</v>
      </c>
      <c r="AY9" s="197">
        <f>IF(AT9="","",IF(StaticData.Today=TODAY(),_xll.BDP(AT9,"PX_LAST"),_xll.BDH(AT9,"PX_LAST",StaticData.Today,StaticData.Today)))</f>
        <v>0.1</v>
      </c>
      <c r="AZ9" s="180">
        <f t="shared" si="5"/>
        <v>0.1</v>
      </c>
      <c r="BD9" t="s">
        <v>1467</v>
      </c>
      <c r="BE9" t="s">
        <v>1468</v>
      </c>
      <c r="BF9" t="s">
        <v>1469</v>
      </c>
      <c r="BG9" t="s">
        <v>1470</v>
      </c>
      <c r="BH9" t="s">
        <v>1471</v>
      </c>
      <c r="BJ9" t="s">
        <v>429</v>
      </c>
      <c r="BK9" t="s">
        <v>1468</v>
      </c>
      <c r="BL9" t="s">
        <v>429</v>
      </c>
      <c r="BM9" t="s">
        <v>1471</v>
      </c>
      <c r="BN9" t="s">
        <v>1472</v>
      </c>
      <c r="BP9" t="s">
        <v>429</v>
      </c>
      <c r="BQ9" t="s">
        <v>1468</v>
      </c>
      <c r="BR9" t="s">
        <v>1482</v>
      </c>
      <c r="BT9" t="s">
        <v>1471</v>
      </c>
      <c r="BU9" t="s">
        <v>1473</v>
      </c>
      <c r="BV9" t="s">
        <v>1474</v>
      </c>
      <c r="BX9" t="s">
        <v>291</v>
      </c>
      <c r="BY9" t="s">
        <v>1477</v>
      </c>
      <c r="BZ9" t="s">
        <v>1476</v>
      </c>
      <c r="CA9" t="s">
        <v>1478</v>
      </c>
      <c r="CB9" t="s">
        <v>1479</v>
      </c>
      <c r="CC9" t="s">
        <v>1480</v>
      </c>
      <c r="CD9" t="s">
        <v>1481</v>
      </c>
    </row>
    <row r="10" spans="1:82" x14ac:dyDescent="0.25">
      <c r="B10" s="21" t="s">
        <v>283</v>
      </c>
      <c r="C10" s="22">
        <f>COUNTA(W7:W52)</f>
        <v>11</v>
      </c>
      <c r="D10" s="22">
        <f>COUNT(Y7:Y52)</f>
        <v>11</v>
      </c>
      <c r="E10" s="23">
        <f t="shared" si="0"/>
        <v>0</v>
      </c>
      <c r="G10" s="24"/>
      <c r="H10" s="25" t="s">
        <v>300</v>
      </c>
      <c r="I10" s="25"/>
      <c r="J10" s="187"/>
      <c r="K10" s="187"/>
      <c r="L10" s="26"/>
      <c r="M10" s="27"/>
      <c r="O10" s="24" t="s">
        <v>602</v>
      </c>
      <c r="P10" s="25" t="s">
        <v>46</v>
      </c>
      <c r="Q10" s="28"/>
      <c r="R10" s="29"/>
      <c r="S10" s="29"/>
      <c r="T10" s="30">
        <f>IF(O10="","",IF(StaticData.Today=TODAY(),_xll.BDP(O10,"LAST_PRICE"),_xll.BDH(O10,"LAST_PRICE",StaticData.Today,StaticData.Today)))</f>
        <v>0.94</v>
      </c>
      <c r="U10" s="183">
        <f>T10/100</f>
        <v>9.3999999999999986E-3</v>
      </c>
      <c r="W10" s="24" t="str">
        <f t="shared" si="2"/>
        <v>SAIB6M Index</v>
      </c>
      <c r="X10" s="25" t="str">
        <f t="shared" si="3"/>
        <v>6M</v>
      </c>
      <c r="Y10" s="191">
        <f t="shared" si="6"/>
        <v>0.94</v>
      </c>
      <c r="Z10" s="27">
        <f t="shared" si="7"/>
        <v>9.3999999999999986E-3</v>
      </c>
      <c r="AB10" s="24" t="str">
        <f>"SRBSVD"&amp;$AB$2&amp;" Curncy"</f>
        <v>SRBSVD GMGM Curncy</v>
      </c>
      <c r="AC10" s="25" t="s">
        <v>46</v>
      </c>
      <c r="AD10" s="26">
        <f>IF(AB10="","",IF(StaticData.Today=TODAY(),_xll.BDP(AB10,"MID"),_xll.BDH(AB10,"LAST_PRICE",StaticData.Today,StaticData.Today)))</f>
        <v>18</v>
      </c>
      <c r="AE10" s="27">
        <f t="shared" si="8"/>
        <v>1.8E-3</v>
      </c>
      <c r="AG10" s="24" t="str">
        <f>"SRSSUS2"&amp;$AG$2&amp;" Curncy"</f>
        <v>SRSSUS2 GMGM Curncy</v>
      </c>
      <c r="AH10" s="25" t="s">
        <v>308</v>
      </c>
      <c r="AI10" s="26">
        <f>IF(AG10="","",IF(StaticData.Today=TODAY(),_xll.BDP(AG10,"LAST_PRICE"),_xll.BDH(AG10,"LAST_PRICE",StaticData.Today,StaticData.Today)))</f>
        <v>86</v>
      </c>
      <c r="AJ10" s="27"/>
      <c r="AL10" s="24" t="str">
        <f>"SRUSSW4"&amp;$AL$2&amp;" Curncy"</f>
        <v>SRUSSW4 GMGM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-83</v>
      </c>
      <c r="AP10" s="29">
        <f>IF(AL10="","",IF(StaticData.Today=TODAY(),_xll.BDP(AL10,"ASK"),_xll.BDH(AL10,"ASK",StaticData.Today,StaticData.Today)))</f>
        <v>-68</v>
      </c>
      <c r="AQ10" s="177">
        <f>IF(AL10="","",IF(StaticData.Today=TODAY(),_xll.BDP(AL10,"PX_LAST"),_xll.BDH(AL10,"PX_LAST",StaticData.Today,StaticData.Today)))</f>
        <v>-75.5</v>
      </c>
      <c r="AR10" s="181">
        <f>AQ10</f>
        <v>-75.5</v>
      </c>
      <c r="AT10" s="24" t="str">
        <f t="shared" si="4"/>
        <v>SAR1W GMGM Curncy</v>
      </c>
      <c r="AU10" s="25" t="s">
        <v>305</v>
      </c>
      <c r="AV10" s="28"/>
      <c r="AW10" s="196">
        <f>IF(AT10="","",IF(StaticData.Today=TODAY(),_xll.BDP(AT10,"BID"),_xll.BDH(AT10,"BID",StaticData.Today,StaticData.Today)))</f>
        <v>0</v>
      </c>
      <c r="AX10" s="196">
        <f>IF(AT10="","",IF(StaticData.Today=TODAY(),_xll.BDP(AT10,"ASK"),_xll.BDH(AT10,"ASK",StaticData.Today,StaticData.Today)))</f>
        <v>1</v>
      </c>
      <c r="AY10" s="196">
        <f>IF(AT10="","",IF(StaticData.Today=TODAY(),_xll.BDP(AT10,"PX_LAST"),_xll.BDH(AT10,"PX_LAST",StaticData.Today,StaticData.Today)))</f>
        <v>0.5</v>
      </c>
      <c r="AZ10" s="181">
        <f t="shared" si="5"/>
        <v>0.5</v>
      </c>
      <c r="BD10" t="s">
        <v>47</v>
      </c>
      <c r="BE10" s="200">
        <f>_xll.meDateFromTenor('STATIC DATA'!$X$9,SAR_DATA!BD10,,"RIB")</f>
        <v>44450</v>
      </c>
      <c r="BF10" s="207">
        <f>_xll.meUtilityInterpolation($N$17:$N$24,$U$17:$U$24,BE10,"SPLINE")</f>
        <v>9.2800000000000001E-3</v>
      </c>
      <c r="BG10">
        <f>BE10-'STATIC DATA'!X9</f>
        <v>365</v>
      </c>
      <c r="BH10">
        <f>1/(1+BG10/360*BF10)</f>
        <v>0.99067881312275174</v>
      </c>
      <c r="BJ10" t="s">
        <v>836</v>
      </c>
      <c r="BK10" s="200">
        <f>'STATIC DATA'!X9</f>
        <v>44085</v>
      </c>
      <c r="BL10" s="392">
        <f>(BK10-$BK$10)/365.25</f>
        <v>0</v>
      </c>
      <c r="BM10">
        <v>1</v>
      </c>
      <c r="BN10" s="207">
        <f>BN11</f>
        <v>7.3535080180657545E-3</v>
      </c>
      <c r="BP10" t="s">
        <v>836</v>
      </c>
      <c r="BQ10" s="200">
        <f>'STATIC DATA'!C9</f>
        <v>44085</v>
      </c>
      <c r="BR10" s="200"/>
      <c r="BT10" s="392">
        <v>1</v>
      </c>
      <c r="BU10">
        <f>_xll.meCurveDiscountFactorsForwardStarting($BQ$10,BQ10,"USDYC","USD6ML")</f>
        <v>1</v>
      </c>
      <c r="BV10">
        <v>1</v>
      </c>
      <c r="BX10" t="s">
        <v>836</v>
      </c>
      <c r="BY10" s="200">
        <f>'STATIC DATA'!X9</f>
        <v>44085</v>
      </c>
      <c r="BZ10">
        <v>0</v>
      </c>
      <c r="CA10">
        <f>BV10</f>
        <v>1</v>
      </c>
      <c r="CB10">
        <f>CA10</f>
        <v>1</v>
      </c>
      <c r="CC10" s="207">
        <f>CC11</f>
        <v>9.3999999999997523E-3</v>
      </c>
    </row>
    <row r="11" spans="1:82" x14ac:dyDescent="0.25">
      <c r="B11" s="21" t="s">
        <v>284</v>
      </c>
      <c r="C11" s="22">
        <f>COUNTA(AB12:AB53)</f>
        <v>7</v>
      </c>
      <c r="D11" s="22">
        <f>COUNT(AD12:AD53)</f>
        <v>7</v>
      </c>
      <c r="E11" s="23">
        <f t="shared" si="0"/>
        <v>0</v>
      </c>
      <c r="G11" s="24"/>
      <c r="H11" s="25" t="s">
        <v>335</v>
      </c>
      <c r="I11" s="25"/>
      <c r="J11" s="187"/>
      <c r="K11" s="187"/>
      <c r="L11" s="26"/>
      <c r="M11" s="27"/>
      <c r="O11" s="24" t="s">
        <v>603</v>
      </c>
      <c r="P11" s="25" t="s">
        <v>322</v>
      </c>
      <c r="Q11" s="31"/>
      <c r="R11" s="182"/>
      <c r="S11" s="182"/>
      <c r="T11" s="30">
        <f>IF(O11="","",IF(StaticData.Today=TODAY(),_xll.BDP(O11,"LAST_PRICE"),_xll.BDH(O11,"LAST_PRICE",StaticData.Today,StaticData.Today)))</f>
        <v>0.99375000000000002</v>
      </c>
      <c r="U11" s="183">
        <f>T11/100</f>
        <v>9.9375000000000002E-3</v>
      </c>
      <c r="W11" s="24" t="str">
        <f>"SRBS1"&amp;$W$2&amp;" Curncy"</f>
        <v>SRBS1 GFID Curncy</v>
      </c>
      <c r="X11" s="25" t="s">
        <v>47</v>
      </c>
      <c r="Y11" s="191">
        <f>IF(W11="","",IF(StaticData.Today=TODAY(),_xll.BDP(W11,"LAST_PRICE"),_xll.BDH(W11,"LAST_PRICE",StaticData.Today,StaticData.Today)))</f>
        <v>11</v>
      </c>
      <c r="Z11" s="27">
        <f>Y11/10000</f>
        <v>1.1000000000000001E-3</v>
      </c>
      <c r="AB11" s="24" t="str">
        <f>"SRBSVE"&amp;$AB$2&amp;" Curncy"</f>
        <v>SRBSVE GMGM Curncy</v>
      </c>
      <c r="AC11" s="25" t="s">
        <v>376</v>
      </c>
      <c r="AD11" s="26">
        <f>IF(AB11="","",IF(StaticData.Today=TODAY(),_xll.BDP(AB11,"MID"),_xll.BDH(AB11,"MID",StaticData.Today,StaticData.Today)))</f>
        <v>16.5</v>
      </c>
      <c r="AE11" s="27">
        <f t="shared" si="8"/>
        <v>1.65E-3</v>
      </c>
      <c r="AG11" s="24" t="str">
        <f>"SRSSUS3"&amp;$AG$2&amp;" Curncy"</f>
        <v>SRSSUS3 GMGM Curncy</v>
      </c>
      <c r="AH11" s="25" t="s">
        <v>316</v>
      </c>
      <c r="AI11" s="26">
        <f>IF(AG11="","",IF(StaticData.Today=TODAY(),_xll.BDP(AG11,"LAST_PRICE"),_xll.BDH(AG11,"LAST_PRICE",StaticData.Today,StaticData.Today)))</f>
        <v>104</v>
      </c>
      <c r="AJ11" s="27"/>
      <c r="AL11" s="24" t="str">
        <f>"SRUSSW5"&amp;$AL$2&amp;" Curncy"</f>
        <v>SRUSSW5 GMGM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-93</v>
      </c>
      <c r="AP11" s="29">
        <f>IF(AL11="","",IF(StaticData.Today=TODAY(),_xll.BDP(AL11,"ASK"),_xll.BDH(AL11,"ASK",StaticData.Today,StaticData.Today)))</f>
        <v>-78</v>
      </c>
      <c r="AQ11" s="177">
        <f>IF(AL11="","",IF(StaticData.Today=TODAY(),_xll.BDP(AL11,"LAST_PRICE"),_xll.BDH(AL11,"LAST_PRICE",StaticData.Today,StaticData.Today)))</f>
        <v>-85.5</v>
      </c>
      <c r="AR11" s="181">
        <f>AQ11</f>
        <v>-85.5</v>
      </c>
      <c r="AT11" s="24" t="str">
        <f t="shared" si="4"/>
        <v>SAR1M GMGM Curncy</v>
      </c>
      <c r="AU11" s="25" t="s">
        <v>300</v>
      </c>
      <c r="AV11" s="28"/>
      <c r="AW11" s="196">
        <f>IF(AT11="","",IF(StaticData.Today=TODAY(),_xll.BDP(AT11,"BID"),_xll.BDH(AT11,"BID",StaticData.Today,StaticData.Today)))</f>
        <v>-0.5</v>
      </c>
      <c r="AX11" s="196">
        <f>IF(AT11="","",IF(StaticData.Today=TODAY(),_xll.BDP(AT11,"ASK"),_xll.BDH(AT11,"ASK",StaticData.Today,StaticData.Today)))</f>
        <v>5.5</v>
      </c>
      <c r="AY11" s="196">
        <f>IF(AT11="","",IF(StaticData.Today=TODAY(),_xll.BDP(AT11,"PX_LAST"),_xll.BDH(AT11,"PX_LAST",StaticData.Today,StaticData.Today)))</f>
        <v>3</v>
      </c>
      <c r="AZ11" s="181">
        <f t="shared" si="5"/>
        <v>3</v>
      </c>
      <c r="BD11" t="s">
        <v>308</v>
      </c>
      <c r="BE11" s="200">
        <f>_xll.meDateFromTenor('STATIC DATA'!$X$9,SAR_DATA!BD11,,"RIB")</f>
        <v>44815</v>
      </c>
      <c r="BF11" s="207">
        <f>_xll.meUtilityInterpolation($N$17:$N$24,$U$17:$U$24,BE11,"SPLINE")</f>
        <v>1.086E-2</v>
      </c>
      <c r="BG11">
        <f>BE11-BE10</f>
        <v>365</v>
      </c>
      <c r="BH11">
        <f>(1-BF11*SUMPRODUCT(BG$10:BG10,BH$10:BH10)/360)/(1+BG11/360*BF11)</f>
        <v>0.97831968569592398</v>
      </c>
      <c r="BJ11" t="s">
        <v>300</v>
      </c>
      <c r="BK11" s="200">
        <f>_xll.meDateFromTenor($BK$10,BJ11,,"RIB")</f>
        <v>44115</v>
      </c>
      <c r="BL11" s="392">
        <f t="shared" ref="BL11" si="9">(BK11-$BK$10)/365.25</f>
        <v>8.2135523613963035E-2</v>
      </c>
      <c r="BM11" s="508">
        <f>1/(1+(BK11-$BK$10)/360*U8)</f>
        <v>0.99939619813029623</v>
      </c>
      <c r="BN11" s="207">
        <f>-LN(BM11)/BL11</f>
        <v>7.3535080180657545E-3</v>
      </c>
      <c r="BP11" t="s">
        <v>300</v>
      </c>
      <c r="BQ11" s="200">
        <f>_xll.meDateFromTenor($BQ$10,BP11,,"RIB:LNB:NYB")</f>
        <v>44115</v>
      </c>
      <c r="BR11" s="207">
        <f>_xll.meLWOSwapParRate(_xll.meLWOSwapCreateFromGenerator("TEST","USD_3ML_ANNUAL_ACT360","PAY",1000000,$BQ$10,BQ11,1%,0),"USDYC")</f>
        <v>1.5549999999892039E-3</v>
      </c>
      <c r="BT11" s="433">
        <f t="shared" ref="BT11:BT13" si="10">1/(1+BR11*(BQ11-$BQ$10)/360)</f>
        <v>0.99987043345633231</v>
      </c>
      <c r="BU11">
        <f>_xll.meCurveDiscountFactorsForwardStarting($BQ$10,BQ11,"USDYC","USD6ML")</f>
        <v>0.9997414676719425</v>
      </c>
      <c r="BV11">
        <f>BT11*FX!$S$2/(FX!$S$2+AZ11/10000)</f>
        <v>0.9997904694101506</v>
      </c>
      <c r="BX11" t="s">
        <v>46</v>
      </c>
      <c r="BY11" s="200">
        <f>_xll.meDateFromTenor($BY$10,BX11,,"RIB:NYB:LNB")</f>
        <v>44266</v>
      </c>
      <c r="BZ11">
        <f>(BY11-BY10)/360</f>
        <v>0.50277777777777777</v>
      </c>
      <c r="CA11">
        <f>_xll.meUtilityInterpolation($BQ$10:$BQ$24,$BV$10:$BV$24,BY11,"SPLINE")</f>
        <v>0.99787309591978601</v>
      </c>
      <c r="CB11">
        <f>_xll.meUtilityInterpolation($BK$10:$BK$24,$BM$10:$BM$24,BY11,"SPLINE")</f>
        <v>0.99529611994866496</v>
      </c>
      <c r="CC11" s="207">
        <f>(CB10/CB11-1)/BZ11</f>
        <v>9.3999999999997523E-3</v>
      </c>
      <c r="CD11" s="207">
        <f>(1-CA11-SUMPRODUCT(CA$10:CA11,BZ$10:BZ11,CC$10:CC11))/SUMPRODUCT(BZ$10:BZ11,BZ$10:BZ11)</f>
        <v>-1.024249851797881E-2</v>
      </c>
    </row>
    <row r="12" spans="1:82" x14ac:dyDescent="0.25">
      <c r="B12" s="21" t="s">
        <v>285</v>
      </c>
      <c r="C12" s="22">
        <f>COUNTA(AG7:AG48)</f>
        <v>9</v>
      </c>
      <c r="D12" s="22">
        <f>COUNT(AI7:AI48)</f>
        <v>9</v>
      </c>
      <c r="E12" s="23">
        <f t="shared" si="0"/>
        <v>0</v>
      </c>
      <c r="G12" s="24"/>
      <c r="H12" s="25" t="s">
        <v>49</v>
      </c>
      <c r="I12" s="25"/>
      <c r="J12" s="187"/>
      <c r="K12" s="187"/>
      <c r="L12" s="26"/>
      <c r="M12" s="27"/>
      <c r="O12" s="24" t="str">
        <f>"SRFR0AD"&amp;$O$1&amp;" Curncy"</f>
        <v>SRFR0AD GMGM Curncy</v>
      </c>
      <c r="P12" s="25" t="s">
        <v>565</v>
      </c>
      <c r="Q12" s="31" t="s">
        <v>494</v>
      </c>
      <c r="R12" s="182">
        <f>IF(O12="","",IF(StaticData.Today=TODAY(),_xll.BDP(O12,"BID"),_xll.BDH(O12,"BID",StaticData.Today,StaticData.Today)))</f>
        <v>0.87</v>
      </c>
      <c r="S12" s="182">
        <f>IF(O12="","",IF(StaticData.Today=TODAY(),_xll.BDP(O12,"ASK"),_xll.BDH(O12,"ASK",StaticData.Today,StaticData.Today)))</f>
        <v>0.95</v>
      </c>
      <c r="T12" s="30">
        <f>IF(O12="","",IF(StaticData.Today=TODAY(),_xll.BDP(O12,"LAST_PRICE"),_xll.BDH(O12,"LAST_PRICE",StaticData.Today,StaticData.Today)))</f>
        <v>0.91</v>
      </c>
      <c r="U12" s="183">
        <f t="shared" ref="U12:U24" si="11">T12/100</f>
        <v>9.1000000000000004E-3</v>
      </c>
      <c r="W12" s="24" t="str">
        <f>"SRBS2"&amp;$W$2&amp;" Curncy"</f>
        <v>SRBS2 GFID Curncy</v>
      </c>
      <c r="X12" s="25" t="s">
        <v>308</v>
      </c>
      <c r="Y12" s="191">
        <f>IF(W12="","",IF(StaticData.Today=TODAY(),_xll.BDP(W12,"LAST_PRICE"),_xll.BDH(W12,"LAST_PRICE",StaticData.Today,StaticData.Today)))</f>
        <v>12</v>
      </c>
      <c r="Z12" s="27">
        <f>Y12/10000</f>
        <v>1.1999999999999999E-3</v>
      </c>
      <c r="AB12" s="14" t="str">
        <f>"SRBSV1"&amp;$AB$2&amp;" Curncy"</f>
        <v>SRBSV1 GMGM Curncy</v>
      </c>
      <c r="AC12" s="15" t="s">
        <v>47</v>
      </c>
      <c r="AD12" s="16">
        <f>IF(AB12="","",IF(StaticData.Today=TODAY(),_xll.BDP(AB12,"MID"),_xll.BDH(AB12,"MID",StaticData.Today,StaticData.Today)))</f>
        <v>15.5</v>
      </c>
      <c r="AE12" s="17">
        <f>AD12/10000</f>
        <v>1.5499999999999999E-3</v>
      </c>
      <c r="AG12" s="24" t="str">
        <f>"SRSSUS4"&amp;$AG$2&amp;" Curncy"</f>
        <v>SRSSUS4 GMGM Curncy</v>
      </c>
      <c r="AH12" s="25" t="s">
        <v>324</v>
      </c>
      <c r="AI12" s="26">
        <f>IF(AG12="","",IF(StaticData.Today=TODAY(),_xll.BDP(AG12,"LAST_PRICE"),_xll.BDH(AG12,"LAST_PRICE",StaticData.Today,StaticData.Today)))</f>
        <v>119</v>
      </c>
      <c r="AJ12" s="27"/>
      <c r="AL12" s="24" t="str">
        <f>"SRUSSW7"&amp;$AL$2&amp;" Curncy"</f>
        <v>SRUSSW7 GMGM Curncy</v>
      </c>
      <c r="AM12" s="25" t="s">
        <v>342</v>
      </c>
      <c r="AN12" s="31"/>
      <c r="AO12" s="29">
        <f>IF(AL12="","",IF(StaticData.Today=TODAY(),_xll.BDP(AL12,"BID"),_xll.BDH(AL12,"BID",StaticData.Today,StaticData.Today)))</f>
        <v>-114</v>
      </c>
      <c r="AP12" s="29">
        <f>IF(AL12="","",IF(StaticData.Today=TODAY(),_xll.BDP(AL12,"ASK"),_xll.BDH(AL12,"ASK",StaticData.Today,StaticData.Today)))</f>
        <v>-94</v>
      </c>
      <c r="AQ12" s="177">
        <f>IF(AL12="","",IF(StaticData.Today=TODAY(),_xll.BDP(AL12,"LAST_PRICE"),_xll.BDH(AL12,"LAST_PRICE",StaticData.Today,StaticData.Today)))</f>
        <v>-104</v>
      </c>
      <c r="AR12" s="181">
        <f t="shared" ref="AR12:AR13" si="12">AQ12</f>
        <v>-104</v>
      </c>
      <c r="AT12" s="24" t="str">
        <f t="shared" si="4"/>
        <v>SAR2M GMGM Curncy</v>
      </c>
      <c r="AU12" s="25" t="s">
        <v>335</v>
      </c>
      <c r="AV12" s="28"/>
      <c r="AW12" s="196">
        <f>IF(AT12="","",IF(StaticData.Today=TODAY(),_xll.BDP(AT12,"BID"),_xll.BDH(AT12,"BID",StaticData.Today,StaticData.Today)))</f>
        <v>2.5</v>
      </c>
      <c r="AX12" s="196">
        <f>IF(AT12="","",IF(StaticData.Today=TODAY(),_xll.BDP(AT12,"ASK"),_xll.BDH(AT12,"ASK",StaticData.Today,StaticData.Today)))</f>
        <v>10.5</v>
      </c>
      <c r="AY12" s="196">
        <f>IF(AT12="","",IF(StaticData.Today=TODAY(),_xll.BDP(AT12,"PX_LAST"),_xll.BDH(AT12,"PX_LAST",StaticData.Today,StaticData.Today)))</f>
        <v>7</v>
      </c>
      <c r="AZ12" s="181">
        <f t="shared" si="5"/>
        <v>7</v>
      </c>
      <c r="BD12" t="s">
        <v>316</v>
      </c>
      <c r="BE12" s="200">
        <f>_xll.meDateFromTenor('STATIC DATA'!$X$9,SAR_DATA!BD12,,"RIB")</f>
        <v>45180</v>
      </c>
      <c r="BF12" s="207">
        <f>_xll.meUtilityInterpolation($N$17:$N$24,$U$17:$U$24,BE12,"SPLINE")</f>
        <v>1.278E-2</v>
      </c>
      <c r="BG12">
        <f t="shared" ref="BG12:BG19" si="13">BE12-BE11</f>
        <v>365</v>
      </c>
      <c r="BH12">
        <f>(1-BF12*SUMPRODUCT(BG$10:BG11,BH$10:BH11)/360)/(1+BG12/360*BF12)</f>
        <v>0.96202131081665032</v>
      </c>
      <c r="BJ12" t="s">
        <v>49</v>
      </c>
      <c r="BK12" s="200">
        <f>_xll.meDateFromTenor($BK$10,BJ12,,"RIB")</f>
        <v>44176</v>
      </c>
      <c r="BL12" s="392">
        <f>(BK12-$BK$10)/365.25</f>
        <v>0.24914442162902123</v>
      </c>
      <c r="BM12" s="508">
        <f t="shared" ref="BM12:BM14" si="14">1/(1+(BK12-$BK$10)/360*U9)</f>
        <v>0.99775532766700692</v>
      </c>
      <c r="BN12" s="207">
        <f t="shared" ref="BN12:BN24" si="15">-LN(BM12)/BL12</f>
        <v>9.0196496135326112E-3</v>
      </c>
      <c r="BP12" t="s">
        <v>49</v>
      </c>
      <c r="BQ12" s="200">
        <f>_xll.meDateFromTenor($BQ$10,BP12,,"RIB:LNB:NYB")</f>
        <v>44176</v>
      </c>
      <c r="BR12" s="207">
        <f>_xll.meLWOSwapParRate(_xll.meLWOSwapCreateFromGenerator("TEST","USD_3ML_ANNUAL_ACT360","PAY",1000000,$BQ$10,BQ12,1%,0),"USDYC")</f>
        <v>2.4950000000001603E-3</v>
      </c>
      <c r="BT12" s="433">
        <f t="shared" si="10"/>
        <v>0.99936971695170751</v>
      </c>
      <c r="BU12">
        <f>_xll.meCurveDiscountFactorsForwardStarting($BQ$10,BQ12,"USDYC","USD6ML")</f>
        <v>0.99922451989957817</v>
      </c>
      <c r="BV12">
        <f>BT12*FX!$S$2/(FX!$S$2+AZ13/10000)</f>
        <v>0.99905009762910368</v>
      </c>
      <c r="BX12" t="s">
        <v>322</v>
      </c>
      <c r="BY12" s="200">
        <f>_xll.meDateFromTenor($BY$10,BX12,,"RIB:NYB:LNB")</f>
        <v>44450</v>
      </c>
      <c r="BZ12">
        <f t="shared" ref="BZ12:BZ30" si="16">(BY12-BY11)/360</f>
        <v>0.51111111111111107</v>
      </c>
      <c r="CA12">
        <f>_xll.meUtilityInterpolation($BQ$10:$BQ$24,$BV$10:$BV$24,BY12,"SPLINE")</f>
        <v>0.99560074729835901</v>
      </c>
      <c r="CB12">
        <f>_xll.meUtilityInterpolation($BK$10:$BK$24,$BM$10:$BM$24,BY12,"SPLINE")</f>
        <v>0.99067881312275197</v>
      </c>
      <c r="CC12" s="207">
        <f t="shared" ref="CC12:CC30" si="17">(CB11/CB12-1)/BZ12</f>
        <v>9.1188597772252494E-3</v>
      </c>
      <c r="CD12" s="207">
        <f>(1-CA12-SUMPRODUCT(CA$10:CA12,BZ$10:BZ12,CC$10:CC12))/SUMPRODUCT(BZ$10:BZ12,BZ$10:BZ12)</f>
        <v>-9.6436958922167994E-3</v>
      </c>
    </row>
    <row r="13" spans="1:82" x14ac:dyDescent="0.25">
      <c r="B13" s="21"/>
      <c r="C13" s="22"/>
      <c r="D13" s="22"/>
      <c r="E13" s="22"/>
      <c r="G13" s="24"/>
      <c r="H13" s="25" t="s">
        <v>46</v>
      </c>
      <c r="I13" s="25"/>
      <c r="J13" s="187"/>
      <c r="K13" s="187"/>
      <c r="L13" s="26"/>
      <c r="M13" s="27"/>
      <c r="O13" s="24" t="str">
        <f>"SRFR0BE"&amp;$O$1&amp;" Curncy"</f>
        <v>SRFR0BE GMGM Curncy</v>
      </c>
      <c r="P13" s="25" t="s">
        <v>566</v>
      </c>
      <c r="Q13" s="31" t="s">
        <v>495</v>
      </c>
      <c r="R13" s="182">
        <f>IF(O13="","",IF(StaticData.Today=TODAY(),_xll.BDP(O13,"BID"),_xll.BDH(O13,"BID",StaticData.Today,StaticData.Today)))</f>
        <v>0.89</v>
      </c>
      <c r="S13" s="182">
        <f>IF(O13="","",IF(StaticData.Today=TODAY(),_xll.BDP(O13,"ASK"),_xll.BDH(O13,"ASK",StaticData.Today,StaticData.Today)))</f>
        <v>0.97</v>
      </c>
      <c r="T13" s="30">
        <f>IF(O13="","",IF(StaticData.Today=TODAY(),_xll.BDP(O13,"LAST_PRICE"),_xll.BDH(O13,"LAST_PRICE",StaticData.Today,StaticData.Today)))</f>
        <v>0.93</v>
      </c>
      <c r="U13" s="183">
        <f t="shared" si="11"/>
        <v>9.300000000000001E-3</v>
      </c>
      <c r="W13" s="24" t="str">
        <f>"SRBS3"&amp;$W$2&amp;" Curncy"</f>
        <v>SRBS3 GFID Curncy</v>
      </c>
      <c r="X13" s="25" t="s">
        <v>316</v>
      </c>
      <c r="Y13" s="191">
        <f>IF(W13="","",IF(StaticData.Today=TODAY(),_xll.BDP(W13,"LAST_PRICE"),_xll.BDH(W13,"LAST_PRICE",StaticData.Today,StaticData.Today)))</f>
        <v>13</v>
      </c>
      <c r="Z13" s="27">
        <f t="shared" ref="Z13:Z17" si="18">Y13/10000</f>
        <v>1.2999999999999999E-3</v>
      </c>
      <c r="AB13" s="24" t="str">
        <f>"SRBSV2"&amp;$AB$2&amp;" Curncy"</f>
        <v>SRBSV2 GMGM Curncy</v>
      </c>
      <c r="AC13" s="25" t="s">
        <v>308</v>
      </c>
      <c r="AD13" s="26">
        <f>IF(AB13="","",IF(StaticData.Today=TODAY(),_xll.BDP(AB13,"MID"),_xll.BDH(AB13,"MID",StaticData.Today,StaticData.Today)))</f>
        <v>13.5</v>
      </c>
      <c r="AE13" s="27">
        <f>AD13/10000</f>
        <v>1.3500000000000001E-3</v>
      </c>
      <c r="AG13" s="24" t="str">
        <f>"SRSSUS5"&amp;$AG$2&amp;" Curncy"</f>
        <v>SRSSUS5 GMGM Curncy</v>
      </c>
      <c r="AH13" s="25" t="s">
        <v>331</v>
      </c>
      <c r="AI13" s="26">
        <f>IF(AG13="","",IF(StaticData.Today=TODAY(),_xll.BDP(AG13,"LAST_PRICE"),_xll.BDH(AG13,"LAST_PRICE",StaticData.Today,StaticData.Today)))</f>
        <v>133</v>
      </c>
      <c r="AJ13" s="27"/>
      <c r="AL13" s="24" t="str">
        <f>"SRUSSW10"&amp;$AL$2&amp;" Curncy"</f>
        <v>SRUSSW10 GMGM Curncy</v>
      </c>
      <c r="AM13" s="25" t="s">
        <v>349</v>
      </c>
      <c r="AN13" s="31"/>
      <c r="AO13" s="29">
        <f>IF(AL13="","",IF(StaticData.Today=TODAY(),_xll.BDP(AL13,"BID"),_xll.BDH(AL13,"BID",StaticData.Today,StaticData.Today)))</f>
        <v>-139</v>
      </c>
      <c r="AP13" s="29">
        <f>IF(AL13="","",IF(StaticData.Today=TODAY(),_xll.BDP(AL13,"ASK"),_xll.BDH(AL13,"ASK",StaticData.Today,StaticData.Today)))</f>
        <v>-119</v>
      </c>
      <c r="AQ13" s="177">
        <f>IF(AL13="","",IF(StaticData.Today=TODAY(),_xll.BDP(AL13,"LAST_PRICE"),_xll.BDH(AL13,"LAST_PRICE",StaticData.Today,StaticData.Today)))</f>
        <v>-129</v>
      </c>
      <c r="AR13" s="181">
        <f t="shared" si="12"/>
        <v>-129</v>
      </c>
      <c r="AT13" s="24" t="str">
        <f t="shared" si="4"/>
        <v>SAR3M GMGM Curncy</v>
      </c>
      <c r="AU13" s="25" t="s">
        <v>49</v>
      </c>
      <c r="AV13" s="31"/>
      <c r="AW13" s="196">
        <f>IF(AT13="","",IF(StaticData.Today=TODAY(),_xll.BDP(AT13,"BID"),_xll.BDH(AT13,"BID",StaticData.Today,StaticData.Today)))</f>
        <v>8</v>
      </c>
      <c r="AX13" s="196">
        <f>IF(AT13="","",IF(StaticData.Today=TODAY(),_xll.BDP(AT13,"ASK"),_xll.BDH(AT13,"ASK",StaticData.Today,StaticData.Today)))</f>
        <v>16</v>
      </c>
      <c r="AY13" s="196">
        <f>IF(AT13="","",IF(StaticData.Today=TODAY(),_xll.BDP(AT13,"LAST_PRICE"),_xll.BDH(AT13,"LAST_PRICE",StaticData.Today,StaticData.Today)))</f>
        <v>12</v>
      </c>
      <c r="AZ13" s="181">
        <f t="shared" si="5"/>
        <v>12</v>
      </c>
      <c r="BD13" t="s">
        <v>324</v>
      </c>
      <c r="BE13" s="200">
        <f>_xll.meDateFromTenor('STATIC DATA'!$X$9,SAR_DATA!BD13,,"RIB")</f>
        <v>45546</v>
      </c>
      <c r="BF13" s="207">
        <f>_xll.meUtilityInterpolation($N$17:$N$24,$U$17:$U$24,BE13,"SPLINE")</f>
        <v>1.4630000000000001E-2</v>
      </c>
      <c r="BG13">
        <f t="shared" si="13"/>
        <v>366</v>
      </c>
      <c r="BH13">
        <f>(1-BF13*SUMPRODUCT(BG$10:BG12,BH$10:BH12)/360)/(1+BG13/360*BF13)</f>
        <v>0.94250495167608916</v>
      </c>
      <c r="BJ13" t="s">
        <v>46</v>
      </c>
      <c r="BK13" s="200">
        <f>_xll.meDateFromTenor($BK$10,BJ13,,"RIB")</f>
        <v>44266</v>
      </c>
      <c r="BL13" s="392">
        <f t="shared" ref="BL13:BL24" si="19">(BK13-$BK$10)/365.25</f>
        <v>0.49555099247091033</v>
      </c>
      <c r="BM13" s="508">
        <f t="shared" si="14"/>
        <v>0.99529611994866474</v>
      </c>
      <c r="BN13" s="207">
        <f t="shared" si="15"/>
        <v>9.5146174320017221E-3</v>
      </c>
      <c r="BP13" t="s">
        <v>46</v>
      </c>
      <c r="BQ13" s="200">
        <f>_xll.meDateFromTenor($BQ$10,BP13,,"RIB:LNB:NYB")</f>
        <v>44266</v>
      </c>
      <c r="BR13" s="207">
        <f>_xll.meLWOSwapParRate(_xll.meLWOSwapCreateFromGenerator("TEST","USD_3ML_ANNUAL_ACT360","PAY",1000000,$BQ$10,BQ13,1%,0),"USDYC")</f>
        <v>2.7525418148214836E-3</v>
      </c>
      <c r="BT13" s="433">
        <f t="shared" si="10"/>
        <v>0.99861799572212018</v>
      </c>
      <c r="BU13">
        <f>_xll.meCurveDiscountFactorsForwardStarting($BQ$10,BQ13,"USDYC","USD6ML")</f>
        <v>0.99848892568998515</v>
      </c>
      <c r="BV13">
        <f>BT13*FX!$S$2/(FX!$S$2+AZ14/10000)</f>
        <v>0.99787309591978601</v>
      </c>
      <c r="BX13" t="s">
        <v>501</v>
      </c>
      <c r="BY13" s="200">
        <f>_xll.meDateFromTenor($BY$10,BX13,,"RIB:NYB:LNB")</f>
        <v>44631</v>
      </c>
      <c r="BZ13">
        <f t="shared" si="16"/>
        <v>0.50277777777777777</v>
      </c>
      <c r="CA13">
        <f>_xll.meUtilityInterpolation($BQ$10:$BQ$24,$BV$10:$BV$24,BY13,"SPLINE")</f>
        <v>0.99298783241433497</v>
      </c>
      <c r="CB13">
        <f>_xll.meUtilityInterpolation($BK$10:$BK$24,$BM$10:$BM$24,BY13,"SPLINE")</f>
        <v>0.98554960455366314</v>
      </c>
      <c r="CC13" s="207">
        <f t="shared" si="17"/>
        <v>1.035132148931037E-2</v>
      </c>
      <c r="CD13" s="207">
        <f>(1-CA13-SUMPRODUCT(CA$10:CA13,BZ$10:BZ13,CC$10:CC13))/SUMPRODUCT(BZ$10:BZ13,BZ$10:BZ13)</f>
        <v>-9.7965623863183263E-3</v>
      </c>
    </row>
    <row r="14" spans="1:82" x14ac:dyDescent="0.25">
      <c r="B14" s="21"/>
      <c r="C14" s="22"/>
      <c r="D14" s="22"/>
      <c r="E14" s="22"/>
      <c r="G14" s="24"/>
      <c r="H14" s="25" t="s">
        <v>376</v>
      </c>
      <c r="I14" s="25"/>
      <c r="J14" s="187"/>
      <c r="K14" s="187"/>
      <c r="L14" s="26"/>
      <c r="M14" s="27"/>
      <c r="O14" s="24" t="str">
        <f>"SRFR0CF"&amp;$O$1&amp;" Curncy"</f>
        <v>SRFR0CF GMGM Curncy</v>
      </c>
      <c r="P14" s="25" t="s">
        <v>596</v>
      </c>
      <c r="Q14" s="31" t="s">
        <v>496</v>
      </c>
      <c r="R14" s="182">
        <f>IF(O14="","",IF(StaticData.Today=TODAY(),_xll.BDP(O14,"BID"),_xll.BDH(O14,"BID",StaticData.Today,StaticData.Today)))</f>
        <v>0.94</v>
      </c>
      <c r="S14" s="182">
        <f>IF(O14="","",IF(StaticData.Today=TODAY(),_xll.BDP(O14,"ASK"),_xll.BDH(O14,"ASK",StaticData.Today,StaticData.Today)))</f>
        <v>1.02</v>
      </c>
      <c r="T14" s="30">
        <f>IF(O14="","",IF(StaticData.Today=TODAY(),_xll.BDP(O14,"LAST_PRICE"),_xll.BDH(O14,"LAST_PRICE",StaticData.Today,StaticData.Today)))</f>
        <v>0.98</v>
      </c>
      <c r="U14" s="183">
        <f t="shared" si="11"/>
        <v>9.7999999999999997E-3</v>
      </c>
      <c r="W14" s="24" t="str">
        <f>"SRBS4"&amp;$W$2&amp;" Curncy"</f>
        <v>SRBS4 GFID Curncy</v>
      </c>
      <c r="X14" s="25" t="s">
        <v>324</v>
      </c>
      <c r="Y14" s="191">
        <f>IF(W14="","",IF(StaticData.Today=TODAY(),_xll.BDP(W14,"LAST_PRICE"),_xll.BDH(W14,"LAST_PRICE",StaticData.Today,StaticData.Today)))</f>
        <v>14</v>
      </c>
      <c r="Z14" s="27">
        <f t="shared" si="18"/>
        <v>1.4E-3</v>
      </c>
      <c r="AB14" s="24" t="str">
        <f>"SRBSV3"&amp;$AB$2&amp;" Curncy"</f>
        <v>SRBSV3 GMGM Curncy</v>
      </c>
      <c r="AC14" s="25" t="s">
        <v>316</v>
      </c>
      <c r="AD14" s="26">
        <f>IF(AB14="","",IF(StaticData.Today=TODAY(),_xll.BDP(AB14,"MID"),_xll.BDH(AB14,"MID",StaticData.Today,StaticData.Today)))</f>
        <v>12.5</v>
      </c>
      <c r="AE14" s="27">
        <f t="shared" ref="AE14:AE18" si="20">AD14/10000</f>
        <v>1.25E-3</v>
      </c>
      <c r="AG14" s="24" t="str">
        <f>"SRSSUS7"&amp;$AG$2&amp;" Curncy"</f>
        <v>SRSSUS7 GMGM Curncy</v>
      </c>
      <c r="AH14" s="25" t="s">
        <v>342</v>
      </c>
      <c r="AI14" s="26">
        <f>IF(AG14="","",IF(StaticData.Today=TODAY(),_xll.BDP(AG14,"LAST_PRICE"),_xll.BDH(AG14,"LAST_PRICE",StaticData.Today,StaticData.Today)))</f>
        <v>154</v>
      </c>
      <c r="AJ14" s="27"/>
      <c r="AL14" s="344" t="s">
        <v>942</v>
      </c>
      <c r="AM14" s="345"/>
      <c r="AN14" s="428"/>
      <c r="AO14" s="429"/>
      <c r="AP14" s="429"/>
      <c r="AQ14" s="430">
        <f>2*(AQ12-AQ13)/3</f>
        <v>16.666666666666668</v>
      </c>
      <c r="AR14" s="431">
        <f>AR13-AQ14</f>
        <v>-145.66666666666666</v>
      </c>
      <c r="AS14" s="2"/>
      <c r="AT14" s="24" t="str">
        <f t="shared" si="4"/>
        <v>SAR6M GMGM Curncy</v>
      </c>
      <c r="AU14" s="25" t="s">
        <v>46</v>
      </c>
      <c r="AV14" s="31"/>
      <c r="AW14" s="196">
        <f>IF(AT14="","",IF(StaticData.Today=TODAY(),_xll.BDP(AT14,"BID"),_xll.BDH(AT14,"BID",StaticData.Today,StaticData.Today)))</f>
        <v>23</v>
      </c>
      <c r="AX14" s="196">
        <f>IF(AT14="","",IF(StaticData.Today=TODAY(),_xll.BDP(AT14,"ASK"),_xll.BDH(AT14,"ASK",StaticData.Today,StaticData.Today)))</f>
        <v>33</v>
      </c>
      <c r="AY14" s="196">
        <f>IF(AT14="","",IF(StaticData.Today=TODAY(),_xll.BDP(AT14,"LAST_PRICE"),_xll.BDH(AT14,"LAST_PRICE",StaticData.Today,StaticData.Today)))</f>
        <v>28</v>
      </c>
      <c r="AZ14" s="181">
        <f t="shared" ref="AZ14:AZ20" si="21">AY14</f>
        <v>28</v>
      </c>
      <c r="BD14" t="s">
        <v>331</v>
      </c>
      <c r="BE14" s="200">
        <f>_xll.meDateFromTenor('STATIC DATA'!$X$9,SAR_DATA!BD14,,"RIB")</f>
        <v>45911</v>
      </c>
      <c r="BF14" s="207">
        <f>_xll.meUtilityInterpolation($N$17:$N$24,$U$17:$U$24,BE14,"SPLINE")</f>
        <v>1.6590000000000001E-2</v>
      </c>
      <c r="BG14">
        <f t="shared" si="13"/>
        <v>365</v>
      </c>
      <c r="BH14">
        <f>(1-BF14*SUMPRODUCT(BG$10:BG13,BH$10:BH13)/360)/(1+BG14/360*BF14)</f>
        <v>0.91933860734297324</v>
      </c>
      <c r="BJ14" t="s">
        <v>376</v>
      </c>
      <c r="BK14" s="200">
        <f>_xll.meDateFromTenor($BK$10,BJ14,,"RIB")</f>
        <v>44358</v>
      </c>
      <c r="BL14" s="392">
        <f t="shared" si="19"/>
        <v>0.74743326488706363</v>
      </c>
      <c r="BM14" s="508">
        <f t="shared" si="14"/>
        <v>0.99252042808646723</v>
      </c>
      <c r="BN14" s="207">
        <f t="shared" si="15"/>
        <v>1.0044621413609376E-2</v>
      </c>
      <c r="BP14" t="s">
        <v>376</v>
      </c>
      <c r="BQ14" s="200">
        <f>_xll.meDateFromTenor($BQ$10,BP14,,"RIB:LNB:NYB")</f>
        <v>44358</v>
      </c>
      <c r="BR14" s="207">
        <f>_xll.meLWOSwapParRate(_xll.meLWOSwapCreateFromGenerator("TEST","USD_3ML_ANNUAL_ACT360","PAY",1000000,$BQ$10,BQ14,1%,0),"USDYC")</f>
        <v>2.5511294426314155E-3</v>
      </c>
      <c r="BT14" s="433">
        <f>1/(1+BR14*(BQ14-$BQ$10)/360)</f>
        <v>0.99806912898161571</v>
      </c>
      <c r="BU14">
        <f>_xll.meCurveDiscountFactorsForwardStarting($BQ$10,BQ14,"USDYC","USD6ML")</f>
        <v>0.99777299865853109</v>
      </c>
      <c r="BV14">
        <f>BT14*FX!$S$2/(FX!$S$2+AZ15/10000)</f>
        <v>0.99679353939269433</v>
      </c>
      <c r="BX14" t="s">
        <v>1349</v>
      </c>
      <c r="BY14" s="200">
        <f>_xll.meDateFromTenor($BY$10,BX14,,"RIB:NYB:LNB")</f>
        <v>44815</v>
      </c>
      <c r="BZ14">
        <f t="shared" si="16"/>
        <v>0.51111111111111107</v>
      </c>
      <c r="CA14">
        <f>_xll.meUtilityInterpolation($BQ$10:$BQ$24,$BV$10:$BV$24,BY14,"SPLINE")</f>
        <v>0.98976822961961397</v>
      </c>
      <c r="CB14">
        <f>_xll.meUtilityInterpolation($BK$10:$BK$24,$BM$10:$BM$24,BY14,"SPLINE")</f>
        <v>0.97831968569592398</v>
      </c>
      <c r="CC14" s="207">
        <f t="shared" si="17"/>
        <v>1.445896839666831E-2</v>
      </c>
      <c r="CD14" s="207">
        <f>(1-CA14-SUMPRODUCT(CA$10:CA14,BZ$10:BZ14,CC$10:CC14))/SUMPRODUCT(BZ$10:BZ14,BZ$10:BZ14)</f>
        <v>-1.1290396743192901E-2</v>
      </c>
    </row>
    <row r="15" spans="1:82" x14ac:dyDescent="0.25">
      <c r="B15" s="21"/>
      <c r="C15" s="22"/>
      <c r="D15" s="22"/>
      <c r="E15" s="22"/>
      <c r="G15" s="24"/>
      <c r="H15" s="25" t="s">
        <v>47</v>
      </c>
      <c r="I15" s="25"/>
      <c r="J15" s="187"/>
      <c r="K15" s="187"/>
      <c r="L15" s="26"/>
      <c r="M15" s="27"/>
      <c r="O15" s="24" t="str">
        <f>"SRFR0FI"&amp;$O$1&amp;" Curncy"</f>
        <v>SRFR0FI GMGM Curncy</v>
      </c>
      <c r="P15" s="25" t="s">
        <v>595</v>
      </c>
      <c r="Q15" s="31" t="s">
        <v>497</v>
      </c>
      <c r="R15" s="182">
        <f>IF(O15="","",IF(StaticData.Today=TODAY(),_xll.BDP(O15,"BID"),_xll.BDH(O15,"BID",StaticData.Today,StaticData.Today)))</f>
        <v>0.88</v>
      </c>
      <c r="S15" s="182">
        <f>IF(O15="","",IF(StaticData.Today=TODAY(),_xll.BDP(O15,"ASK"),_xll.BDH(O15,"ASK",StaticData.Today,StaticData.Today)))</f>
        <v>0.96</v>
      </c>
      <c r="T15" s="30">
        <f>IF(O15="","",IF(StaticData.Today=TODAY(),_xll.BDP(O15,"LAST_PRICE"),_xll.BDH(O15,"LAST_PRICE",StaticData.Today,StaticData.Today)))</f>
        <v>0.92</v>
      </c>
      <c r="U15" s="183">
        <f t="shared" si="11"/>
        <v>9.1999999999999998E-3</v>
      </c>
      <c r="W15" s="24" t="str">
        <f>"SRBS5"&amp;$W$2&amp;" Curncy"</f>
        <v>SRBS5 GFID Curncy</v>
      </c>
      <c r="X15" s="25" t="s">
        <v>331</v>
      </c>
      <c r="Y15" s="191">
        <f>IF(W15="","",IF(StaticData.Today=TODAY(),_xll.BDP(W15,"LAST_PRICE"),_xll.BDH(W15,"LAST_PRICE",StaticData.Today,StaticData.Today)))</f>
        <v>15</v>
      </c>
      <c r="Z15" s="27">
        <f t="shared" si="18"/>
        <v>1.5E-3</v>
      </c>
      <c r="AB15" s="24" t="str">
        <f>"SRBSV4"&amp;$AB$2&amp;" Curncy"</f>
        <v>SRBSV4 GMGM Curncy</v>
      </c>
      <c r="AC15" s="25" t="s">
        <v>324</v>
      </c>
      <c r="AD15" s="26">
        <f>IF(AB15="","",IF(StaticData.Today=TODAY(),_xll.BDP(AB15,"MID"),_xll.BDH(AB15,"MID",StaticData.Today,StaticData.Today)))</f>
        <v>12.5</v>
      </c>
      <c r="AE15" s="27">
        <f t="shared" si="20"/>
        <v>1.25E-3</v>
      </c>
      <c r="AG15" s="24" t="str">
        <f>"SRSSUS10"&amp;$AG$2&amp;" Curncy"</f>
        <v>SRSSUS10 GMGM Curncy</v>
      </c>
      <c r="AH15" s="25" t="s">
        <v>349</v>
      </c>
      <c r="AI15" s="26">
        <f>IF(AG15="","",IF(StaticData.Today=TODAY(),_xll.BDP(AG15,"LAST_PRICE"),_xll.BDH(AG15,"LAST_PRICE",StaticData.Today,StaticData.Today)))</f>
        <v>180</v>
      </c>
      <c r="AJ15" s="27"/>
      <c r="AL15" s="24"/>
      <c r="AM15" s="25"/>
      <c r="AN15" s="31"/>
      <c r="AO15" s="29"/>
      <c r="AP15" s="29"/>
      <c r="AQ15" s="177"/>
      <c r="AR15" s="181"/>
      <c r="AT15" s="24" t="str">
        <f t="shared" si="4"/>
        <v>SAR9M GMGM Curncy</v>
      </c>
      <c r="AU15" s="25" t="s">
        <v>376</v>
      </c>
      <c r="AV15" s="31"/>
      <c r="AW15" s="196">
        <f>IF(AT15="","",IF(StaticData.Today=TODAY(),_xll.BDP(AT15,"BID"),_xll.BDH(AT15,"BID",StaticData.Today,StaticData.Today)))</f>
        <v>42</v>
      </c>
      <c r="AX15" s="196">
        <f>IF(AT15="","",IF(StaticData.Today=TODAY(),_xll.BDP(AT15,"ASK"),_xll.BDH(AT15,"ASK",StaticData.Today,StaticData.Today)))</f>
        <v>54</v>
      </c>
      <c r="AY15" s="196">
        <f>IF(AT15="","",IF(StaticData.Today=TODAY(),_xll.BDP(AT15,"LAST_PRICE"),_xll.BDH(AT15,"LAST_PRICE",StaticData.Today,StaticData.Today)))</f>
        <v>48</v>
      </c>
      <c r="AZ15" s="181">
        <f t="shared" si="21"/>
        <v>48</v>
      </c>
      <c r="BD15" t="s">
        <v>339</v>
      </c>
      <c r="BE15" s="200">
        <f>_xll.meDateFromTenor('STATIC DATA'!$X$9,SAR_DATA!BD15,,"RIB")</f>
        <v>46276</v>
      </c>
      <c r="BF15" s="207">
        <f>_xll.meUtilityInterpolation($N$17:$N$24,$U$17:$U$24,BE15,"SPLINE")</f>
        <v>1.8499999999999999E-2</v>
      </c>
      <c r="BG15">
        <f t="shared" si="13"/>
        <v>365</v>
      </c>
      <c r="BH15">
        <f>(1-BF15*SUMPRODUCT(BG$10:BG14,BH$10:BH14)/360)/(1+BG15/360*BF15)</f>
        <v>0.8932965794685932</v>
      </c>
      <c r="BJ15" t="s">
        <v>47</v>
      </c>
      <c r="BK15" s="200">
        <f>_xll.meDateFromTenor($BK$10,BJ15,,"RIB")</f>
        <v>44450</v>
      </c>
      <c r="BL15" s="392">
        <f t="shared" si="19"/>
        <v>0.99931553730321698</v>
      </c>
      <c r="BM15" s="508">
        <f>BH10</f>
        <v>0.99067881312275174</v>
      </c>
      <c r="BN15" s="207">
        <f t="shared" si="15"/>
        <v>9.3713153124438467E-3</v>
      </c>
      <c r="BP15" t="s">
        <v>47</v>
      </c>
      <c r="BQ15" s="200">
        <f>_xll.meDateFromTenor($BQ$10,BP15,,"RIB:LNB:NYB")</f>
        <v>44450</v>
      </c>
      <c r="BR15" s="207">
        <f>_xll.meLWOSwapParRate(_xll.meLWOSwapCreateFromGenerator("TEST","USD_3ML_ANNUAL_ACT360","PAY",1000000,$BQ$10,BQ15,1%,0),"USDYC")</f>
        <v>2.4075774378147915E-3</v>
      </c>
      <c r="BS15" s="392">
        <f>BQ15-BQ10</f>
        <v>365</v>
      </c>
      <c r="BT15" s="433">
        <f>1/(1+(BQ15-BQ10)/360*BR15)</f>
        <v>0.99756492803631713</v>
      </c>
      <c r="BU15">
        <f>_xll.meCurveDiscountFactorsForwardStarting($BQ$10,BQ15,"USDYC","USD6ML")</f>
        <v>0.99706998679446912</v>
      </c>
      <c r="BV15">
        <f>BT15*FX!$S$2/(FX!$S$2+AZ16/10000)</f>
        <v>0.99560074729835879</v>
      </c>
      <c r="BX15" t="s">
        <v>1350</v>
      </c>
      <c r="BY15" s="200">
        <f>_xll.meDateFromTenor($BY$10,BX15,,"RIB:NYB:LNB")</f>
        <v>44996</v>
      </c>
      <c r="BZ15">
        <f t="shared" si="16"/>
        <v>0.50277777777777777</v>
      </c>
      <c r="CA15">
        <f>_xll.meUtilityInterpolation($BQ$10:$BQ$24,$BV$10:$BV$24,BY15,"SPLINE")</f>
        <v>0.98583633170631346</v>
      </c>
      <c r="CB15">
        <f>_xll.meUtilityInterpolation($BK$10:$BK$24,$BM$10:$BM$24,BY15,"SPLINE")</f>
        <v>0.97053920825772189</v>
      </c>
      <c r="CC15" s="207">
        <f t="shared" si="17"/>
        <v>1.5944727032507457E-2</v>
      </c>
      <c r="CD15" s="207">
        <f>(1-CA15-SUMPRODUCT(CA$10:CA15,BZ$10:BZ15,CC$10:CC15))/SUMPRODUCT(BZ$10:BZ15,BZ$10:BZ15)</f>
        <v>-1.2162617556059697E-2</v>
      </c>
    </row>
    <row r="16" spans="1:82" x14ac:dyDescent="0.25">
      <c r="B16" s="21"/>
      <c r="C16" s="22"/>
      <c r="D16" s="22"/>
      <c r="E16" s="22"/>
      <c r="G16" s="24"/>
      <c r="H16" s="25"/>
      <c r="I16" s="25"/>
      <c r="J16" s="187"/>
      <c r="K16" s="187"/>
      <c r="L16" s="26"/>
      <c r="M16" s="27"/>
      <c r="O16" s="24" t="str">
        <f>"SRFR0I1"&amp;$O$1&amp;" Curncy"</f>
        <v>SRFR0I1 GMGM Curncy</v>
      </c>
      <c r="P16" s="25" t="s">
        <v>594</v>
      </c>
      <c r="Q16" s="31" t="s">
        <v>498</v>
      </c>
      <c r="R16" s="182">
        <f>IF(O16="","",IF(StaticData.Today=TODAY(),_xll.BDP(O16,"BID"),_xll.BDH(O16,"BID",StaticData.Today,StaticData.Today)))</f>
        <v>0.87</v>
      </c>
      <c r="S16" s="182">
        <f>IF(O16="","",IF(StaticData.Today=TODAY(),_xll.BDP(O16,"ASK"),_xll.BDH(O16,"ASK",StaticData.Today,StaticData.Today)))</f>
        <v>0.95</v>
      </c>
      <c r="T16" s="30">
        <f>IF(O16="","",IF(StaticData.Today=TODAY(),_xll.BDP(O16,"LAST_PRICE"),_xll.BDH(O16,"LAST_PRICE",StaticData.Today,StaticData.Today)))</f>
        <v>0.91</v>
      </c>
      <c r="U16" s="183">
        <f t="shared" si="11"/>
        <v>9.1000000000000004E-3</v>
      </c>
      <c r="W16" s="24" t="str">
        <f>"SRBS7"&amp;$W$2&amp;" Curncy"</f>
        <v>SRBS7 GFID Curncy</v>
      </c>
      <c r="X16" s="25" t="s">
        <v>342</v>
      </c>
      <c r="Y16" s="191">
        <f>IF(W16="","",IF(StaticData.Today=TODAY(),_xll.BDP(W16,"LAST_PRICE"),_xll.BDH(W16,"LAST_PRICE",StaticData.Today,StaticData.Today)))</f>
        <v>15</v>
      </c>
      <c r="Z16" s="27">
        <f t="shared" si="18"/>
        <v>1.5E-3</v>
      </c>
      <c r="AB16" s="24" t="str">
        <f>"SRBSV5"&amp;$AB$2&amp;" Curncy"</f>
        <v>SRBSV5 GMGM Curncy</v>
      </c>
      <c r="AC16" s="25" t="s">
        <v>331</v>
      </c>
      <c r="AD16" s="26">
        <f>IF(AB16="","",IF(StaticData.Today=TODAY(),_xll.BDP(AB16,"MID"),_xll.BDH(AB16,"MID",StaticData.Today,StaticData.Today)))</f>
        <v>12</v>
      </c>
      <c r="AE16" s="27">
        <f t="shared" si="20"/>
        <v>1.1999999999999999E-3</v>
      </c>
      <c r="AG16" s="24"/>
      <c r="AH16" s="25"/>
      <c r="AI16" s="26" t="str">
        <f>IF(AG16="","",IF(StaticData.Today=TODAY(),_xll.BDP(AG16,"LAST_PRICE"),_xll.BDH(AG16,"LAST_PRICE",StaticData.Today,StaticData.Today)))</f>
        <v/>
      </c>
      <c r="AJ16" s="27"/>
      <c r="AL16" s="24"/>
      <c r="AM16" s="25"/>
      <c r="AN16" s="31"/>
      <c r="AO16" s="29"/>
      <c r="AP16" s="29"/>
      <c r="AQ16" s="177"/>
      <c r="AR16" s="181"/>
      <c r="AT16" s="24" t="str">
        <f t="shared" si="4"/>
        <v>SAR12M GMGM Curncy</v>
      </c>
      <c r="AU16" s="25" t="s">
        <v>322</v>
      </c>
      <c r="AV16" s="31"/>
      <c r="AW16" s="196">
        <f>IF(AT16="","",IF(StaticData.Today=TODAY(),_xll.BDP(AT16,"BID"),_xll.BDH(AT16,"BID",StaticData.Today,StaticData.Today)))</f>
        <v>66</v>
      </c>
      <c r="AX16" s="196">
        <f>IF(AT16="","",IF(StaticData.Today=TODAY(),_xll.BDP(AT16,"ASK"),_xll.BDH(AT16,"ASK",StaticData.Today,StaticData.Today)))</f>
        <v>82</v>
      </c>
      <c r="AY16" s="196">
        <f>IF(AT16="","",IF(StaticData.Today=TODAY(),_xll.BDP(AT16,"LAST_PRICE"),_xll.BDH(AT16,"LAST_PRICE",StaticData.Today,StaticData.Today)))</f>
        <v>74</v>
      </c>
      <c r="AZ16" s="181">
        <f t="shared" si="21"/>
        <v>74</v>
      </c>
      <c r="BD16" t="s">
        <v>342</v>
      </c>
      <c r="BE16" s="200">
        <f>_xll.meDateFromTenor('STATIC DATA'!$X$9,SAR_DATA!BD16,,"RIB")</f>
        <v>46641</v>
      </c>
      <c r="BF16" s="207">
        <f>_xll.meUtilityInterpolation($N$17:$N$24,$U$17:$U$24,BE16,"SPLINE")</f>
        <v>2.0150000000000001E-2</v>
      </c>
      <c r="BG16">
        <f t="shared" si="13"/>
        <v>365</v>
      </c>
      <c r="BH16">
        <f>(1-BF16*SUMPRODUCT(BG$10:BG15,BH$10:BH15)/360)/(1+BG16/360*BF16)</f>
        <v>0.86608577579782542</v>
      </c>
      <c r="BJ16" t="s">
        <v>308</v>
      </c>
      <c r="BK16" s="200">
        <f>_xll.meDateFromTenor($BK$10,BJ16,,"RIB")</f>
        <v>44815</v>
      </c>
      <c r="BL16" s="392">
        <f t="shared" si="19"/>
        <v>1.998631074606434</v>
      </c>
      <c r="BM16" s="508">
        <f t="shared" ref="BM16:BM24" si="22">BH11</f>
        <v>0.97831968569592398</v>
      </c>
      <c r="BN16" s="207">
        <f t="shared" si="15"/>
        <v>1.0966899118479149E-2</v>
      </c>
      <c r="BP16" t="s">
        <v>308</v>
      </c>
      <c r="BQ16" s="200">
        <f>_xll.meDateFromTenor($BQ$10,BP16,,"RIB:LNB:NYB")</f>
        <v>44815</v>
      </c>
      <c r="BR16" s="207">
        <f>_xll.meLWOSwapParRate(_xll.meLWOSwapCreateFromGenerator("TEST","USD_3ML_ANNUAL_ACT360","PAY",1000000,$BQ$10,BQ16,1%,0),"USDYC")</f>
        <v>2.2558964042765453E-3</v>
      </c>
      <c r="BS16" s="392">
        <f>BQ16-BQ15</f>
        <v>365</v>
      </c>
      <c r="BT16" s="433">
        <f>(1-BR16*SUMPRODUCT(BS$15:BS15,BT$15:BT15)/360)/(1+BS16/360*BR16)</f>
        <v>0.99544153920846534</v>
      </c>
      <c r="BU16">
        <f>_xll.meCurveDiscountFactorsForwardStarting($BQ$10,BQ16,"USDYC","USD6ML")</f>
        <v>0.99400843234037373</v>
      </c>
      <c r="BV16">
        <f>BT16*FX!$S$2/(FX!$S$2+AZ17/10000)</f>
        <v>0.98976822961961419</v>
      </c>
      <c r="BX16" t="s">
        <v>1351</v>
      </c>
      <c r="BY16" s="200">
        <f>_xll.meDateFromTenor($BY$10,BX16,,"RIB:NYB:LNB")</f>
        <v>45180</v>
      </c>
      <c r="BZ16">
        <f t="shared" si="16"/>
        <v>0.51111111111111107</v>
      </c>
      <c r="CA16">
        <f>_xll.meUtilityInterpolation($BQ$10:$BQ$24,$BV$10:$BV$24,BY16,"SPLINE")</f>
        <v>0.98139514898539904</v>
      </c>
      <c r="CB16">
        <f>_xll.meUtilityInterpolation($BK$10:$BK$24,$BM$10:$BM$24,BY16,"SPLINE")</f>
        <v>0.96202131081664999</v>
      </c>
      <c r="CC16" s="207">
        <f t="shared" si="17"/>
        <v>1.732337041576908E-2</v>
      </c>
      <c r="CD16" s="207">
        <f>(1-CA16-SUMPRODUCT(CA$10:CA16,BZ$10:BZ16,CC$10:CC16))/SUMPRODUCT(BZ$10:BZ16,BZ$10:BZ16)</f>
        <v>-1.285711559782389E-2</v>
      </c>
    </row>
    <row r="17" spans="2:82" x14ac:dyDescent="0.25">
      <c r="B17" s="34"/>
      <c r="C17" s="35"/>
      <c r="D17" s="35"/>
      <c r="E17" s="35"/>
      <c r="G17" s="24"/>
      <c r="H17" s="25"/>
      <c r="I17" s="25"/>
      <c r="J17" s="187"/>
      <c r="K17" s="187"/>
      <c r="L17" s="26"/>
      <c r="M17" s="27"/>
      <c r="N17" s="200">
        <f>_xll.meDateFromTenor('STATIC DATA'!$X$9,P17,,"RIB")</f>
        <v>44450</v>
      </c>
      <c r="O17" s="24" t="str">
        <f>"SRSW1"&amp;$O$2&amp;" Curncy"</f>
        <v>SRSW1 GMGM Curncy</v>
      </c>
      <c r="P17" s="25" t="s">
        <v>47</v>
      </c>
      <c r="Q17" s="31"/>
      <c r="R17" s="182">
        <f>IF(O17="","",IF(StaticData.Today=TODAY(),_xll.BDP(O17,"BID"),_xll.BDH(O17,"BID",StaticData.Today,StaticData.Today)))</f>
        <v>0.89800000000000002</v>
      </c>
      <c r="S17" s="182">
        <f>IF(O17="","",IF(StaticData.Today=TODAY(),_xll.BDP(O17,"ASK"),_xll.BDH(O17,"ASK",StaticData.Today,StaticData.Today)))</f>
        <v>0.95799999999999996</v>
      </c>
      <c r="T17" s="30">
        <f>IF(O17="","",IF(StaticData.Today=TODAY(),_xll.BDP(O17,"LAST_PRICE"),_xll.BDH(O17,"LAST_PRICE",StaticData.Today,StaticData.Today)))</f>
        <v>0.92800000000000005</v>
      </c>
      <c r="U17" s="183">
        <f t="shared" si="11"/>
        <v>9.2800000000000001E-3</v>
      </c>
      <c r="W17" s="24" t="str">
        <f>"SRBS10"&amp;$W$2&amp;" Curncy"</f>
        <v>SRBS10 GFID Curncy</v>
      </c>
      <c r="X17" s="25" t="s">
        <v>349</v>
      </c>
      <c r="Y17" s="191">
        <f>IF(W17="","",IF(StaticData.Today=TODAY(),_xll.BDP(W17,"LAST_PRICE"),_xll.BDH(W17,"LAST_PRICE",StaticData.Today,StaticData.Today)))</f>
        <v>17</v>
      </c>
      <c r="Z17" s="27">
        <f t="shared" si="18"/>
        <v>1.6999999999999999E-3</v>
      </c>
      <c r="AB17" s="24" t="str">
        <f>"SRBSV7"&amp;$AB$2&amp;" Curncy"</f>
        <v>SRBSV7 GMGM Curncy</v>
      </c>
      <c r="AC17" s="25" t="s">
        <v>342</v>
      </c>
      <c r="AD17" s="26">
        <f>IF(AB17="","",IF(StaticData.Today=TODAY(),_xll.BDP(AB17,"MID"),_xll.BDH(AB17,"MID",StaticData.Today,StaticData.Today)))</f>
        <v>12</v>
      </c>
      <c r="AE17" s="27">
        <f t="shared" si="20"/>
        <v>1.1999999999999999E-3</v>
      </c>
      <c r="AG17" s="24"/>
      <c r="AH17" s="25"/>
      <c r="AI17" s="26" t="str">
        <f>IF(AG17="","",IF(StaticData.Today=TODAY(),_xll.BDP(AG17,"LAST_PRICE"),_xll.BDH(AG17,"LAST_PRICE",StaticData.Today,StaticData.Today)))</f>
        <v/>
      </c>
      <c r="AJ17" s="27"/>
      <c r="AL17" s="24"/>
      <c r="AM17" s="25"/>
      <c r="AN17" s="31"/>
      <c r="AO17" s="29"/>
      <c r="AP17" s="29"/>
      <c r="AQ17" s="177"/>
      <c r="AR17" s="181"/>
      <c r="AT17" s="24" t="str">
        <f t="shared" si="4"/>
        <v>SAR2Y GMGM Curncy</v>
      </c>
      <c r="AU17" s="25" t="s">
        <v>308</v>
      </c>
      <c r="AV17" s="31"/>
      <c r="AW17" s="196">
        <f>IF(AT17="","",IF(StaticData.Today=TODAY(),_xll.BDP(AT17,"BID"),_xll.BDH(AT17,"BID",StaticData.Today,StaticData.Today)))</f>
        <v>195</v>
      </c>
      <c r="AX17" s="196">
        <f>IF(AT17="","",IF(StaticData.Today=TODAY(),_xll.BDP(AT17,"ASK"),_xll.BDH(AT17,"ASK",StaticData.Today,StaticData.Today)))</f>
        <v>235</v>
      </c>
      <c r="AY17" s="196">
        <f>IF(AT17="","",IF(StaticData.Today=TODAY(),_xll.BDP(AT17,"LAST_PRICE"),_xll.BDH(AT17,"LAST_PRICE",StaticData.Today,StaticData.Today)))</f>
        <v>215</v>
      </c>
      <c r="AZ17" s="181">
        <f t="shared" si="21"/>
        <v>215</v>
      </c>
      <c r="BD17" t="s">
        <v>355</v>
      </c>
      <c r="BE17" s="200">
        <f>_xll.meDateFromTenor('STATIC DATA'!$X$9,SAR_DATA!BD17,,"RIB")</f>
        <v>47007</v>
      </c>
      <c r="BF17" s="207">
        <f>_xll.meUtilityInterpolation($N$17:$N$24,$U$17:$U$24,BE17,"SPLINE")</f>
        <v>2.1707988740223255E-2</v>
      </c>
      <c r="BG17">
        <f t="shared" si="13"/>
        <v>366</v>
      </c>
      <c r="BH17">
        <f>(1-BF17*SUMPRODUCT(BG$10:BG16,BH$10:BH16)/360)/(1+BG17/360*BF17)</f>
        <v>0.83725358004528627</v>
      </c>
      <c r="BJ17" t="s">
        <v>316</v>
      </c>
      <c r="BK17" s="200">
        <f>_xll.meDateFromTenor($BK$10,BJ17,,"RIB")</f>
        <v>45180</v>
      </c>
      <c r="BL17" s="392">
        <f t="shared" si="19"/>
        <v>2.9979466119096507</v>
      </c>
      <c r="BM17" s="508">
        <f t="shared" si="22"/>
        <v>0.96202131081665032</v>
      </c>
      <c r="BN17" s="207">
        <f t="shared" si="15"/>
        <v>1.2915065195598079E-2</v>
      </c>
      <c r="BP17" t="s">
        <v>316</v>
      </c>
      <c r="BQ17" s="200">
        <f>_xll.meDateFromTenor($BQ$10,BP17,,"RIB:LNB:NYB")</f>
        <v>45180</v>
      </c>
      <c r="BR17" s="207">
        <f>_xll.meLWOSwapParRate(_xll.meLWOSwapCreateFromGenerator("TEST","USD_3ML_ANNUAL_ACT360","PAY",1000000,$BQ$10,BQ17,1%,0),"USDYC")</f>
        <v>2.3861238417821349E-3</v>
      </c>
      <c r="BS17" s="392">
        <f t="shared" ref="BS17:BS24" si="23">BQ17-BQ16</f>
        <v>365</v>
      </c>
      <c r="BT17" s="433">
        <f>(1-BR17*SUMPRODUCT(BS$15:BS16,BT$15:BT16)/360)/(1+BS17/360*BR17)</f>
        <v>0.99277660116510669</v>
      </c>
      <c r="BU17">
        <f>_xll.meCurveDiscountFactorsForwardStarting($BQ$10,BQ17,"USDYC","USD6ML")</f>
        <v>0.99010163959808484</v>
      </c>
      <c r="BV17">
        <f>BT17*FX!$S$2/(FX!$S$2+AZ18/10000)</f>
        <v>0.98139514898539915</v>
      </c>
      <c r="BX17" t="s">
        <v>1352</v>
      </c>
      <c r="BY17" s="200">
        <f>_xll.meDateFromTenor($BY$10,BX17,,"RIB:NYB:LNB")</f>
        <v>45362</v>
      </c>
      <c r="BZ17">
        <f t="shared" si="16"/>
        <v>0.50555555555555554</v>
      </c>
      <c r="CA17">
        <f>_xll.meUtilityInterpolation($BQ$10:$BQ$24,$BV$10:$BV$24,BY17,"SPLINE")</f>
        <v>0.97688897811933306</v>
      </c>
      <c r="CB17">
        <f>_xll.meUtilityInterpolation($BK$10:$BK$24,$BM$10:$BM$24,BY17,"SPLINE")</f>
        <v>0.95277526939599433</v>
      </c>
      <c r="CC17" s="207">
        <f t="shared" si="17"/>
        <v>1.9195369282992081E-2</v>
      </c>
      <c r="CD17" s="207">
        <f>(1-CA17-SUMPRODUCT(CA$10:CA17,BZ$10:BZ17,CC$10:CC17))/SUMPRODUCT(BZ$10:BZ17,BZ$10:BZ17)</f>
        <v>-1.3795995178712366E-2</v>
      </c>
    </row>
    <row r="18" spans="2:82" x14ac:dyDescent="0.25">
      <c r="B18" s="36"/>
      <c r="C18" s="36"/>
      <c r="D18" s="36"/>
      <c r="E18" s="36"/>
      <c r="G18" s="24"/>
      <c r="H18" s="25"/>
      <c r="I18" s="25"/>
      <c r="J18" s="25"/>
      <c r="K18" s="25"/>
      <c r="L18" s="26"/>
      <c r="M18" s="27"/>
      <c r="N18" s="200">
        <f>_xll.meDateFromTenor('STATIC DATA'!$X$9,P18,,"RIB")</f>
        <v>44815</v>
      </c>
      <c r="O18" s="24" t="str">
        <f>"SRSW2"&amp;$O$2&amp;" Curncy"</f>
        <v>SRSW2 GMGM Curncy</v>
      </c>
      <c r="P18" s="25" t="s">
        <v>308</v>
      </c>
      <c r="Q18" s="31"/>
      <c r="R18" s="182">
        <f>IF(O18="","",IF(StaticData.Today=TODAY(),_xll.BDP(O18,"BID"),_xll.BDH(O18,"BID",StaticData.Today,StaticData.Today)))</f>
        <v>1.056</v>
      </c>
      <c r="S18" s="182">
        <f>IF(O18="","",IF(StaticData.Today=TODAY(),_xll.BDP(O18,"ASK"),_xll.BDH(O18,"ASK",StaticData.Today,StaticData.Today)))</f>
        <v>1.1160000000000001</v>
      </c>
      <c r="T18" s="30">
        <f>IF(O18="","",IF(StaticData.Today=TODAY(),_xll.BDP(O18,"LAST_PRICE"),_xll.BDH(O18,"LAST_PRICE",StaticData.Today,StaticData.Today)))</f>
        <v>1.0860000000000001</v>
      </c>
      <c r="U18" s="183">
        <f t="shared" si="11"/>
        <v>1.0860000000000002E-2</v>
      </c>
      <c r="W18" s="24"/>
      <c r="X18" s="25"/>
      <c r="Y18" s="191"/>
      <c r="Z18" s="27"/>
      <c r="AB18" s="24" t="str">
        <f>"SRBSV10"&amp;$AB$2&amp;" Curncy"</f>
        <v>SRBSV10 GMGM Curncy</v>
      </c>
      <c r="AC18" s="25" t="s">
        <v>349</v>
      </c>
      <c r="AD18" s="26">
        <f>IF(AB18="","",IF(StaticData.Today=TODAY(),_xll.BDP(AB18,"MID"),_xll.BDH(AB18,"MID",StaticData.Today,StaticData.Today)))</f>
        <v>12</v>
      </c>
      <c r="AE18" s="27">
        <f t="shared" si="20"/>
        <v>1.1999999999999999E-3</v>
      </c>
      <c r="AG18" s="24"/>
      <c r="AH18" s="25"/>
      <c r="AI18" s="26" t="str">
        <f>IF(AG18="","",IF(StaticData.Today=TODAY(),_xll.BDP(AG18,"LAST_PRICE"),_xll.BDH(AG18,"LAST_PRICE",StaticData.Today,StaticData.Today)))</f>
        <v/>
      </c>
      <c r="AJ18" s="27"/>
      <c r="AL18" s="24"/>
      <c r="AM18" s="25"/>
      <c r="AN18" s="31"/>
      <c r="AO18" s="29"/>
      <c r="AP18" s="29"/>
      <c r="AQ18" s="177"/>
      <c r="AR18" s="181"/>
      <c r="AT18" s="24" t="str">
        <f t="shared" si="4"/>
        <v>SAR3Y GMGM Curncy</v>
      </c>
      <c r="AU18" s="25" t="s">
        <v>316</v>
      </c>
      <c r="AV18" s="31"/>
      <c r="AW18" s="196">
        <f>IF(AT18="","",IF(StaticData.Today=TODAY(),_xll.BDP(AT18,"BID"),_xll.BDH(AT18,"BID",StaticData.Today,StaticData.Today)))</f>
        <v>395</v>
      </c>
      <c r="AX18" s="196">
        <f>IF(AT18="","",IF(StaticData.Today=TODAY(),_xll.BDP(AT18,"ASK"),_xll.BDH(AT18,"ASK",StaticData.Today,StaticData.Today)))</f>
        <v>475</v>
      </c>
      <c r="AY18" s="196">
        <f>IF(AT18="","",IF(StaticData.Today=TODAY(),_xll.BDP(AT18,"LAST_PRICE"),_xll.BDH(AT18,"LAST_PRICE",StaticData.Today,StaticData.Today)))</f>
        <v>435</v>
      </c>
      <c r="AZ18" s="181">
        <f t="shared" si="21"/>
        <v>435</v>
      </c>
      <c r="BD18" t="s">
        <v>364</v>
      </c>
      <c r="BE18" s="200">
        <f>_xll.meDateFromTenor('STATIC DATA'!$X$9,SAR_DATA!BD18,,"RIB")</f>
        <v>47372</v>
      </c>
      <c r="BF18" s="207">
        <f>_xll.meUtilityInterpolation($N$17:$N$24,$U$17:$U$24,BE18,"SPLINE")</f>
        <v>2.3231528619492216E-2</v>
      </c>
      <c r="BG18">
        <f t="shared" si="13"/>
        <v>365</v>
      </c>
      <c r="BH18">
        <f>(1-BF18*SUMPRODUCT(BG$10:BG17,BH$10:BH17)/360)/(1+BG18/360*BF18)</f>
        <v>0.80682732421153103</v>
      </c>
      <c r="BJ18" t="s">
        <v>324</v>
      </c>
      <c r="BK18" s="200">
        <f>_xll.meDateFromTenor($BK$10,BJ18,,"RIB")</f>
        <v>45546</v>
      </c>
      <c r="BL18" s="392">
        <f t="shared" si="19"/>
        <v>4</v>
      </c>
      <c r="BM18" s="508">
        <f t="shared" si="22"/>
        <v>0.94250495167608916</v>
      </c>
      <c r="BN18" s="207">
        <f t="shared" si="15"/>
        <v>1.4803526476509588E-2</v>
      </c>
      <c r="BP18" t="s">
        <v>324</v>
      </c>
      <c r="BQ18" s="200">
        <f>_xll.meDateFromTenor($BQ$10,BP18,,"RIB:LNB:NYB")</f>
        <v>45546</v>
      </c>
      <c r="BR18" s="207">
        <f>_xll.meLWOSwapParRate(_xll.meLWOSwapCreateFromGenerator("TEST","USD_3ML_ANNUAL_ACT360","PAY",1000000,$BQ$10,BQ18,1%,0),"USDYC")</f>
        <v>2.7071268666572302E-3</v>
      </c>
      <c r="BS18" s="392">
        <f t="shared" si="23"/>
        <v>366</v>
      </c>
      <c r="BT18" s="433">
        <f>(1-BR18*SUMPRODUCT(BS$15:BS17,BT$15:BT17)/360)/(1+BS18/360*BR18)</f>
        <v>0.98908264562021575</v>
      </c>
      <c r="BU18">
        <f>_xll.meCurveDiscountFactorsForwardStarting($BQ$10,BQ18,"USDYC","USD6ML")</f>
        <v>0.98502654537211121</v>
      </c>
      <c r="BV18">
        <f>BT18*FX!$S$2/(FX!$S$2+AZ19/10000)</f>
        <v>0.97197990396836897</v>
      </c>
      <c r="BX18" t="s">
        <v>1353</v>
      </c>
      <c r="BY18" s="200">
        <f>_xll.meDateFromTenor($BY$10,BX18,,"RIB:NYB:LNB")</f>
        <v>45546</v>
      </c>
      <c r="BZ18">
        <f t="shared" si="16"/>
        <v>0.51111111111111107</v>
      </c>
      <c r="CA18">
        <f>_xll.meUtilityInterpolation($BQ$10:$BQ$24,$BV$10:$BV$24,BY18,"SPLINE")</f>
        <v>0.97197990396836897</v>
      </c>
      <c r="CB18">
        <f>_xll.meUtilityInterpolation($BK$10:$BK$24,$BM$10:$BM$24,BY18,"SPLINE")</f>
        <v>0.94250495167608905</v>
      </c>
      <c r="CC18" s="207">
        <f t="shared" si="17"/>
        <v>2.1319887870124312E-2</v>
      </c>
      <c r="CD18" s="207">
        <f>(1-CA18-SUMPRODUCT(CA$10:CA18,BZ$10:BZ18,CC$10:CC18))/SUMPRODUCT(BZ$10:BZ18,BZ$10:BZ18)</f>
        <v>-1.4805493127395188E-2</v>
      </c>
    </row>
    <row r="19" spans="2:82" x14ac:dyDescent="0.25">
      <c r="B19" s="36"/>
      <c r="C19" s="36"/>
      <c r="D19" s="36"/>
      <c r="E19" s="36"/>
      <c r="G19" s="38"/>
      <c r="H19" s="39"/>
      <c r="I19" s="39"/>
      <c r="J19" s="39"/>
      <c r="K19" s="39"/>
      <c r="L19" s="40"/>
      <c r="M19" s="41"/>
      <c r="N19" s="200">
        <f>_xll.meDateFromTenor('STATIC DATA'!$X$9,P19,,"RIB")</f>
        <v>45180</v>
      </c>
      <c r="O19" s="24" t="str">
        <f>"SRSW3"&amp;$O$2&amp;" Curncy"</f>
        <v>SRSW3 GMGM Curncy</v>
      </c>
      <c r="P19" s="25" t="s">
        <v>316</v>
      </c>
      <c r="Q19" s="28"/>
      <c r="R19" s="29">
        <f>IF(O19="","",IF(StaticData.Today=TODAY(),_xll.BDP(O19,"BID"),_xll.BDH(O19,"BID",StaticData.Today,StaticData.Today)))</f>
        <v>1.248</v>
      </c>
      <c r="S19" s="29">
        <f>IF(O19="","",IF(StaticData.Today=TODAY(),_xll.BDP(O19,"ASK"),_xll.BDH(O19,"ASK",StaticData.Today,StaticData.Today)))</f>
        <v>1.3080000000000001</v>
      </c>
      <c r="T19" s="30">
        <f>IF(O19="","",IF(StaticData.Today=TODAY(),_xll.BDP(O19,"LAST_PRICE"),_xll.BDH(O19,"LAST_PRICE",StaticData.Today,StaticData.Today)))</f>
        <v>1.278</v>
      </c>
      <c r="U19" s="183">
        <f t="shared" si="11"/>
        <v>1.278E-2</v>
      </c>
      <c r="W19" s="24"/>
      <c r="X19" s="25"/>
      <c r="Y19" s="191"/>
      <c r="Z19" s="27"/>
      <c r="AB19" s="24"/>
      <c r="AC19" s="25"/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25"/>
      <c r="AN19" s="28"/>
      <c r="AO19" s="29"/>
      <c r="AP19" s="29"/>
      <c r="AQ19" s="177"/>
      <c r="AR19" s="181"/>
      <c r="AT19" s="24" t="str">
        <f t="shared" si="4"/>
        <v>SAR4Y GMGM Curncy</v>
      </c>
      <c r="AU19" s="25" t="s">
        <v>324</v>
      </c>
      <c r="AV19" s="31"/>
      <c r="AW19" s="196">
        <f>IF(AT19="","",IF(StaticData.Today=TODAY(),_xll.BDP(AT19,"BID"),_xll.BDH(AT19,"BID",StaticData.Today,StaticData.Today)))</f>
        <v>590</v>
      </c>
      <c r="AX19" s="196">
        <f>IF(AT19="","",IF(StaticData.Today=TODAY(),_xll.BDP(AT19,"ASK"),_xll.BDH(AT19,"ASK",StaticData.Today,StaticData.Today)))</f>
        <v>730</v>
      </c>
      <c r="AY19" s="196">
        <f>IF(AT19="","",IF(StaticData.Today=TODAY(),_xll.BDP(AT19,"LAST_PRICE"),_xll.BDH(AT19,"LAST_PRICE",StaticData.Today,StaticData.Today)))</f>
        <v>660</v>
      </c>
      <c r="AZ19" s="181">
        <f t="shared" si="21"/>
        <v>660</v>
      </c>
      <c r="BD19" t="s">
        <v>349</v>
      </c>
      <c r="BE19" s="200">
        <f>_xll.meDateFromTenor('STATIC DATA'!$X$9,SAR_DATA!BD19,,"RIB")</f>
        <v>47737</v>
      </c>
      <c r="BF19" s="207">
        <f>_xll.meUtilityInterpolation($N$17:$N$24,$U$17:$U$24,BE19,"SPLINE")</f>
        <v>2.4740000000000002E-2</v>
      </c>
      <c r="BG19">
        <f t="shared" si="13"/>
        <v>365</v>
      </c>
      <c r="BH19">
        <f>(1-BF19*SUMPRODUCT(BG$10:BG18,BH$10:BH18)/360)/(1+BG19/360*BF19)</f>
        <v>0.77484822969405054</v>
      </c>
      <c r="BJ19" t="s">
        <v>331</v>
      </c>
      <c r="BK19" s="200">
        <f>_xll.meDateFromTenor($BK$10,BJ19,,"RIB")</f>
        <v>45911</v>
      </c>
      <c r="BL19" s="392">
        <f t="shared" si="19"/>
        <v>4.9993155373032172</v>
      </c>
      <c r="BM19" s="508">
        <f t="shared" si="22"/>
        <v>0.91933860734297324</v>
      </c>
      <c r="BN19" s="207">
        <f t="shared" si="15"/>
        <v>1.6822457376347827E-2</v>
      </c>
      <c r="BP19" t="s">
        <v>331</v>
      </c>
      <c r="BQ19" s="200">
        <f>_xll.meDateFromTenor($BQ$10,BP19,,"RIB:LNB:NYB")</f>
        <v>45911</v>
      </c>
      <c r="BR19" s="207">
        <f>_xll.meLWOSwapParRate(_xll.meLWOSwapCreateFromGenerator("TEST","USD_3ML_ANNUAL_ACT360","PAY",1000000,$BQ$10,BQ19,1%,0),"USDYC")</f>
        <v>3.3075093337280146E-3</v>
      </c>
      <c r="BS19" s="392">
        <f t="shared" si="23"/>
        <v>365</v>
      </c>
      <c r="BT19" s="433">
        <f>(1-BR19*SUMPRODUCT(BS$15:BS18,BT$15:BT18)/360)/(1+BS19/360*BR19)</f>
        <v>0.98336375322691871</v>
      </c>
      <c r="BU19">
        <f>_xll.meCurveDiscountFactorsForwardStarting($BQ$10,BQ19,"USDYC","USD6ML")</f>
        <v>0.97803052111190047</v>
      </c>
      <c r="BV19">
        <f>BT19*FX!$S$2/(FX!$S$2+AZ20/10000)</f>
        <v>0.96057165602720107</v>
      </c>
      <c r="BX19" t="s">
        <v>1354</v>
      </c>
      <c r="BY19" s="200">
        <f>_xll.meDateFromTenor($BY$10,BX19,,"RIB:NYB:LNB")</f>
        <v>45727</v>
      </c>
      <c r="BZ19">
        <f t="shared" si="16"/>
        <v>0.50277777777777777</v>
      </c>
      <c r="CA19">
        <f>_xll.meUtilityInterpolation($BQ$10:$BQ$24,$BV$10:$BV$24,BY19,"SPLINE")</f>
        <v>0.96653972314815673</v>
      </c>
      <c r="CB19">
        <f>_xll.meUtilityInterpolation($BK$10:$BK$24,$BM$10:$BM$24,BY19,"SPLINE")</f>
        <v>0.93146119862483601</v>
      </c>
      <c r="CC19" s="207">
        <f t="shared" si="17"/>
        <v>2.3581739866866309E-2</v>
      </c>
      <c r="CD19" s="207">
        <f>(1-CA19-SUMPRODUCT(CA$10:CA19,BZ$10:BZ19,CC$10:CC19))/SUMPRODUCT(BZ$10:BZ19,BZ$10:BZ19)</f>
        <v>-1.5790437239498301E-2</v>
      </c>
    </row>
    <row r="20" spans="2:82" x14ac:dyDescent="0.25">
      <c r="B20" s="36"/>
      <c r="C20" s="36"/>
      <c r="D20" s="36"/>
      <c r="E20" s="36"/>
      <c r="N20" s="200">
        <f>_xll.meDateFromTenor('STATIC DATA'!$X$9,P20,,"RIB")</f>
        <v>45546</v>
      </c>
      <c r="O20" s="24" t="str">
        <f>"SRSW4"&amp;$O$2&amp;" Curncy"</f>
        <v>SRSW4 GMGM Curncy</v>
      </c>
      <c r="P20" s="25" t="s">
        <v>324</v>
      </c>
      <c r="Q20" s="28"/>
      <c r="R20" s="29">
        <f>IF(O20="","",IF(StaticData.Today=TODAY(),_xll.BDP(O20,"BID"),_xll.BDH(O20,"BID",StaticData.Today,StaticData.Today)))</f>
        <v>1.4330000000000001</v>
      </c>
      <c r="S20" s="29">
        <f>IF(O20="","",IF(StaticData.Today=TODAY(),_xll.BDP(O20,"ASK"),_xll.BDH(O20,"ASK",StaticData.Today,StaticData.Today)))</f>
        <v>1.4930000000000001</v>
      </c>
      <c r="T20" s="30">
        <f>IF(O20="","",IF(StaticData.Today=TODAY(),_xll.BDP(O20,"LAST_PRICE"),_xll.BDH(O20,"LAST_PRICE",StaticData.Today,StaticData.Today)))</f>
        <v>1.4630000000000001</v>
      </c>
      <c r="U20" s="183">
        <f t="shared" si="11"/>
        <v>1.4630000000000001E-2</v>
      </c>
      <c r="W20" s="24"/>
      <c r="X20" s="25"/>
      <c r="Y20" s="191"/>
      <c r="Z20" s="27"/>
      <c r="AB20" s="24"/>
      <c r="AC20" s="25"/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25"/>
      <c r="AN20" s="28"/>
      <c r="AO20" s="29"/>
      <c r="AP20" s="29"/>
      <c r="AQ20" s="177"/>
      <c r="AR20" s="181"/>
      <c r="AT20" s="24" t="str">
        <f t="shared" si="4"/>
        <v>SAR5Y GMGM Curncy</v>
      </c>
      <c r="AU20" s="25" t="s">
        <v>331</v>
      </c>
      <c r="AV20" s="31"/>
      <c r="AW20" s="196">
        <f>IF(AT20="","",IF(StaticData.Today=TODAY(),_xll.BDP(AT20,"BID"),_xll.BDH(AT20,"BID",StaticData.Today,StaticData.Today)))</f>
        <v>790</v>
      </c>
      <c r="AX20" s="196">
        <f>IF(AT20="","",IF(StaticData.Today=TODAY(),_xll.BDP(AT20,"ASK"),_xll.BDH(AT20,"ASK",StaticData.Today,StaticData.Today)))</f>
        <v>990</v>
      </c>
      <c r="AY20" s="196">
        <f>IF(AT20="","",IF(StaticData.Today=TODAY(),_xll.BDP(AT20,"LAST_PRICE"),_xll.BDH(AT20,"LAST_PRICE",StaticData.Today,StaticData.Today)))</f>
        <v>890</v>
      </c>
      <c r="AZ20" s="181">
        <f t="shared" si="21"/>
        <v>890</v>
      </c>
      <c r="BJ20" t="s">
        <v>339</v>
      </c>
      <c r="BK20" s="200">
        <f>_xll.meDateFromTenor($BK$10,BJ20,,"RIB")</f>
        <v>46276</v>
      </c>
      <c r="BL20" s="392">
        <f t="shared" si="19"/>
        <v>5.9986310746064335</v>
      </c>
      <c r="BM20" s="508">
        <f t="shared" si="22"/>
        <v>0.8932965794685932</v>
      </c>
      <c r="BN20" s="207">
        <f t="shared" si="15"/>
        <v>1.8810397901494857E-2</v>
      </c>
      <c r="BP20" t="s">
        <v>339</v>
      </c>
      <c r="BQ20" s="200">
        <f>_xll.meDateFromTenor($BQ$10,BP20,,"RIB:LNB:NYB")</f>
        <v>46276</v>
      </c>
      <c r="BR20" s="207">
        <f>_xll.meLWOSwapParRate(_xll.meLWOSwapCreateFromGenerator("TEST","USD_3ML_ANNUAL_ACT360","PAY",1000000,$BQ$10,BQ20,1%,0),"USDYC")</f>
        <v>4.0275467821088411E-3</v>
      </c>
      <c r="BS20" s="392">
        <f t="shared" si="23"/>
        <v>365</v>
      </c>
      <c r="BT20" s="433">
        <f>(1-BR20*SUMPRODUCT(BS$15:BS19,BT$15:BT19)/360)/(1+BS20/360*BR20)</f>
        <v>0.97575758778425514</v>
      </c>
      <c r="BU20">
        <f>_xll.meCurveDiscountFactorsForwardStarting($BQ$10,BQ20,"USDYC","USD6ML")</f>
        <v>0.96908223984406527</v>
      </c>
      <c r="BV20">
        <f>BT20*FX!$S$2/(FX!$S$2+AZ21/10000)</f>
        <v>0.9478961283607118</v>
      </c>
      <c r="BX20" s="2" t="s">
        <v>1355</v>
      </c>
      <c r="BY20" s="467">
        <f>_xll.meDateFromTenor($BY$10,BX20,,"RIB:NYB:LNB")</f>
        <v>45911</v>
      </c>
      <c r="BZ20" s="2">
        <f t="shared" si="16"/>
        <v>0.51111111111111107</v>
      </c>
      <c r="CA20" s="2">
        <f>_xll.meUtilityInterpolation($BQ$10:$BQ$24,$BV$10:$BV$24,BY20,"SPLINE")</f>
        <v>0.96057165602720096</v>
      </c>
      <c r="CB20" s="2">
        <f>_xll.meUtilityInterpolation($BK$10:$BK$24,$BM$10:$BM$24,BY20,"SPLINE")</f>
        <v>0.91933860734297301</v>
      </c>
      <c r="CC20" s="571">
        <f t="shared" si="17"/>
        <v>2.5799105126354843E-2</v>
      </c>
      <c r="CD20" s="571">
        <f>(1-CA20-SUMPRODUCT(CA$10:CA20,BZ$10:BZ20,CC$10:CC20))/SUMPRODUCT(BZ$10:BZ20,BZ$10:BZ20)</f>
        <v>-1.6790562579167886E-2</v>
      </c>
    </row>
    <row r="21" spans="2:82" x14ac:dyDescent="0.25">
      <c r="B21" s="36"/>
      <c r="C21" s="36"/>
      <c r="D21" s="36"/>
      <c r="E21" s="36"/>
      <c r="N21" s="200">
        <f>_xll.meDateFromTenor('STATIC DATA'!$X$9,P21,,"RIB")</f>
        <v>45911</v>
      </c>
      <c r="O21" s="24" t="str">
        <f>"SRSW5"&amp;$O$2&amp;" Curncy"</f>
        <v>SRSW5 GMGM Curncy</v>
      </c>
      <c r="P21" s="25" t="s">
        <v>331</v>
      </c>
      <c r="Q21" s="28"/>
      <c r="R21" s="29">
        <f>IF(O21="","",IF(StaticData.Today=TODAY(),_xll.BDP(O21,"BID"),_xll.BDH(O21,"BID",StaticData.Today,StaticData.Today)))</f>
        <v>1.629</v>
      </c>
      <c r="S21" s="29">
        <f>IF(O21="","",IF(StaticData.Today=TODAY(),_xll.BDP(O21,"ASK"),_xll.BDH(O21,"ASK",StaticData.Today,StaticData.Today)))</f>
        <v>1.6890000000000001</v>
      </c>
      <c r="T21" s="30">
        <f>IF(O21="","",IF(StaticData.Today=TODAY(),_xll.BDP(O21,"LAST_PRICE"),_xll.BDH(O21,"LAST_PRICE",StaticData.Today,StaticData.Today)))</f>
        <v>1.659</v>
      </c>
      <c r="U21" s="183">
        <f t="shared" si="11"/>
        <v>1.6590000000000001E-2</v>
      </c>
      <c r="W21" s="24"/>
      <c r="X21" s="25"/>
      <c r="Y21" s="191"/>
      <c r="Z21" s="27"/>
      <c r="AB21" s="24"/>
      <c r="AC21" s="25"/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ref="AT21:AT22" si="24">"SAR"&amp;AU21&amp;$AT$1&amp;" Curncy"</f>
        <v>SAR6Y GMGM Curncy</v>
      </c>
      <c r="AU21" s="25" t="s">
        <v>339</v>
      </c>
      <c r="AV21" s="31"/>
      <c r="AW21" s="196">
        <f>IF(AT21="","",IF(StaticData.Today=TODAY(),_xll.BDP(AT21,"BID"),_xll.BDH(AT21,"BID",StaticData.Today,StaticData.Today)))</f>
        <v>952.5</v>
      </c>
      <c r="AX21" s="196">
        <f>IF(AT21="","",IF(StaticData.Today=TODAY(),_xll.BDP(AT21,"ASK"),_xll.BDH(AT21,"ASK",StaticData.Today,StaticData.Today)))</f>
        <v>1252.5</v>
      </c>
      <c r="AY21" s="196">
        <f>IF(AT21="","",IF(StaticData.Today=TODAY(),_xll.BDP(AT21,"LAST_PRICE"),_xll.BDH(AT21,"LAST_PRICE",StaticData.Today,StaticData.Today)))</f>
        <v>1102.5</v>
      </c>
      <c r="AZ21" s="181">
        <f t="shared" ref="AZ21:AZ22" si="25">AY21</f>
        <v>1102.5</v>
      </c>
      <c r="BJ21" t="s">
        <v>342</v>
      </c>
      <c r="BK21" s="200">
        <f>_xll.meDateFromTenor($BK$10,BJ21,,"RIB")</f>
        <v>46641</v>
      </c>
      <c r="BL21" s="392">
        <f t="shared" si="19"/>
        <v>6.9979466119096507</v>
      </c>
      <c r="BM21" s="508">
        <f t="shared" si="22"/>
        <v>0.86608577579782542</v>
      </c>
      <c r="BN21" s="207">
        <f t="shared" si="15"/>
        <v>2.054478764021847E-2</v>
      </c>
      <c r="BP21" t="s">
        <v>342</v>
      </c>
      <c r="BQ21" s="200">
        <f>_xll.meDateFromTenor($BQ$10,BP21,,"RIB:LNB:NYB")</f>
        <v>46641</v>
      </c>
      <c r="BR21" s="207">
        <f>_xll.meLWOSwapParRate(_xll.meLWOSwapCreateFromGenerator("TEST","USD_3ML_ANNUAL_ACT360","PAY",1000000,$BQ$10,BQ21,1%,0),"USDYC")</f>
        <v>4.7726249750453965E-3</v>
      </c>
      <c r="BS21" s="392">
        <f t="shared" si="23"/>
        <v>365</v>
      </c>
      <c r="BT21" s="433">
        <f>(1-BR21*SUMPRODUCT(BS$15:BS20,BT$15:BT20)/360)/(1+BS21/360*BR21)</f>
        <v>0.96659557923934969</v>
      </c>
      <c r="BU21">
        <f>_xll.meCurveDiscountFactorsForwardStarting($BQ$10,BQ21,"USDYC","USD6ML")</f>
        <v>0.95873561091369475</v>
      </c>
      <c r="BV21">
        <f>BT21*FX!$S$2/(FX!$S$2+AZ22/10000)</f>
        <v>0.93385621218032056</v>
      </c>
      <c r="BX21" t="s">
        <v>1356</v>
      </c>
      <c r="BY21" s="200">
        <f>_xll.meDateFromTenor($BY$10,BX21,,"RIB:NYB:LNB")</f>
        <v>46092</v>
      </c>
      <c r="BZ21">
        <f t="shared" si="16"/>
        <v>0.50277777777777777</v>
      </c>
      <c r="CA21">
        <f>_xll.meUtilityInterpolation($BQ$10:$BQ$24,$BV$10:$BV$24,BY21,"SPLINE")</f>
        <v>0.95447511603836799</v>
      </c>
      <c r="CB21">
        <f>_xll.meUtilityInterpolation($BK$10:$BK$24,$BM$10:$BM$24,BY21,"SPLINE")</f>
        <v>0.90665737323939588</v>
      </c>
      <c r="CC21" s="207">
        <f t="shared" si="17"/>
        <v>2.7819046993790088E-2</v>
      </c>
      <c r="CD21" s="207">
        <f>(1-CA21-SUMPRODUCT(CA$10:CA21,BZ$10:BZ21,CC$10:CC21))/SUMPRODUCT(BZ$10:BZ21,BZ$10:BZ21)</f>
        <v>-1.7855472064937417E-2</v>
      </c>
    </row>
    <row r="22" spans="2:82" x14ac:dyDescent="0.25">
      <c r="B22" s="36"/>
      <c r="C22" s="36"/>
      <c r="D22" s="36"/>
      <c r="E22" s="36"/>
      <c r="N22" s="200">
        <f>_xll.meDateFromTenor('STATIC DATA'!$X$9,P22,,"RIB")</f>
        <v>46276</v>
      </c>
      <c r="O22" s="24" t="str">
        <f>"SRSW6"&amp;$O$2&amp;" Curncy"</f>
        <v>SRSW6 GMGM Curncy</v>
      </c>
      <c r="P22" s="25" t="s">
        <v>339</v>
      </c>
      <c r="Q22" s="28"/>
      <c r="R22" s="29">
        <f>IF(O22="","",IF(StaticData.Today=TODAY(),_xll.BDP(O22,"BID"),_xll.BDH(O22,"BID",StaticData.Today,StaticData.Today)))</f>
        <v>1.82</v>
      </c>
      <c r="S22" s="29">
        <f>IF(O22="","",IF(StaticData.Today=TODAY(),_xll.BDP(O22,"ASK"),_xll.BDH(O22,"ASK",StaticData.Today,StaticData.Today)))</f>
        <v>1.88</v>
      </c>
      <c r="T22" s="30">
        <f>IF(O22="","",IF(StaticData.Today=TODAY(),_xll.BDP(O22,"LAST_PRICE"),_xll.BDH(O22,"LAST_PRICE",StaticData.Today,StaticData.Today)))</f>
        <v>1.85</v>
      </c>
      <c r="U22" s="183">
        <f t="shared" si="11"/>
        <v>1.8500000000000003E-2</v>
      </c>
      <c r="W22" s="24"/>
      <c r="X22" s="25"/>
      <c r="Y22" s="191"/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 t="shared" si="24"/>
        <v>SAR7Y GMGM Curncy</v>
      </c>
      <c r="AU22" s="25" t="s">
        <v>342</v>
      </c>
      <c r="AV22" s="31"/>
      <c r="AW22" s="196">
        <f>IF(AT22="","",IF(StaticData.Today=TODAY(),_xll.BDP(AT22,"BID"),_xll.BDH(AT22,"BID",StaticData.Today,StaticData.Today)))</f>
        <v>1115</v>
      </c>
      <c r="AX22" s="196">
        <f>IF(AT22="","",IF(StaticData.Today=TODAY(),_xll.BDP(AT22,"ASK"),_xll.BDH(AT22,"ASK",StaticData.Today,StaticData.Today)))</f>
        <v>1515</v>
      </c>
      <c r="AY22" s="196">
        <f>IF(AT22="","",IF(StaticData.Today=TODAY(),_xll.BDP(AT22,"LAST_PRICE"),_xll.BDH(AT22,"LAST_PRICE",StaticData.Today,StaticData.Today)))</f>
        <v>1315</v>
      </c>
      <c r="AZ22" s="181">
        <f t="shared" si="25"/>
        <v>1315</v>
      </c>
      <c r="BJ22" t="s">
        <v>355</v>
      </c>
      <c r="BK22" s="200">
        <f>_xll.meDateFromTenor($BK$10,BJ22,,"RIB")</f>
        <v>47007</v>
      </c>
      <c r="BL22" s="392">
        <f t="shared" si="19"/>
        <v>8</v>
      </c>
      <c r="BM22" s="508">
        <f t="shared" si="22"/>
        <v>0.83725358004528627</v>
      </c>
      <c r="BN22" s="207">
        <f t="shared" si="15"/>
        <v>2.2203536419952621E-2</v>
      </c>
      <c r="BO22" s="382">
        <f>AZ22+(AZ23-AZ22)/3</f>
        <v>1513.3333333333333</v>
      </c>
      <c r="BP22" t="s">
        <v>355</v>
      </c>
      <c r="BQ22" s="200">
        <f>_xll.meDateFromTenor($BQ$10,BP22,,"RIB:LNB:NYB")</f>
        <v>47007</v>
      </c>
      <c r="BR22" s="207">
        <f>_xll.meLWOSwapParRate(_xll.meLWOSwapCreateFromGenerator("TEST","USD_3ML_ANNUAL_ACT360","PAY",1000000,$BQ$10,BQ22,1%,0),"USDYC")</f>
        <v>5.4764878191855262E-3</v>
      </c>
      <c r="BS22" s="392">
        <f t="shared" si="23"/>
        <v>366</v>
      </c>
      <c r="BT22" s="433">
        <f>(1-BR22*SUMPRODUCT(BS$15:BS21,BT$15:BT21)/360)/(1+BS22/360*BR22)</f>
        <v>0.95634442374191064</v>
      </c>
      <c r="BU22">
        <f>_xll.meCurveDiscountFactorsForwardStarting($BQ$10,BQ22,"USDYC","USD6ML")</f>
        <v>0.94718057703192127</v>
      </c>
      <c r="BV22">
        <f>BT22*FX!$S$2/(FX!$S$2+BO22/10000)</f>
        <v>0.91925622908595916</v>
      </c>
      <c r="BX22" t="s">
        <v>1357</v>
      </c>
      <c r="BY22" s="200">
        <f>_xll.meDateFromTenor($BY$10,BX22,,"RIB:NYB:LNB")</f>
        <v>46276</v>
      </c>
      <c r="BZ22">
        <f t="shared" si="16"/>
        <v>0.51111111111111107</v>
      </c>
      <c r="CA22">
        <f>_xll.meUtilityInterpolation($BQ$10:$BQ$24,$BV$10:$BV$24,BY22,"SPLINE")</f>
        <v>0.94789612836071202</v>
      </c>
      <c r="CB22">
        <f>_xll.meUtilityInterpolation($BK$10:$BK$24,$BM$10:$BM$24,BY22,"SPLINE")</f>
        <v>0.89329657946859298</v>
      </c>
      <c r="CC22" s="207">
        <f t="shared" si="17"/>
        <v>2.9263163058527553E-2</v>
      </c>
      <c r="CD22" s="207">
        <f>(1-CA22-SUMPRODUCT(CA$10:CA22,BZ$10:BZ22,CC$10:CC22))/SUMPRODUCT(BZ$10:BZ22,BZ$10:BZ22)</f>
        <v>-1.8805923946266394E-2</v>
      </c>
    </row>
    <row r="23" spans="2:82" x14ac:dyDescent="0.25">
      <c r="B23" s="36"/>
      <c r="C23" s="36"/>
      <c r="D23" s="36"/>
      <c r="E23" s="36"/>
      <c r="N23" s="200">
        <f>_xll.meDateFromTenor('STATIC DATA'!$X$9,P23,,"RIB")</f>
        <v>46641</v>
      </c>
      <c r="O23" s="24" t="str">
        <f>"SRSW7"&amp;$O$2&amp;" Curncy"</f>
        <v>SRSW7 GMGM Curncy</v>
      </c>
      <c r="P23" s="25" t="s">
        <v>342</v>
      </c>
      <c r="Q23" s="28"/>
      <c r="R23" s="29">
        <f>IF(O23="","",IF(StaticData.Today=TODAY(),_xll.BDP(O23,"BID"),_xll.BDH(O23,"BID",StaticData.Today,StaticData.Today)))</f>
        <v>1.9850000000000001</v>
      </c>
      <c r="S23" s="29">
        <f>IF(O23="","",IF(StaticData.Today=TODAY(),_xll.BDP(O23,"ASK"),_xll.BDH(O23,"ASK",StaticData.Today,StaticData.Today)))</f>
        <v>2.0449999999999999</v>
      </c>
      <c r="T23" s="30">
        <f>IF(O23="","",IF(StaticData.Today=TODAY(),_xll.BDP(O23,"LAST_PRICE"),_xll.BDH(O23,"LAST_PRICE",StaticData.Today,StaticData.Today)))</f>
        <v>2.0150000000000001</v>
      </c>
      <c r="U23" s="183">
        <f t="shared" si="11"/>
        <v>2.0150000000000001E-2</v>
      </c>
      <c r="W23" s="24"/>
      <c r="X23" s="25"/>
      <c r="Y23" s="191"/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ref="AT23" si="26">"SAR"&amp;AU23&amp;$AT$1&amp;" Curncy"</f>
        <v>SAR10Y GMGM Curncy</v>
      </c>
      <c r="AU23" s="25" t="s">
        <v>349</v>
      </c>
      <c r="AV23" s="31"/>
      <c r="AW23" s="196">
        <f>IF(AT23="","",IF(StaticData.Today=TODAY(),_xll.BDP(AT23,"BID"),_xll.BDH(AT23,"BID",StaticData.Today,StaticData.Today)))</f>
        <v>1610</v>
      </c>
      <c r="AX23" s="196">
        <f>IF(AT23="","",IF(StaticData.Today=TODAY(),_xll.BDP(AT23,"ASK"),_xll.BDH(AT23,"ASK",StaticData.Today,StaticData.Today)))</f>
        <v>2210</v>
      </c>
      <c r="AY23" s="196">
        <f>IF(AT23="","",IF(StaticData.Today=TODAY(),_xll.BDP(AT23,"LAST_PRICE"),_xll.BDH(AT23,"LAST_PRICE",StaticData.Today,StaticData.Today)))</f>
        <v>1910</v>
      </c>
      <c r="AZ23" s="181">
        <f t="shared" ref="AZ23" si="27">AY23</f>
        <v>1910</v>
      </c>
      <c r="BJ23" t="s">
        <v>364</v>
      </c>
      <c r="BK23" s="200">
        <f>_xll.meDateFromTenor($BK$10,BJ23,,"RIB")</f>
        <v>47372</v>
      </c>
      <c r="BL23" s="392">
        <f t="shared" si="19"/>
        <v>8.9993155373032163</v>
      </c>
      <c r="BM23" s="508">
        <f t="shared" si="22"/>
        <v>0.80682732421153103</v>
      </c>
      <c r="BN23" s="207">
        <f t="shared" si="15"/>
        <v>2.3851325714078036E-2</v>
      </c>
      <c r="BO23" s="382">
        <f>AZ22+2*(AZ23-AZ21)/3</f>
        <v>1853.3333333333335</v>
      </c>
      <c r="BP23" t="s">
        <v>364</v>
      </c>
      <c r="BQ23" s="200">
        <f>_xll.meDateFromTenor($BQ$10,BP23,,"RIB:LNB:NYB")</f>
        <v>47372</v>
      </c>
      <c r="BR23" s="207">
        <f>_xll.meLWOSwapParRate(_xll.meLWOSwapCreateFromGenerator("TEST","USD_3ML_ANNUAL_ACT360","PAY",1000000,$BQ$10,BQ23,1%,0),"USDYC")</f>
        <v>6.1577362053674605E-3</v>
      </c>
      <c r="BS23" s="392">
        <f t="shared" si="23"/>
        <v>365</v>
      </c>
      <c r="BT23" s="433">
        <f>(1-BR23*SUMPRODUCT(BS$15:BS22,BT$15:BT22)/360)/(1+BS23/360*BR23)</f>
        <v>0.94501391500472853</v>
      </c>
      <c r="BU23">
        <f>_xll.meCurveDiscountFactorsForwardStarting($BQ$10,BQ23,"USDYC","USD6ML")</f>
        <v>0.9346421429716365</v>
      </c>
      <c r="BV23">
        <f>BT23*FX!$S$2/(FX!$S$2+BO23/10000)</f>
        <v>0.90051894631701268</v>
      </c>
      <c r="BX23" t="s">
        <v>1475</v>
      </c>
      <c r="BY23" s="200">
        <f>_xll.meDateFromTenor($BY$10,BX23,,"RIB:NYB:LNB")</f>
        <v>46457</v>
      </c>
      <c r="BZ23">
        <f t="shared" si="16"/>
        <v>0.50277777777777777</v>
      </c>
      <c r="CA23">
        <f>_xll.meUtilityInterpolation($BQ$10:$BQ$24,$BV$10:$BV$24,BY23,"SPLINE")</f>
        <v>0.94094698723611714</v>
      </c>
      <c r="CB23">
        <f>_xll.meUtilityInterpolation($BK$10:$BK$24,$BM$10:$BM$24,BY23,"SPLINE")</f>
        <v>0.8799460800351192</v>
      </c>
      <c r="CC23" s="207">
        <f t="shared" si="17"/>
        <v>3.0176257544247846E-2</v>
      </c>
      <c r="CD23" s="207">
        <f>(1-CA23-SUMPRODUCT(CA$10:CA23,BZ$10:BZ23,CC$10:CC23))/SUMPRODUCT(BZ$10:BZ23,BZ$10:BZ23)</f>
        <v>-1.9576349770221785E-2</v>
      </c>
    </row>
    <row r="24" spans="2:82" x14ac:dyDescent="0.25">
      <c r="N24" s="200">
        <f>_xll.meDateFromTenor('STATIC DATA'!$X$9,P24,,"RIB")</f>
        <v>47737</v>
      </c>
      <c r="O24" s="24" t="str">
        <f>"SRSW10"&amp;$O$2&amp;" Curncy"</f>
        <v>SRSW10 GMGM Curncy</v>
      </c>
      <c r="P24" s="25" t="s">
        <v>349</v>
      </c>
      <c r="Q24" s="28"/>
      <c r="R24" s="29">
        <f>IF(O24="","",IF(StaticData.Today=TODAY(),_xll.BDP(O24,"BID"),_xll.BDH(O24,"BID",StaticData.Today,StaticData.Today)))</f>
        <v>2.4340000000000002</v>
      </c>
      <c r="S24" s="29">
        <f>IF(O24="","",IF(StaticData.Today=TODAY(),_xll.BDP(O24,"ASK"),_xll.BDH(O24,"ASK",StaticData.Today,StaticData.Today)))</f>
        <v>2.5139999999999998</v>
      </c>
      <c r="T24" s="30">
        <f>IF(O24="","",IF(StaticData.Today=TODAY(),_xll.BDP(O24,"LAST_PRICE"),_xll.BDH(O24,"LAST_PRICE",StaticData.Today,StaticData.Today)))</f>
        <v>2.4740000000000002</v>
      </c>
      <c r="U24" s="183">
        <f t="shared" si="11"/>
        <v>2.4740000000000002E-2</v>
      </c>
      <c r="W24" s="24"/>
      <c r="X24" s="25"/>
      <c r="Y24" s="191"/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/>
      <c r="AU24" s="25"/>
      <c r="AV24" s="28"/>
      <c r="AW24" s="178"/>
      <c r="AX24" s="178"/>
      <c r="AY24" s="30"/>
      <c r="AZ24" s="181"/>
      <c r="BJ24" t="s">
        <v>349</v>
      </c>
      <c r="BK24" s="200">
        <f>_xll.meDateFromTenor($BK$10,BJ24,,"RIB")</f>
        <v>47737</v>
      </c>
      <c r="BL24" s="392">
        <f t="shared" si="19"/>
        <v>9.9986310746064344</v>
      </c>
      <c r="BM24" s="508">
        <f t="shared" si="22"/>
        <v>0.77484822969405054</v>
      </c>
      <c r="BN24" s="207">
        <f t="shared" si="15"/>
        <v>2.5512302589820932E-2</v>
      </c>
      <c r="BO24" s="382">
        <f>AZ23</f>
        <v>1910</v>
      </c>
      <c r="BP24" t="s">
        <v>349</v>
      </c>
      <c r="BQ24" s="200">
        <f>_xll.meDateFromTenor($BQ$10,BP24,,"RIB:LNB:NYB")</f>
        <v>47737</v>
      </c>
      <c r="BR24" s="207">
        <f>_xll.meLWOSwapParRate(_xll.meLWOSwapCreateFromGenerator("TEST","USD_3ML_ANNUAL_ACT360","PAY",1000000,$BQ$10,BQ24,1%,0),"USDYC")</f>
        <v>6.7650645867314372E-3</v>
      </c>
      <c r="BS24" s="392">
        <f t="shared" si="23"/>
        <v>365</v>
      </c>
      <c r="BT24" s="433">
        <f>(1-BR24*SUMPRODUCT(BS$15:BS23,BT$15:BT23)/360)/(1+BS24/360*BR24)</f>
        <v>0.93318994699094593</v>
      </c>
      <c r="BU24">
        <f>_xll.meCurveDiscountFactorsForwardStarting($BQ$10,BQ24,"USDYC","USD6ML")</f>
        <v>0.92161427280635111</v>
      </c>
      <c r="BV24">
        <f>BT24*FX!$S$2/(FX!$S$2+BO24/10000)</f>
        <v>0.88797335603854466</v>
      </c>
      <c r="BX24" t="s">
        <v>1359</v>
      </c>
      <c r="BY24" s="200">
        <f>_xll.meDateFromTenor($BY$10,BX24,,"RIB:NYB:LNB")</f>
        <v>46641</v>
      </c>
      <c r="BZ24">
        <f t="shared" si="16"/>
        <v>0.51111111111111107</v>
      </c>
      <c r="CA24">
        <f>_xll.meUtilityInterpolation($BQ$10:$BQ$24,$BV$10:$BV$24,BY24,"SPLINE")</f>
        <v>0.933856212180321</v>
      </c>
      <c r="CB24">
        <f>_xll.meUtilityInterpolation($BK$10:$BK$24,$BM$10:$BM$24,BY24,"SPLINE")</f>
        <v>0.86608577579782497</v>
      </c>
      <c r="CC24" s="207">
        <f t="shared" si="17"/>
        <v>3.1310970932696656E-2</v>
      </c>
      <c r="CD24" s="207">
        <f>(1-CA24-SUMPRODUCT(CA$10:CA24,BZ$10:BZ24,CC$10:CC24))/SUMPRODUCT(BZ$10:BZ24,BZ$10:BZ24)</f>
        <v>-2.0337280324352693E-2</v>
      </c>
    </row>
    <row r="25" spans="2:82" x14ac:dyDescent="0.25">
      <c r="O25" s="24"/>
      <c r="P25" s="25"/>
      <c r="Q25" s="28"/>
      <c r="R25" s="29"/>
      <c r="S25" s="29"/>
      <c r="T25" s="30"/>
      <c r="U25" s="183"/>
      <c r="W25" s="24"/>
      <c r="X25" s="25"/>
      <c r="Y25" s="191"/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 t="str">
        <f t="shared" ref="AT25:AT36" si="28">"SAR"&amp;AU25&amp;$AT$2&amp;" Curncy"</f>
        <v>SARTN SABK Curncy</v>
      </c>
      <c r="AU25" s="25" t="s">
        <v>506</v>
      </c>
      <c r="AV25" s="28"/>
      <c r="AW25" s="196" t="str">
        <f>IF(AT25="","",IF(StaticData.Today=TODAY(),_xll.BDP(AT25,"BID"),_xll.BDH(AT25,"BID",StaticData.Today,StaticData.Today)))</f>
        <v>#N/A N/A</v>
      </c>
      <c r="AX25" s="196" t="str">
        <f>IF(AT25="","",IF(StaticData.Today=TODAY(),_xll.BDP(AT25,"ASK"),_xll.BDH(AT25,"ASK",StaticData.Today,StaticData.Today)))</f>
        <v>#N/A N/A</v>
      </c>
      <c r="AY25" s="196" t="str">
        <f>IF(AT25="","",IF(StaticData.Today=TODAY(),_xll.BDP(AT25,"PX_LAST"),_xll.BDH(AT25,"PX_LAST",StaticData.Today,StaticData.Today)))</f>
        <v>#N/A N/A</v>
      </c>
      <c r="AZ25" s="181" t="str">
        <f>AY25</f>
        <v>#N/A N/A</v>
      </c>
      <c r="BK25" s="200"/>
      <c r="BX25" t="s">
        <v>1360</v>
      </c>
      <c r="BY25" s="200">
        <f>_xll.meDateFromTenor($BY$10,BX25,,"RIB:NYB:LNB")</f>
        <v>46823</v>
      </c>
      <c r="BZ25">
        <f t="shared" si="16"/>
        <v>0.50555555555555554</v>
      </c>
      <c r="CA25">
        <f>_xll.meUtilityInterpolation($BQ$10:$BQ$24,$BV$10:$BV$24,BY25,"SPLINE")</f>
        <v>0.92706441262493788</v>
      </c>
      <c r="CB25">
        <f>_xll.meUtilityInterpolation($BK$10:$BK$24,$BM$10:$BM$24,BY25,"SPLINE")</f>
        <v>0.85195997605091434</v>
      </c>
      <c r="CC25" s="207">
        <f t="shared" si="17"/>
        <v>3.2796308678773839E-2</v>
      </c>
      <c r="CD25" s="207">
        <f>(1-CA25-SUMPRODUCT(CA$10:CA25,BZ$10:BZ25,CC$10:CC25))/SUMPRODUCT(BZ$10:BZ25,BZ$10:BZ25)</f>
        <v>-2.1214060168918549E-2</v>
      </c>
    </row>
    <row r="26" spans="2:82" x14ac:dyDescent="0.25">
      <c r="O26" s="24"/>
      <c r="P26" s="25"/>
      <c r="Q26" s="28"/>
      <c r="R26" s="29"/>
      <c r="S26" s="29"/>
      <c r="T26" s="30"/>
      <c r="U26" s="183"/>
      <c r="W26" s="24"/>
      <c r="X26" s="25"/>
      <c r="Y26" s="191"/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 t="shared" si="28"/>
        <v>SAR1W SABK Curncy</v>
      </c>
      <c r="AU26" s="25" t="s">
        <v>305</v>
      </c>
      <c r="AV26" s="28"/>
      <c r="AW26" s="196">
        <f>IF(AT26="","",IF(StaticData.Today=TODAY(),_xll.BDP(AT26,"BID"),_xll.BDH(AT26,"BID",StaticData.Today,StaticData.Today)))</f>
        <v>-1.8</v>
      </c>
      <c r="AX26" s="196">
        <f>IF(AT26="","",IF(StaticData.Today=TODAY(),_xll.BDP(AT26,"ASK"),_xll.BDH(AT26,"ASK",StaticData.Today,StaticData.Today)))</f>
        <v>1.2</v>
      </c>
      <c r="AY26" s="196">
        <f>IF(AT26="","",IF(StaticData.Today=TODAY(),_xll.BDP(AT26,"PX_LAST"),_xll.BDH(AT26,"PX_LAST",StaticData.Today,StaticData.Today)))</f>
        <v>-0.3</v>
      </c>
      <c r="AZ26" s="181">
        <f t="shared" ref="AZ26:AZ36" si="29">AY26</f>
        <v>-0.3</v>
      </c>
      <c r="BX26" t="s">
        <v>1361</v>
      </c>
      <c r="BY26" s="200">
        <f>_xll.meDateFromTenor($BY$10,BX26,,"RIB:NYB:LNB")</f>
        <v>47007</v>
      </c>
      <c r="BZ26">
        <f t="shared" si="16"/>
        <v>0.51111111111111107</v>
      </c>
      <c r="CA26">
        <f>_xll.meUtilityInterpolation($BQ$10:$BQ$24,$BV$10:$BV$24,BY26,"SPLINE")</f>
        <v>0.91925622908595905</v>
      </c>
      <c r="CB26">
        <f>_xll.meUtilityInterpolation($BK$10:$BK$24,$BM$10:$BM$24,BY26,"SPLINE")</f>
        <v>0.83725358004528605</v>
      </c>
      <c r="CC26" s="207">
        <f t="shared" si="17"/>
        <v>3.4366390511840379E-2</v>
      </c>
      <c r="CD26" s="207">
        <f>(1-CA26-SUMPRODUCT(CA$10:CA26,BZ$10:BZ26,CC$10:CC26))/SUMPRODUCT(BZ$10:BZ26,BZ$10:BZ26)</f>
        <v>-2.1893251081835523E-2</v>
      </c>
    </row>
    <row r="27" spans="2:82" x14ac:dyDescent="0.25">
      <c r="O27" s="24"/>
      <c r="P27" s="25"/>
      <c r="Q27" s="28"/>
      <c r="R27" s="29"/>
      <c r="S27" s="29"/>
      <c r="T27" s="30"/>
      <c r="U27" s="183"/>
      <c r="W27" s="24"/>
      <c r="X27" s="25"/>
      <c r="Y27" s="191"/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 t="shared" si="28"/>
        <v>SAR1M SABK Curncy</v>
      </c>
      <c r="AU27" s="25" t="s">
        <v>300</v>
      </c>
      <c r="AV27" s="28"/>
      <c r="AW27" s="196">
        <f>IF(AT27="","",IF(StaticData.Today=TODAY(),_xll.BDP(AT27,"BID"),_xll.BDH(AT27,"BID",StaticData.Today,StaticData.Today)))</f>
        <v>-1</v>
      </c>
      <c r="AX27" s="196">
        <f>IF(AT27="","",IF(StaticData.Today=TODAY(),_xll.BDP(AT27,"ASK"),_xll.BDH(AT27,"ASK",StaticData.Today,StaticData.Today)))</f>
        <v>5</v>
      </c>
      <c r="AY27" s="196">
        <f>IF(AT27="","",IF(StaticData.Today=TODAY(),_xll.BDP(AT27,"PX_LAST"),_xll.BDH(AT27,"PX_LAST",StaticData.Today,StaticData.Today)))</f>
        <v>2</v>
      </c>
      <c r="AZ27" s="181">
        <f t="shared" si="29"/>
        <v>2</v>
      </c>
      <c r="BX27" t="s">
        <v>1362</v>
      </c>
      <c r="BY27" s="200">
        <f>_xll.meDateFromTenor($BY$10,BX27,,"RIB:NYB:LNB")</f>
        <v>47188</v>
      </c>
      <c r="BZ27">
        <f t="shared" si="16"/>
        <v>0.50277777777777777</v>
      </c>
      <c r="CA27">
        <f>_xll.meUtilityInterpolation($BQ$10:$BQ$24,$BV$10:$BV$24,BY27,"SPLINE")</f>
        <v>0.90984512485993208</v>
      </c>
      <c r="CB27">
        <f>_xll.meUtilityInterpolation($BK$10:$BK$24,$BM$10:$BM$24,BY27,"SPLINE")</f>
        <v>0.82238477715288028</v>
      </c>
      <c r="CC27" s="207">
        <f t="shared" si="17"/>
        <v>3.5960429280607983E-2</v>
      </c>
      <c r="CD27" s="207">
        <f>(1-CA27-SUMPRODUCT(CA$10:CA27,BZ$10:BZ27,CC$10:CC27))/SUMPRODUCT(BZ$10:BZ27,BZ$10:BZ27)</f>
        <v>-2.2237531634517797E-2</v>
      </c>
    </row>
    <row r="28" spans="2:82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191"/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 t="shared" si="28"/>
        <v>SAR2M SABK Curncy</v>
      </c>
      <c r="AU28" s="25" t="s">
        <v>335</v>
      </c>
      <c r="AV28" s="28"/>
      <c r="AW28" s="196">
        <f>IF(AT28="","",IF(StaticData.Today=TODAY(),_xll.BDP(AT28,"BID"),_xll.BDH(AT28,"BID",StaticData.Today,StaticData.Today)))</f>
        <v>3</v>
      </c>
      <c r="AX28" s="196">
        <f>IF(AT28="","",IF(StaticData.Today=TODAY(),_xll.BDP(AT28,"ASK"),_xll.BDH(AT28,"ASK",StaticData.Today,StaticData.Today)))</f>
        <v>9</v>
      </c>
      <c r="AY28" s="196">
        <f>IF(AT28="","",IF(StaticData.Today=TODAY(),_xll.BDP(AT28,"PX_LAST"),_xll.BDH(AT28,"PX_LAST",StaticData.Today,StaticData.Today)))</f>
        <v>6</v>
      </c>
      <c r="AZ28" s="181">
        <f t="shared" si="29"/>
        <v>6</v>
      </c>
      <c r="BX28" t="s">
        <v>1363</v>
      </c>
      <c r="BY28" s="200">
        <f>_xll.meDateFromTenor($BY$10,BX28,,"RIB:NYB:LNB")</f>
        <v>47372</v>
      </c>
      <c r="BZ28">
        <f t="shared" si="16"/>
        <v>0.51111111111111107</v>
      </c>
      <c r="CA28">
        <f>_xll.meUtilityInterpolation($BQ$10:$BQ$24,$BV$10:$BV$24,BY28,"SPLINE")</f>
        <v>0.90051894631701301</v>
      </c>
      <c r="CB28">
        <f>_xll.meUtilityInterpolation($BK$10:$BK$24,$BM$10:$BM$24,BY28,"SPLINE")</f>
        <v>0.80682732421153103</v>
      </c>
      <c r="CC28" s="207">
        <f t="shared" si="17"/>
        <v>3.7726157719056665E-2</v>
      </c>
      <c r="CD28" s="207">
        <f>(1-CA28-SUMPRODUCT(CA$10:CA28,BZ$10:BZ28,CC$10:CC28))/SUMPRODUCT(BZ$10:BZ28,BZ$10:BZ28)</f>
        <v>-2.271869596847368E-2</v>
      </c>
    </row>
    <row r="29" spans="2:82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191"/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 t="shared" si="28"/>
        <v>SAR3M SABK Curncy</v>
      </c>
      <c r="AU29" s="25" t="s">
        <v>49</v>
      </c>
      <c r="AV29" s="28"/>
      <c r="AW29" s="196">
        <f>IF(AT29="","",IF(StaticData.Today=TODAY(),_xll.BDP(AT29,"BID"),_xll.BDH(AT29,"BID",StaticData.Today,StaticData.Today)))</f>
        <v>4</v>
      </c>
      <c r="AX29" s="196">
        <f>IF(AT29="","",IF(StaticData.Today=TODAY(),_xll.BDP(AT29,"ASK"),_xll.BDH(AT29,"ASK",StaticData.Today,StaticData.Today)))</f>
        <v>14</v>
      </c>
      <c r="AY29" s="196">
        <f>IF(AT29="","",IF(StaticData.Today=TODAY(),_xll.BDP(AT29,"PX_LAST"),_xll.BDH(AT29,"PX_LAST",StaticData.Today,StaticData.Today)))</f>
        <v>9</v>
      </c>
      <c r="AZ29" s="181">
        <f t="shared" si="29"/>
        <v>9</v>
      </c>
      <c r="BX29" t="s">
        <v>1364</v>
      </c>
      <c r="BY29" s="200">
        <f>_xll.meDateFromTenor($BY$10,BX29,,"RIB:NYB:LNB")</f>
        <v>47553</v>
      </c>
      <c r="BZ29">
        <f t="shared" si="16"/>
        <v>0.50277777777777777</v>
      </c>
      <c r="CA29">
        <f>_xll.meUtilityInterpolation($BQ$10:$BQ$24,$BV$10:$BV$24,BY29,"SPLINE")</f>
        <v>0.89356283917306001</v>
      </c>
      <c r="CB29">
        <f>_xll.meUtilityInterpolation($BK$10:$BK$24,$BM$10:$BM$24,BY29,"SPLINE")</f>
        <v>0.79109050520389812</v>
      </c>
      <c r="CC29" s="207">
        <f t="shared" si="17"/>
        <v>3.9565321927801184E-2</v>
      </c>
      <c r="CD29" s="207">
        <f>(1-CA29-SUMPRODUCT(CA$10:CA29,BZ$10:BZ29,CC$10:CC29))/SUMPRODUCT(BZ$10:BZ29,BZ$10:BZ29)</f>
        <v>-2.3757926605388887E-2</v>
      </c>
    </row>
    <row r="30" spans="2:82" x14ac:dyDescent="0.25">
      <c r="O30" s="24"/>
      <c r="P30" s="25"/>
      <c r="Q30" s="28"/>
      <c r="R30" s="29"/>
      <c r="S30" s="29"/>
      <c r="T30" s="30"/>
      <c r="U30" s="183"/>
      <c r="W30" s="24"/>
      <c r="X30" s="25"/>
      <c r="Y30" s="191"/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 t="shared" si="28"/>
        <v>SAR6M SABK Curncy</v>
      </c>
      <c r="AU30" s="25" t="s">
        <v>46</v>
      </c>
      <c r="AV30" s="28"/>
      <c r="AW30" s="196">
        <f>IF(AT30="","",IF(StaticData.Today=TODAY(),_xll.BDP(AT30,"BID"),_xll.BDH(AT30,"BID",StaticData.Today,StaticData.Today)))</f>
        <v>11</v>
      </c>
      <c r="AX30" s="196">
        <f>IF(AT30="","",IF(StaticData.Today=TODAY(),_xll.BDP(AT30,"ASK"),_xll.BDH(AT30,"ASK",StaticData.Today,StaticData.Today)))</f>
        <v>26</v>
      </c>
      <c r="AY30" s="196">
        <f>IF(AT30="","",IF(StaticData.Today=TODAY(),_xll.BDP(AT30,"PX_LAST"),_xll.BDH(AT30,"PX_LAST",StaticData.Today,StaticData.Today)))</f>
        <v>18.5</v>
      </c>
      <c r="AZ30" s="181">
        <f t="shared" si="29"/>
        <v>18.5</v>
      </c>
      <c r="BX30" t="s">
        <v>1365</v>
      </c>
      <c r="BY30" s="200">
        <f>_xll.meDateFromTenor($BY$10,BX30,,"RIB:NYB:LNB")</f>
        <v>47737</v>
      </c>
      <c r="BZ30">
        <f t="shared" si="16"/>
        <v>0.51111111111111107</v>
      </c>
      <c r="CA30">
        <f>_xll.meUtilityInterpolation($BQ$10:$BQ$24,$BV$10:$BV$24,BY30,"SPLINE")</f>
        <v>0.88797335603854499</v>
      </c>
      <c r="CB30">
        <f>_xll.meUtilityInterpolation($BK$10:$BK$24,$BM$10:$BM$24,BY30,"SPLINE")</f>
        <v>0.77484822969405098</v>
      </c>
      <c r="CC30" s="207">
        <f t="shared" si="17"/>
        <v>4.1012373662529501E-2</v>
      </c>
      <c r="CD30" s="207">
        <f>(1-CA30-SUMPRODUCT(CA$10:CA30,BZ$10:BZ30,CC$10:CC30))/SUMPRODUCT(BZ$10:BZ30,BZ$10:BZ30)</f>
        <v>-2.5082834826054161E-2</v>
      </c>
    </row>
    <row r="31" spans="2:82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191"/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 t="str">
        <f t="shared" si="28"/>
        <v>SAR9M SABK Curncy</v>
      </c>
      <c r="AU31" s="25" t="s">
        <v>376</v>
      </c>
      <c r="AV31" s="28"/>
      <c r="AW31" s="196">
        <f>IF(AT31="","",IF(StaticData.Today=TODAY(),_xll.BDP(AT31,"BID"),_xll.BDH(AT31,"BID",StaticData.Today,StaticData.Today)))</f>
        <v>32</v>
      </c>
      <c r="AX31" s="196">
        <f>IF(AT31="","",IF(StaticData.Today=TODAY(),_xll.BDP(AT31,"ASK"),_xll.BDH(AT31,"ASK",StaticData.Today,StaticData.Today)))</f>
        <v>47</v>
      </c>
      <c r="AY31" s="196">
        <f>IF(AT31="","",IF(StaticData.Today=TODAY(),_xll.BDP(AT31,"PX_LAST"),_xll.BDH(AT31,"PX_LAST",StaticData.Today,StaticData.Today)))</f>
        <v>39.5</v>
      </c>
      <c r="AZ31" s="181">
        <f t="shared" si="29"/>
        <v>39.5</v>
      </c>
    </row>
    <row r="32" spans="2:82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191"/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 t="str">
        <f t="shared" si="28"/>
        <v>SAR12M SABK Curncy</v>
      </c>
      <c r="AU32" s="25" t="s">
        <v>322</v>
      </c>
      <c r="AV32" s="28"/>
      <c r="AW32" s="196">
        <f>IF(AT32="","",IF(StaticData.Today=TODAY(),_xll.BDP(AT32,"BID"),_xll.BDH(AT32,"BID",StaticData.Today,StaticData.Today)))</f>
        <v>40</v>
      </c>
      <c r="AX32" s="196">
        <f>IF(AT32="","",IF(StaticData.Today=TODAY(),_xll.BDP(AT32,"ASK"),_xll.BDH(AT32,"ASK",StaticData.Today,StaticData.Today)))</f>
        <v>80</v>
      </c>
      <c r="AY32" s="196">
        <f>IF(AT32="","",IF(StaticData.Today=TODAY(),_xll.BDP(AT32,"PX_LAST"),_xll.BDH(AT32,"PX_LAST",StaticData.Today,StaticData.Today)))</f>
        <v>60</v>
      </c>
      <c r="AZ32" s="181">
        <f t="shared" si="29"/>
        <v>60</v>
      </c>
    </row>
    <row r="33" spans="15:52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191"/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 t="str">
        <f t="shared" si="28"/>
        <v>SAR2Y SABK Curncy</v>
      </c>
      <c r="AU33" s="25" t="s">
        <v>308</v>
      </c>
      <c r="AV33" s="28"/>
      <c r="AW33" s="196">
        <f>IF(AT33="","",IF(StaticData.Today=TODAY(),_xll.BDP(AT33,"BID"),_xll.BDH(AT33,"BID",StaticData.Today,StaticData.Today)))</f>
        <v>165</v>
      </c>
      <c r="AX33" s="196">
        <f>IF(AT33="","",IF(StaticData.Today=TODAY(),_xll.BDP(AT33,"ASK"),_xll.BDH(AT33,"ASK",StaticData.Today,StaticData.Today)))</f>
        <v>230</v>
      </c>
      <c r="AY33" s="196">
        <f>IF(AT33="","",IF(StaticData.Today=TODAY(),_xll.BDP(AT33,"PX_LAST"),_xll.BDH(AT33,"PX_LAST",StaticData.Today,StaticData.Today)))</f>
        <v>197.5</v>
      </c>
      <c r="AZ33" s="181">
        <f t="shared" si="29"/>
        <v>197.5</v>
      </c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191"/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 t="str">
        <f t="shared" si="28"/>
        <v>SAR3Y SABK Curncy</v>
      </c>
      <c r="AU34" s="25" t="s">
        <v>316</v>
      </c>
      <c r="AV34" s="28"/>
      <c r="AW34" s="196">
        <f>IF(AT34="","",IF(StaticData.Today=TODAY(),_xll.BDP(AT34,"BID"),_xll.BDH(AT34,"BID",StaticData.Today,StaticData.Today)))</f>
        <v>250</v>
      </c>
      <c r="AX34" s="196">
        <f>IF(AT34="","",IF(StaticData.Today=TODAY(),_xll.BDP(AT34,"ASK"),_xll.BDH(AT34,"ASK",StaticData.Today,StaticData.Today)))</f>
        <v>450</v>
      </c>
      <c r="AY34" s="196">
        <f>IF(AT34="","",IF(StaticData.Today=TODAY(),_xll.BDP(AT34,"PX_LAST"),_xll.BDH(AT34,"PX_LAST",StaticData.Today,StaticData.Today)))</f>
        <v>350</v>
      </c>
      <c r="AZ34" s="181">
        <f t="shared" si="29"/>
        <v>350</v>
      </c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191"/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 t="str">
        <f t="shared" si="28"/>
        <v>SAR4Y SABK Curncy</v>
      </c>
      <c r="AU35" s="25" t="s">
        <v>324</v>
      </c>
      <c r="AV35" s="28"/>
      <c r="AW35" s="196" t="str">
        <f>IF(AT35="","",IF(StaticData.Today=TODAY(),_xll.BDP(AT35,"BID"),_xll.BDH(AT35,"BID",StaticData.Today,StaticData.Today)))</f>
        <v>#N/A N/A</v>
      </c>
      <c r="AX35" s="196" t="str">
        <f>IF(AT35="","",IF(StaticData.Today=TODAY(),_xll.BDP(AT35,"ASK"),_xll.BDH(AT35,"ASK",StaticData.Today,StaticData.Today)))</f>
        <v>#N/A N/A</v>
      </c>
      <c r="AY35" s="196" t="str">
        <f>IF(AT35="","",IF(StaticData.Today=TODAY(),_xll.BDP(AT35,"PX_LAST"),_xll.BDH(AT35,"PX_LAST",StaticData.Today,StaticData.Today)))</f>
        <v>#N/A N/A</v>
      </c>
      <c r="AZ35" s="181" t="str">
        <f t="shared" si="29"/>
        <v>#N/A N/A</v>
      </c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191"/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 t="str">
        <f t="shared" si="28"/>
        <v>SAR5Y SABK Curncy</v>
      </c>
      <c r="AU36" s="25" t="s">
        <v>331</v>
      </c>
      <c r="AV36" s="28"/>
      <c r="AW36" s="196" t="str">
        <f>IF(AT36="","",IF(StaticData.Today=TODAY(),_xll.BDP(AT36,"BID"),_xll.BDH(AT36,"BID",StaticData.Today,StaticData.Today)))</f>
        <v>#N/A N/A</v>
      </c>
      <c r="AX36" s="196" t="str">
        <f>IF(AT36="","",IF(StaticData.Today=TODAY(),_xll.BDP(AT36,"ASK"),_xll.BDH(AT36,"ASK",StaticData.Today,StaticData.Today)))</f>
        <v>#N/A N/A</v>
      </c>
      <c r="AY36" s="196" t="str">
        <f>IF(AT36="","",IF(StaticData.Today=TODAY(),_xll.BDP(AT36,"PX_LAST"),_xll.BDH(AT36,"PX_LAST",StaticData.Today,StaticData.Today)))</f>
        <v>#N/A N/A</v>
      </c>
      <c r="AZ36" s="181" t="str">
        <f t="shared" si="29"/>
        <v>#N/A N/A</v>
      </c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191"/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/>
      <c r="AU37" s="25"/>
      <c r="AV37" s="28"/>
      <c r="AW37" s="29"/>
      <c r="AX37" s="29"/>
      <c r="AY37" s="30"/>
      <c r="AZ37" s="27"/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191"/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/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191"/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/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191"/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191"/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191"/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191"/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 t="str">
        <f>IF(AT43="","",IF(StaticData.Today=TODAY(),_xll.BDP(AT43,"LAST_PRICE"),_xll.BDH(AT43,"LAST_PRICE",StaticData.Today,StaticData.Today)))</f>
        <v/>
      </c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191"/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 t="str">
        <f>IF(AT44="","",IF(StaticData.Today=TODAY(),_xll.BDP(AT44,"LAST_PRICE"),_xll.BDH(AT44,"LAST_PRICE",StaticData.Today,StaticData.Today)))</f>
        <v/>
      </c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191"/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 t="str">
        <f>IF(AT45="","",IF(StaticData.Today=TODAY(),_xll.BDP(AT45,"LAST_PRICE"),_xll.BDH(AT45,"LAST_PRICE",StaticData.Today,StaticData.Today)))</f>
        <v/>
      </c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191"/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 t="str">
        <f>IF(AT46="","",IF(StaticData.Today=TODAY(),_xll.BDP(AT46,"LAST_PRICE"),_xll.BDH(AT46,"LAST_PRICE",StaticData.Today,StaticData.Today)))</f>
        <v/>
      </c>
      <c r="AZ46" s="27"/>
    </row>
    <row r="47" spans="15:52" x14ac:dyDescent="0.25">
      <c r="O47" s="24"/>
      <c r="P47" s="25"/>
      <c r="Q47" s="28"/>
      <c r="R47" s="29"/>
      <c r="S47" s="29"/>
      <c r="T47" s="30"/>
      <c r="U47" s="27"/>
      <c r="W47" s="24"/>
      <c r="X47" s="25"/>
      <c r="Y47" s="191"/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38"/>
      <c r="P48" s="39"/>
      <c r="Q48" s="42"/>
      <c r="R48" s="43"/>
      <c r="S48" s="43"/>
      <c r="T48" s="44"/>
      <c r="U48" s="41"/>
      <c r="W48" s="24"/>
      <c r="X48" s="25"/>
      <c r="Y48" s="191"/>
      <c r="Z48" s="27"/>
      <c r="AB48" s="24"/>
      <c r="AC48" s="25"/>
      <c r="AD48" s="26" t="str">
        <f>IF(AB48="","",IF(StaticData.Today=TODAY(),_xll.BDP(AB48,"LAST_PRICE"),_xll.BDH(AB48,"LAST_PRICE",StaticData.Today,StaticData.Today)))</f>
        <v/>
      </c>
      <c r="AE48" s="27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23:52" x14ac:dyDescent="0.25">
      <c r="W49" s="24"/>
      <c r="X49" s="25"/>
      <c r="Y49" s="191"/>
      <c r="Z49" s="27"/>
      <c r="AB49" s="24"/>
      <c r="AC49" s="25"/>
      <c r="AD49" s="26" t="str">
        <f>IF(AB49="","",IF(StaticData.Today=TODAY(),_xll.BDP(AB49,"LAST_PRICE"),_xll.BDH(AB49,"LAST_PRICE",StaticData.Today,StaticData.Today)))</f>
        <v/>
      </c>
      <c r="AE49" s="27"/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23:52" x14ac:dyDescent="0.25">
      <c r="W50" s="24"/>
      <c r="X50" s="25"/>
      <c r="Y50" s="191"/>
      <c r="Z50" s="27"/>
      <c r="AB50" s="24"/>
      <c r="AC50" s="25"/>
      <c r="AD50" s="26" t="str">
        <f>IF(AB50="","",IF(StaticData.Today=TODAY(),_xll.BDP(AB50,"LAST_PRICE"),_xll.BDH(AB50,"LAST_PRICE",StaticData.Today,StaticData.Today)))</f>
        <v/>
      </c>
      <c r="AE50" s="27"/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23:52" x14ac:dyDescent="0.25">
      <c r="W51" s="24"/>
      <c r="X51" s="25"/>
      <c r="Y51" s="191"/>
      <c r="Z51" s="27"/>
      <c r="AB51" s="24"/>
      <c r="AC51" s="25"/>
      <c r="AD51" s="26" t="str">
        <f>IF(AB51="","",IF(StaticData.Today=TODAY(),_xll.BDP(AB51,"LAST_PRICE"),_xll.BDH(AB51,"LAST_PRICE",StaticData.Today,StaticData.Today)))</f>
        <v/>
      </c>
      <c r="AE51" s="27"/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23:52" x14ac:dyDescent="0.25">
      <c r="W52" s="38"/>
      <c r="X52" s="39"/>
      <c r="Y52" s="192"/>
      <c r="Z52" s="41"/>
      <c r="AB52" s="24"/>
      <c r="AC52" s="25"/>
      <c r="AD52" s="26" t="str">
        <f>IF(AB52="","",IF(StaticData.Today=TODAY(),_xll.BDP(AB52,"LAST_PRICE"),_xll.BDH(AB52,"LAST_PRICE",StaticData.Today,StaticData.Today)))</f>
        <v/>
      </c>
      <c r="AE52" s="27"/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23:52" x14ac:dyDescent="0.25">
      <c r="AB53" s="38"/>
      <c r="AC53" s="39"/>
      <c r="AD53" s="40" t="str">
        <f>IF(AB53="","",IF(StaticData.Today=TODAY(),_xll.BDP(AB53,"LAST_PRICE"),_xll.BDH(AB53,"LAST_PRICE",StaticData.Today,StaticData.Today)))</f>
        <v/>
      </c>
      <c r="AE53" s="41"/>
      <c r="AT53" s="38"/>
      <c r="AU53" s="39"/>
      <c r="AV53" s="42"/>
      <c r="AW53" s="43"/>
      <c r="AX53" s="43"/>
      <c r="AY53" s="44" t="str">
        <f>IF(AT53="","",IF(StaticData.Today=TODAY(),_xll.BDP(AT53,"LAST_PRICE"),_xll.BDH(AT53,"LAST_PRICE",StaticData.Today,StaticData.Today)))</f>
        <v/>
      </c>
      <c r="AZ53" s="41"/>
    </row>
  </sheetData>
  <dataValidations disablePrompts="1" count="2">
    <dataValidation type="list" allowBlank="1" showInputMessage="1" showErrorMessage="1" sqref="AL2 AT2 AG2">
      <formula1>$X$98:$X$101</formula1>
    </dataValidation>
    <dataValidation type="list" allowBlank="1" showInputMessage="1" showErrorMessage="1" sqref="W2">
      <formula1>$X$95:$X$98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'STATIC DATA'!$W$97:$W$100</xm:f>
          </x14:formula1>
          <xm:sqref>AB2</xm:sqref>
        </x14:dataValidation>
        <x14:dataValidation type="list" allowBlank="1" showInputMessage="1" showErrorMessage="1">
          <x14:formula1>
            <xm:f>'STATIC DATA'!$Q$92:$Q$95</xm:f>
          </x14:formula1>
          <xm:sqref>G1</xm:sqref>
        </x14:dataValidation>
        <x14:dataValidation type="list" allowBlank="1" showInputMessage="1" showErrorMessage="1">
          <x14:formula1>
            <xm:f>'STATIC DATA'!$X$97:$X$100</xm:f>
          </x14:formula1>
          <xm:sqref>O1:O2</xm:sqref>
        </x14:dataValidation>
        <x14:dataValidation type="list" allowBlank="1" showInputMessage="1" showErrorMessage="1">
          <x14:formula1>
            <xm:f>'STATIC DATA'!$X$92:$X$95</xm:f>
          </x14:formula1>
          <xm:sqref>AT1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A1:AZ100"/>
  <sheetViews>
    <sheetView workbookViewId="0"/>
  </sheetViews>
  <sheetFormatPr defaultRowHeight="15" x14ac:dyDescent="0.25"/>
  <cols>
    <col min="2" max="2" width="15.140625" style="6" bestFit="1" customWidth="1"/>
    <col min="3" max="5" width="12.7109375" style="6" customWidth="1"/>
    <col min="7" max="7" width="22.7109375" style="6" customWidth="1"/>
    <col min="8" max="11" width="9.140625" style="6"/>
    <col min="12" max="13" width="12.7109375" style="6" customWidth="1"/>
    <col min="15" max="15" width="22.7109375" style="6" customWidth="1"/>
    <col min="16" max="16" width="9.140625" style="6"/>
    <col min="17" max="21" width="12.7109375" style="6" customWidth="1"/>
    <col min="23" max="23" width="14.7109375" style="6" bestFit="1" customWidth="1"/>
    <col min="24" max="24" width="12.7109375" style="6" customWidth="1"/>
    <col min="25" max="25" width="4.7109375" style="6" bestFit="1" customWidth="1"/>
    <col min="26" max="26" width="7.5703125" style="6" bestFit="1" customWidth="1"/>
    <col min="27" max="27" width="9.140625" style="6"/>
    <col min="28" max="28" width="20.28515625" style="6" bestFit="1" customWidth="1"/>
    <col min="29" max="29" width="6" style="6" bestFit="1" customWidth="1"/>
    <col min="30" max="30" width="4.7109375" style="6" bestFit="1" customWidth="1"/>
    <col min="31" max="31" width="7.5703125" style="6" bestFit="1" customWidth="1"/>
    <col min="32" max="32" width="9.140625" style="6"/>
    <col min="33" max="33" width="15.7109375" style="6" bestFit="1" customWidth="1"/>
    <col min="34" max="34" width="6" style="6" bestFit="1" customWidth="1"/>
    <col min="35" max="35" width="4.7109375" style="6" bestFit="1" customWidth="1"/>
    <col min="36" max="36" width="7.5703125" style="6" bestFit="1" customWidth="1"/>
    <col min="38" max="38" width="22.7109375" style="6" customWidth="1"/>
    <col min="39" max="39" width="9.140625" style="6"/>
    <col min="40" max="44" width="12.7109375" style="6" customWidth="1"/>
    <col min="46" max="46" width="22.7109375" style="6" customWidth="1"/>
    <col min="47" max="47" width="9.140625" style="6"/>
    <col min="48" max="50" width="12.7109375" style="6" customWidth="1"/>
    <col min="51" max="51" width="13.28515625" style="6" bestFit="1" customWidth="1"/>
    <col min="52" max="52" width="12.7109375" style="6" customWidth="1"/>
  </cols>
  <sheetData>
    <row r="1" spans="1:52" x14ac:dyDescent="0.25">
      <c r="A1" t="s">
        <v>264</v>
      </c>
      <c r="G1" s="6" t="s">
        <v>508</v>
      </c>
      <c r="AT1" s="6" t="s">
        <v>508</v>
      </c>
    </row>
    <row r="2" spans="1:52" x14ac:dyDescent="0.25">
      <c r="G2" s="7"/>
      <c r="O2" s="6" t="s">
        <v>528</v>
      </c>
      <c r="AL2" s="6" t="s">
        <v>528</v>
      </c>
      <c r="AT2" s="6" t="s">
        <v>510</v>
      </c>
    </row>
    <row r="3" spans="1:52" x14ac:dyDescent="0.25">
      <c r="B3" s="7" t="s">
        <v>278</v>
      </c>
      <c r="C3" s="7"/>
      <c r="D3" s="7"/>
      <c r="E3" s="8" t="s">
        <v>279</v>
      </c>
      <c r="G3" s="2" t="s">
        <v>541</v>
      </c>
      <c r="L3" s="8"/>
      <c r="O3" s="2" t="str">
        <f>$A$1&amp;"_3M"</f>
        <v>TRY_3M</v>
      </c>
      <c r="T3" s="8" t="s">
        <v>282</v>
      </c>
      <c r="W3" s="2" t="str">
        <f>$A$1&amp;"_BASIS_6M"</f>
        <v>TRY_BASIS_6M</v>
      </c>
      <c r="AB3" s="2" t="str">
        <f>$A$1&amp;"_BASIS_1M"</f>
        <v>TRY_BASIS_1M</v>
      </c>
      <c r="AG3" s="2" t="str">
        <f>$A$1&amp;"_BASIS_12M"</f>
        <v>TRY_BASIS_12M</v>
      </c>
      <c r="AL3" s="2" t="str">
        <f>'STATIC DATA'!$C$4&amp;'STATIC DATA'!$AA$4&amp;"_BASIS"</f>
        <v>USDTRY_BASIS</v>
      </c>
      <c r="AQ3" s="8" t="s">
        <v>282</v>
      </c>
      <c r="AT3" s="2" t="str">
        <f>$A$1&amp;"_"&amp;'STATIC DATA'!Z67</f>
        <v>TRY_USD_1D</v>
      </c>
      <c r="AY3" s="8" t="s">
        <v>282</v>
      </c>
    </row>
    <row r="4" spans="1:52" x14ac:dyDescent="0.25">
      <c r="B4" s="9" t="b">
        <f>SUM(C7:C17)=SUM(D7:D17)</f>
        <v>1</v>
      </c>
      <c r="E4" s="10">
        <f>SUM(E7:E17)</f>
        <v>0</v>
      </c>
    </row>
    <row r="6" spans="1:52" x14ac:dyDescent="0.25">
      <c r="B6" s="2" t="s">
        <v>286</v>
      </c>
      <c r="C6" s="8" t="s">
        <v>287</v>
      </c>
      <c r="D6" s="8" t="s">
        <v>288</v>
      </c>
      <c r="E6" s="8" t="s">
        <v>289</v>
      </c>
      <c r="G6" s="8" t="s">
        <v>290</v>
      </c>
      <c r="H6" s="8" t="s">
        <v>291</v>
      </c>
      <c r="I6" s="8"/>
      <c r="J6" s="8"/>
      <c r="K6" s="8"/>
      <c r="L6" s="8" t="s">
        <v>292</v>
      </c>
      <c r="M6" s="8" t="s">
        <v>293</v>
      </c>
      <c r="O6" s="8" t="s">
        <v>290</v>
      </c>
      <c r="P6" s="8" t="s">
        <v>291</v>
      </c>
      <c r="Q6" s="8" t="s">
        <v>290</v>
      </c>
      <c r="R6" s="8" t="s">
        <v>502</v>
      </c>
      <c r="S6" s="8" t="s">
        <v>503</v>
      </c>
      <c r="T6" s="8" t="s">
        <v>292</v>
      </c>
      <c r="U6" s="8" t="s">
        <v>293</v>
      </c>
      <c r="W6" s="8" t="s">
        <v>290</v>
      </c>
      <c r="X6" s="8" t="s">
        <v>291</v>
      </c>
      <c r="Y6" s="8" t="s">
        <v>292</v>
      </c>
      <c r="Z6" s="8" t="s">
        <v>293</v>
      </c>
      <c r="AB6" s="8" t="s">
        <v>290</v>
      </c>
      <c r="AC6" s="8" t="s">
        <v>291</v>
      </c>
      <c r="AD6" s="8" t="s">
        <v>292</v>
      </c>
      <c r="AE6" s="8" t="s">
        <v>293</v>
      </c>
      <c r="AG6" s="8" t="s">
        <v>290</v>
      </c>
      <c r="AH6" s="8" t="s">
        <v>291</v>
      </c>
      <c r="AI6" s="8" t="s">
        <v>292</v>
      </c>
      <c r="AJ6" s="8" t="s">
        <v>293</v>
      </c>
      <c r="AL6" s="8" t="s">
        <v>290</v>
      </c>
      <c r="AM6" s="8" t="s">
        <v>291</v>
      </c>
      <c r="AN6" s="8" t="s">
        <v>290</v>
      </c>
      <c r="AO6" s="8" t="s">
        <v>502</v>
      </c>
      <c r="AP6" s="8" t="s">
        <v>503</v>
      </c>
      <c r="AQ6" s="8" t="s">
        <v>292</v>
      </c>
      <c r="AR6" s="8" t="s">
        <v>293</v>
      </c>
      <c r="AT6" s="8" t="s">
        <v>290</v>
      </c>
      <c r="AU6" s="8" t="s">
        <v>291</v>
      </c>
      <c r="AV6" s="8" t="s">
        <v>290</v>
      </c>
      <c r="AW6" s="8" t="s">
        <v>502</v>
      </c>
      <c r="AX6" s="8" t="s">
        <v>503</v>
      </c>
      <c r="AY6" s="8" t="s">
        <v>507</v>
      </c>
      <c r="AZ6" s="8" t="s">
        <v>293</v>
      </c>
    </row>
    <row r="7" spans="1:52" x14ac:dyDescent="0.25">
      <c r="B7" s="11" t="s">
        <v>257</v>
      </c>
      <c r="C7" s="12">
        <f>COUNTA(G7:G26)</f>
        <v>18</v>
      </c>
      <c r="D7" s="12">
        <f>COUNT(L7:L26)</f>
        <v>18</v>
      </c>
      <c r="E7" s="13">
        <f t="shared" ref="E7:E12" si="0">C7-D7</f>
        <v>0</v>
      </c>
      <c r="G7" s="14" t="s">
        <v>1656</v>
      </c>
      <c r="H7" s="15" t="s">
        <v>298</v>
      </c>
      <c r="I7" s="15"/>
      <c r="J7" s="15" t="str">
        <f>IF(G7="","",IF(StaticData.Today=TODAY(),_xll.BDP(G7,"BID"),_xll.BDH(G7,"BID",StaticData.Today,StaticData.Today)))</f>
        <v>#N/A N/A</v>
      </c>
      <c r="K7" s="15" t="str">
        <f>IF(G7="","",IF(StaticData.Today=TODAY(),_xll.BDP(G7,"ASK"),_xll.BDH(G7,"ASK",StaticData.Today,StaticData.Today)))</f>
        <v>#N/A N/A</v>
      </c>
      <c r="L7" s="16">
        <f>IF(G7="","",IF(StaticData.Today=TODAY(),_xll.BDP(G7,"LAST_PRICE"),_xll.BDH(G7,"MID",StaticData.Today,StaticData.Today)))</f>
        <v>9.9628999999999994</v>
      </c>
      <c r="M7" s="27">
        <f t="shared" ref="M7:M14" si="1">L7/100</f>
        <v>9.9628999999999995E-2</v>
      </c>
      <c r="O7" s="14" t="str">
        <f>"TRLXB"&amp;P7&amp;" Index"</f>
        <v>TRLXB1M Index</v>
      </c>
      <c r="P7" s="15" t="s">
        <v>300</v>
      </c>
      <c r="Q7" s="18"/>
      <c r="R7" s="19"/>
      <c r="S7" s="19"/>
      <c r="T7" s="20">
        <f>IF(O7="","",IF(StaticData.Today=TODAY(),_xll.BDP(O7,"PX_LAST"),_xll.BDH(O7,"PX_LAST",StaticData.Today,StaticData.Today)))</f>
        <v>11.122</v>
      </c>
      <c r="U7" s="184">
        <f>T7/100</f>
        <v>0.11122</v>
      </c>
      <c r="W7" s="14"/>
      <c r="X7" s="15" t="s">
        <v>47</v>
      </c>
      <c r="Y7" s="16" t="str">
        <f>IF(W7="","",IF(StaticData.Today=TODAY(),_xll.BDP(W7,"LAST_PRICE"),_xll.BDH(W7,"LAST_PRICE",StaticData.Today,StaticData.Today)))</f>
        <v/>
      </c>
      <c r="Z7" s="17"/>
      <c r="AB7" s="14"/>
      <c r="AC7" s="15" t="s">
        <v>47</v>
      </c>
      <c r="AD7" s="16" t="str">
        <f>IF(AB7="","",IF(StaticData.Today=TODAY(),_xll.BDP(AB7,"LAST_PRICE"),_xll.BDH(AB7,"LAST_PRICE",StaticData.Today,StaticData.Today)))</f>
        <v/>
      </c>
      <c r="AE7" s="17"/>
      <c r="AG7" s="14"/>
      <c r="AH7" s="15" t="s">
        <v>47</v>
      </c>
      <c r="AI7" s="16" t="str">
        <f>IF(AG7="","",IF(StaticData.Today=TODAY(),_xll.BDP(AG7,"LAST_PRICE"),_xll.BDH(AG7,"LAST_PRICE",StaticData.Today,StaticData.Today)))</f>
        <v/>
      </c>
      <c r="AJ7" s="17"/>
      <c r="AL7" s="24" t="str">
        <f>"TYBS1"&amp;$AL$2&amp;" Curncy"</f>
        <v>TYBS1 ICPL Curncy</v>
      </c>
      <c r="AM7" s="15" t="s">
        <v>47</v>
      </c>
      <c r="AN7" s="18"/>
      <c r="AO7" s="19">
        <f>IF(AL7="","",IF(StaticData.Today=TODAY(),_xll.BDP(AL7,"BID"),_xll.BDH(AL7,"BID",StaticData.Today,StaticData.Today)))</f>
        <v>444</v>
      </c>
      <c r="AP7" s="19">
        <f>IF(AL7="","",IF(StaticData.Today=TODAY(),_xll.BDP(AL7,"ASK"),_xll.BDH(AL7,"ASK",StaticData.Today,StaticData.Today)))</f>
        <v>494</v>
      </c>
      <c r="AQ7" s="179">
        <f>IF(AL7="","",IF(StaticData.Today=TODAY(),_xll.BDP(AL7,"PX_LAST"),_xll.BDH(AL7,"PX_LAST",StaticData.Today,StaticData.Today)))</f>
        <v>469</v>
      </c>
      <c r="AR7" s="337">
        <f t="shared" ref="AR7:AR16" si="2">AQ7/10000</f>
        <v>4.6899999999999997E-2</v>
      </c>
      <c r="AT7" s="8" t="s">
        <v>1185</v>
      </c>
      <c r="AU7" s="8"/>
      <c r="AV7" s="8"/>
      <c r="AW7" s="387">
        <f>IF(AT7="","",IF(StaticData.Today=TODAY(),_xll.BDP(AT7,"BID"),_xll.BDH(AT7,"BID",StaticData.Today,StaticData.Today)))</f>
        <v>7.4916999999999998</v>
      </c>
      <c r="AX7" s="387">
        <f>IF(AT7="","",IF(StaticData.Today=TODAY(),_xll.BDP(AT7,"ASK"),_xll.BDH(AT7,"ASK",StaticData.Today,StaticData.Today)))</f>
        <v>7.4950999999999999</v>
      </c>
      <c r="AY7" s="8"/>
      <c r="AZ7" s="8"/>
    </row>
    <row r="8" spans="1:52" x14ac:dyDescent="0.25">
      <c r="B8" s="21" t="s">
        <v>281</v>
      </c>
      <c r="C8" s="22">
        <f>COUNTA(O7:O48)</f>
        <v>14</v>
      </c>
      <c r="D8" s="22">
        <f>COUNT(T7:T48)</f>
        <v>14</v>
      </c>
      <c r="E8" s="23">
        <f t="shared" si="0"/>
        <v>0</v>
      </c>
      <c r="G8" s="24" t="str">
        <f>"TYSO"&amp;I8&amp;$G$1&amp;" Curncy"</f>
        <v>TYSO1Z BGN Curncy</v>
      </c>
      <c r="H8" s="25" t="s">
        <v>305</v>
      </c>
      <c r="I8" s="25" t="s">
        <v>519</v>
      </c>
      <c r="J8" s="25">
        <f>IF(G8="","",IF(StaticData.Today=TODAY(),_xll.BDP(G8,"BID"),_xll.BDH(G8,"BID",StaticData.Today,StaticData.Today)))</f>
        <v>9.75</v>
      </c>
      <c r="K8" s="25">
        <f>IF(G8="","",IF(StaticData.Today=TODAY(),_xll.BDP(G8,"ASK"),_xll.BDH(G8,"ASK",StaticData.Today,StaticData.Today)))</f>
        <v>10.75</v>
      </c>
      <c r="L8" s="26">
        <f>IF(G8="","",IF(StaticData.Today=TODAY(),_xll.BDP(G8,"LAST_PRICE"),_xll.BDH(G8,"LAST_PRICE",StaticData.Today,StaticData.Today)))</f>
        <v>10.25</v>
      </c>
      <c r="M8" s="27">
        <f t="shared" si="1"/>
        <v>0.10249999999999999</v>
      </c>
      <c r="O8" s="24" t="str">
        <f>"TRLXB"&amp;P8&amp;" Index"</f>
        <v>TRLXB3M Index</v>
      </c>
      <c r="P8" s="25" t="s">
        <v>49</v>
      </c>
      <c r="Q8" s="28"/>
      <c r="R8" s="29"/>
      <c r="S8" s="29"/>
      <c r="T8" s="30">
        <f>IF(O8="","",IF(StaticData.Today=TODAY(),_xll.BDP(O8,"PX_LAST"),_xll.BDH(O8,"PX_LAST",StaticData.Today,StaticData.Today)))</f>
        <v>12</v>
      </c>
      <c r="U8" s="183">
        <f>T8/100</f>
        <v>0.12</v>
      </c>
      <c r="W8" s="24"/>
      <c r="X8" s="25" t="s">
        <v>308</v>
      </c>
      <c r="Y8" s="26" t="str">
        <f>IF(W8="","",IF(StaticData.Today=TODAY(),_xll.BDP(W8,"LAST_PRICE"),_xll.BDH(W8,"LAST_PRICE",StaticData.Today,StaticData.Today)))</f>
        <v/>
      </c>
      <c r="Z8" s="27"/>
      <c r="AB8" s="24"/>
      <c r="AC8" s="25" t="s">
        <v>308</v>
      </c>
      <c r="AD8" s="26" t="str">
        <f>IF(AB8="","",IF(StaticData.Today=TODAY(),_xll.BDP(AB8,"LAST_PRICE"),_xll.BDH(AB8,"LAST_PRICE",StaticData.Today,StaticData.Today)))</f>
        <v/>
      </c>
      <c r="AE8" s="27"/>
      <c r="AG8" s="24"/>
      <c r="AH8" s="25" t="s">
        <v>308</v>
      </c>
      <c r="AI8" s="26" t="str">
        <f>IF(AG8="","",IF(StaticData.Today=TODAY(),_xll.BDP(AG8,"LAST_PRICE"),_xll.BDH(AG8,"LAST_PRICE",StaticData.Today,StaticData.Today)))</f>
        <v/>
      </c>
      <c r="AJ8" s="27"/>
      <c r="AL8" s="24" t="str">
        <f>"TYBS2"&amp;$AL$2&amp;" Curncy"</f>
        <v>TYBS2 ICPL Curncy</v>
      </c>
      <c r="AM8" s="25" t="s">
        <v>308</v>
      </c>
      <c r="AN8" s="28"/>
      <c r="AO8" s="29">
        <f>IF(AL8="","",IF(StaticData.Today=TODAY(),_xll.BDP(AL8,"BID"),_xll.BDH(AL8,"BID",StaticData.Today,StaticData.Today)))</f>
        <v>259</v>
      </c>
      <c r="AP8" s="29">
        <f>IF(AL8="","",IF(StaticData.Today=TODAY(),_xll.BDP(AL8,"ASK"),_xll.BDH(AL8,"ASK",StaticData.Today,StaticData.Today)))</f>
        <v>309</v>
      </c>
      <c r="AQ8" s="177">
        <f>IF(AL8="","",IF(StaticData.Today=TODAY(),_xll.BDP(AL8,"PX_LAST"),_xll.BDH(AL8,"PX_LAST",StaticData.Today,StaticData.Today)))</f>
        <v>284</v>
      </c>
      <c r="AR8" s="338">
        <f t="shared" si="2"/>
        <v>2.8400000000000002E-2</v>
      </c>
      <c r="AT8" s="24" t="str">
        <f t="shared" ref="AT8:AT23" si="3">"TRY"&amp;AU8&amp;$AT$1&amp;" Curncy"</f>
        <v>TRYON BGN Curncy</v>
      </c>
      <c r="AU8" s="15" t="s">
        <v>298</v>
      </c>
      <c r="AV8" s="18"/>
      <c r="AW8" s="177">
        <f>IF(AT8="","",IF(StaticData.Today=TODAY(),_xll.BDP(AT8,"BID"),_xll.BDH(AT8,"BID",StaticData.Today,StaticData.Today)))</f>
        <v>13.42</v>
      </c>
      <c r="AX8" s="177">
        <f>IF(AT8="","",IF(StaticData.Today=TODAY(),_xll.BDP(AT8,"ASK"),_xll.BDH(AT8,"ASK",StaticData.Today,StaticData.Today)))</f>
        <v>18.52</v>
      </c>
      <c r="AY8" s="179">
        <f>IF(AT8="","",IF(StaticData.Today=TODAY(),_xll.BDP(AT8,"PX_LAST"),_xll.BDH(AT8,"PX_LAST",StaticData.Today,StaticData.Today)))</f>
        <v>16.489999999999998</v>
      </c>
      <c r="AZ8" s="180">
        <f>AY8</f>
        <v>16.489999999999998</v>
      </c>
    </row>
    <row r="9" spans="1:52" x14ac:dyDescent="0.25">
      <c r="B9" s="21" t="s">
        <v>511</v>
      </c>
      <c r="C9" s="22">
        <f>COUNTA(O11:O18)*2</f>
        <v>16</v>
      </c>
      <c r="D9" s="22">
        <f>COUNT(R11:S18)</f>
        <v>16</v>
      </c>
      <c r="E9" s="23">
        <f t="shared" si="0"/>
        <v>0</v>
      </c>
      <c r="G9" s="24" t="str">
        <f>"TYSO"&amp;I9&amp;" BGN"&amp;" Curncy"</f>
        <v>TYSO2Z BGN Curncy</v>
      </c>
      <c r="H9" s="25" t="s">
        <v>313</v>
      </c>
      <c r="I9" s="25" t="s">
        <v>520</v>
      </c>
      <c r="J9" s="25">
        <f>IF(G9="","",IF(StaticData.Today=TODAY(),_xll.BDP(G9,"BID"),_xll.BDH(G9,"BID",StaticData.Today,StaticData.Today)))</f>
        <v>9.75</v>
      </c>
      <c r="K9" s="25">
        <f>IF(G9="","",IF(StaticData.Today=TODAY(),_xll.BDP(G9,"ASK"),_xll.BDH(G9,"ASK",StaticData.Today,StaticData.Today)))</f>
        <v>10.75</v>
      </c>
      <c r="L9" s="26">
        <f>IF(G9="","",IF(StaticData.Today=TODAY(),_xll.BDP(G9,"LAST_PRICE"),_xll.BDH(G9,"LAST_PRICE",StaticData.Today,StaticData.Today)))</f>
        <v>10.25</v>
      </c>
      <c r="M9" s="27">
        <f t="shared" si="1"/>
        <v>0.10249999999999999</v>
      </c>
      <c r="O9" s="24" t="str">
        <f t="shared" ref="O9:O10" si="4">"TRLXB"&amp;P9&amp;" Index"</f>
        <v>TRLXB6M Index</v>
      </c>
      <c r="P9" s="25" t="s">
        <v>46</v>
      </c>
      <c r="Q9" s="28"/>
      <c r="R9" s="29"/>
      <c r="S9" s="29"/>
      <c r="T9" s="30">
        <f>IF(O9="","",IF(StaticData.Today=TODAY(),_xll.BDP(O9,"PX_LAST"),_xll.BDH(O9,"PX_LAST",StaticData.Today,StaticData.Today)))</f>
        <v>12.1676</v>
      </c>
      <c r="U9" s="183">
        <f>T9/100</f>
        <v>0.12167600000000001</v>
      </c>
      <c r="W9" s="24"/>
      <c r="X9" s="25" t="s">
        <v>316</v>
      </c>
      <c r="Y9" s="26" t="str">
        <f>IF(W9="","",IF(StaticData.Today=TODAY(),_xll.BDP(W9,"LAST_PRICE"),_xll.BDH(W9,"LAST_PRICE",StaticData.Today,StaticData.Today)))</f>
        <v/>
      </c>
      <c r="Z9" s="27"/>
      <c r="AB9" s="24"/>
      <c r="AC9" s="25" t="s">
        <v>316</v>
      </c>
      <c r="AD9" s="26" t="str">
        <f>IF(AB9="","",IF(StaticData.Today=TODAY(),_xll.BDP(AB9,"LAST_PRICE"),_xll.BDH(AB9,"LAST_PRICE",StaticData.Today,StaticData.Today)))</f>
        <v/>
      </c>
      <c r="AE9" s="27"/>
      <c r="AG9" s="24"/>
      <c r="AH9" s="25" t="s">
        <v>316</v>
      </c>
      <c r="AI9" s="26" t="str">
        <f>IF(AG9="","",IF(StaticData.Today=TODAY(),_xll.BDP(AG9,"LAST_PRICE"),_xll.BDH(AG9,"LAST_PRICE",StaticData.Today,StaticData.Today)))</f>
        <v/>
      </c>
      <c r="AJ9" s="27"/>
      <c r="AL9" s="24" t="str">
        <f>"TYBS3"&amp;$AL$2&amp;" Curncy"</f>
        <v>TYBS3 ICPL Curncy</v>
      </c>
      <c r="AM9" s="25" t="s">
        <v>316</v>
      </c>
      <c r="AN9" s="28"/>
      <c r="AO9" s="29">
        <f>IF(AL9="","",IF(StaticData.Today=TODAY(),_xll.BDP(AL9,"BID"),_xll.BDH(AL9,"BID",StaticData.Today,StaticData.Today)))</f>
        <v>207</v>
      </c>
      <c r="AP9" s="29">
        <f>IF(AL9="","",IF(StaticData.Today=TODAY(),_xll.BDP(AL9,"ASK"),_xll.BDH(AL9,"ASK",StaticData.Today,StaticData.Today)))</f>
        <v>257</v>
      </c>
      <c r="AQ9" s="177">
        <f>IF(AL9="","",IF(StaticData.Today=TODAY(),_xll.BDP(AL9,"PX_LAST"),_xll.BDH(AL9,"PX_LAST",StaticData.Today,StaticData.Today)))</f>
        <v>232</v>
      </c>
      <c r="AR9" s="338">
        <f t="shared" si="2"/>
        <v>2.3199999999999998E-2</v>
      </c>
      <c r="AT9" s="24" t="str">
        <f t="shared" si="3"/>
        <v>TRYTN BGN Curncy</v>
      </c>
      <c r="AU9" s="25" t="s">
        <v>506</v>
      </c>
      <c r="AV9" s="28"/>
      <c r="AW9" s="177">
        <f>IF(AT9="","",IF(StaticData.Today=TODAY(),_xll.BDP(AT9,"BID"),_xll.BDH(AT9,"BID",StaticData.Today,StaticData.Today)))</f>
        <v>15.32</v>
      </c>
      <c r="AX9" s="177">
        <f>IF(AT9="","",IF(StaticData.Today=TODAY(),_xll.BDP(AT9,"ASK"),_xll.BDH(AT9,"ASK",StaticData.Today,StaticData.Today)))</f>
        <v>19.95</v>
      </c>
      <c r="AY9" s="177">
        <f>IF(AT9="","",IF(StaticData.Today=TODAY(),_xll.BDP(AT9,"PX_LAST"),_xll.BDH(AT9,"PX_LAST",StaticData.Today,StaticData.Today)))</f>
        <v>18.579999999999998</v>
      </c>
      <c r="AZ9" s="181">
        <f>AY9</f>
        <v>18.579999999999998</v>
      </c>
    </row>
    <row r="10" spans="1:52" x14ac:dyDescent="0.25"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G10" s="24" t="str">
        <f>"TYSO"&amp;I10&amp;$G$1&amp;" Curncy"</f>
        <v>TYSOA BGN Curncy</v>
      </c>
      <c r="H10" s="25" t="s">
        <v>300</v>
      </c>
      <c r="I10" s="25" t="s">
        <v>521</v>
      </c>
      <c r="J10" s="25">
        <f>IF(G10="","",IF(StaticData.Today=TODAY(),_xll.BDP(G10,"BID"),_xll.BDH(G10,"BID",StaticData.Today,StaticData.Today)))</f>
        <v>10.55</v>
      </c>
      <c r="K10" s="25">
        <f>IF(G10="","",IF(StaticData.Today=TODAY(),_xll.BDP(G10,"ASK"),_xll.BDH(G10,"ASK",StaticData.Today,StaticData.Today)))</f>
        <v>10.85</v>
      </c>
      <c r="L10" s="26">
        <f>IF(G10="","",IF(StaticData.Today=TODAY(),_xll.BDP(G10,"LAST_PRICE"),_xll.BDH(G10,"LAST_PRICE",StaticData.Today,StaticData.Today)))</f>
        <v>10.7</v>
      </c>
      <c r="M10" s="27">
        <f t="shared" si="1"/>
        <v>0.107</v>
      </c>
      <c r="O10" s="24" t="str">
        <f t="shared" si="4"/>
        <v>TRLXB9M Index</v>
      </c>
      <c r="P10" s="25" t="s">
        <v>376</v>
      </c>
      <c r="Q10" s="28"/>
      <c r="R10" s="29"/>
      <c r="S10" s="29"/>
      <c r="T10" s="30">
        <f>IF(O10="","",IF(StaticData.Today=TODAY(),_xll.BDP(O10,"PX_LAST"),_xll.BDH(O10,"PX_LAST",StaticData.Today,StaticData.Today)))</f>
        <v>12.231199999999999</v>
      </c>
      <c r="U10" s="183">
        <f>T10/100</f>
        <v>0.12231199999999999</v>
      </c>
      <c r="W10" s="24"/>
      <c r="X10" s="25" t="s">
        <v>324</v>
      </c>
      <c r="Y10" s="26" t="str">
        <f>IF(W10="","",IF(StaticData.Today=TODAY(),_xll.BDP(W10,"LAST_PRICE"),_xll.BDH(W10,"LAST_PRICE",StaticData.Today,StaticData.Today)))</f>
        <v/>
      </c>
      <c r="Z10" s="27"/>
      <c r="AB10" s="24"/>
      <c r="AC10" s="25" t="s">
        <v>324</v>
      </c>
      <c r="AD10" s="26" t="str">
        <f>IF(AB10="","",IF(StaticData.Today=TODAY(),_xll.BDP(AB10,"LAST_PRICE"),_xll.BDH(AB10,"LAST_PRICE",StaticData.Today,StaticData.Today)))</f>
        <v/>
      </c>
      <c r="AE10" s="27"/>
      <c r="AG10" s="24"/>
      <c r="AH10" s="25" t="s">
        <v>324</v>
      </c>
      <c r="AI10" s="26" t="str">
        <f>IF(AG10="","",IF(StaticData.Today=TODAY(),_xll.BDP(AG10,"LAST_PRICE"),_xll.BDH(AG10,"LAST_PRICE",StaticData.Today,StaticData.Today)))</f>
        <v/>
      </c>
      <c r="AJ10" s="27"/>
      <c r="AL10" s="24" t="str">
        <f>"TYBS4"&amp;$AL$2&amp;" Curncy"</f>
        <v>TYBS4 ICPL Curncy</v>
      </c>
      <c r="AM10" s="25" t="s">
        <v>324</v>
      </c>
      <c r="AN10" s="28"/>
      <c r="AO10" s="29">
        <f>IF(AL10="","",IF(StaticData.Today=TODAY(),_xll.BDP(AL10,"BID"),_xll.BDH(AL10,"BID",StaticData.Today,StaticData.Today)))</f>
        <v>146</v>
      </c>
      <c r="AP10" s="29">
        <f>IF(AL10="","",IF(StaticData.Today=TODAY(),_xll.BDP(AL10,"ASK"),_xll.BDH(AL10,"ASK",StaticData.Today,StaticData.Today)))</f>
        <v>196</v>
      </c>
      <c r="AQ10" s="177">
        <f>IF(AL10="","",IF(StaticData.Today=TODAY(),_xll.BDP(AL10,"PX_LAST"),_xll.BDH(AL10,"PX_LAST",StaticData.Today,StaticData.Today)))</f>
        <v>171</v>
      </c>
      <c r="AR10" s="338">
        <f t="shared" si="2"/>
        <v>1.7100000000000001E-2</v>
      </c>
      <c r="AT10" s="24" t="str">
        <f t="shared" si="3"/>
        <v>TRY1W BGN Curncy</v>
      </c>
      <c r="AU10" s="25" t="s">
        <v>305</v>
      </c>
      <c r="AV10" s="28"/>
      <c r="AW10" s="177">
        <f>IF(AT10="","",IF(StaticData.Today=TODAY(),_xll.BDP(AT10,"BID"),_xll.BDH(AT10,"BID",StaticData.Today,StaticData.Today)))</f>
        <v>150.81</v>
      </c>
      <c r="AX10" s="177">
        <f>IF(AT10="","",IF(StaticData.Today=TODAY(),_xll.BDP(AT10,"ASK"),_xll.BDH(AT10,"ASK",StaticData.Today,StaticData.Today)))</f>
        <v>207.59</v>
      </c>
      <c r="AY10" s="177">
        <f>IF(AT10="","",IF(StaticData.Today=TODAY(),_xll.BDP(AT10,"PX_LAST"),_xll.BDH(AT10,"PX_LAST",StaticData.Today,StaticData.Today)))</f>
        <v>179.5</v>
      </c>
      <c r="AZ10" s="181">
        <f>AY10</f>
        <v>179.5</v>
      </c>
    </row>
    <row r="11" spans="1:52" x14ac:dyDescent="0.25">
      <c r="B11" s="21" t="s">
        <v>284</v>
      </c>
      <c r="C11" s="22">
        <f>COUNTA(AB7:AB48)</f>
        <v>0</v>
      </c>
      <c r="D11" s="22">
        <f>COUNT(AD7:AD48)</f>
        <v>0</v>
      </c>
      <c r="E11" s="23">
        <f t="shared" si="0"/>
        <v>0</v>
      </c>
      <c r="G11" s="24" t="str">
        <f>"TYSO"&amp;I11&amp;$G$1&amp;" Curncy"</f>
        <v>TYSOB BGN Curncy</v>
      </c>
      <c r="H11" s="25" t="s">
        <v>335</v>
      </c>
      <c r="I11" s="25" t="s">
        <v>522</v>
      </c>
      <c r="J11" s="25">
        <f>IF(G11="","",IF(StaticData.Today=TODAY(),_xll.BDP(G11,"BID"),_xll.BDH(G11,"BID",StaticData.Today,StaticData.Today)))</f>
        <v>11.2</v>
      </c>
      <c r="K11" s="25">
        <f>IF(G11="","",IF(StaticData.Today=TODAY(),_xll.BDP(G11,"ASK"),_xll.BDH(G11,"ASK",StaticData.Today,StaticData.Today)))</f>
        <v>11.5</v>
      </c>
      <c r="L11" s="26">
        <f>IF(G11="","",IF(StaticData.Today=TODAY(),_xll.BDP(G11,"LAST_PRICE"),_xll.BDH(G11,"LAST_PRICE",StaticData.Today,StaticData.Today)))</f>
        <v>11.35</v>
      </c>
      <c r="M11" s="27">
        <f t="shared" si="1"/>
        <v>0.11349999999999999</v>
      </c>
      <c r="O11" s="24" t="str">
        <f>"TYSW1V3"&amp;$O$2&amp;" Curncy"</f>
        <v>TYSW1V3 ICPL Curncy</v>
      </c>
      <c r="P11" s="25" t="s">
        <v>47</v>
      </c>
      <c r="Q11" s="31"/>
      <c r="R11" s="182">
        <f>IF(O11="","",IF(StaticData.Today=TODAY(),_xll.BDP(O11,"BID"),_xll.BDH(O11,"BID",StaticData.Today,StaticData.Today)))</f>
        <v>12.75</v>
      </c>
      <c r="S11" s="182">
        <f>IF(O11="","",IF(StaticData.Today=TODAY(),_xll.BDP(O11,"ASK"),_xll.BDH(O11,"ASK",StaticData.Today,StaticData.Today)))</f>
        <v>13.15</v>
      </c>
      <c r="T11" s="30">
        <f>IF(O11="","",IF(StaticData.Today=TODAY(),_xll.BDP(O11,"LAST_PRICE"),_xll.BDH(O11,"LAST_PRICE",StaticData.Today,StaticData.Today)))</f>
        <v>12.95</v>
      </c>
      <c r="U11" s="183">
        <f>T11/100</f>
        <v>0.1295</v>
      </c>
      <c r="W11" s="24"/>
      <c r="X11" s="25" t="s">
        <v>331</v>
      </c>
      <c r="Y11" s="26" t="str">
        <f>IF(W11="","",IF(StaticData.Today=TODAY(),_xll.BDP(W11,"LAST_PRICE"),_xll.BDH(W11,"LAST_PRICE",StaticData.Today,StaticData.Today)))</f>
        <v/>
      </c>
      <c r="Z11" s="27"/>
      <c r="AB11" s="24"/>
      <c r="AC11" s="25" t="s">
        <v>331</v>
      </c>
      <c r="AD11" s="26" t="str">
        <f>IF(AB11="","",IF(StaticData.Today=TODAY(),_xll.BDP(AB11,"LAST_PRICE"),_xll.BDH(AB11,"LAST_PRICE",StaticData.Today,StaticData.Today)))</f>
        <v/>
      </c>
      <c r="AE11" s="27"/>
      <c r="AG11" s="24"/>
      <c r="AH11" s="25" t="s">
        <v>331</v>
      </c>
      <c r="AI11" s="26" t="str">
        <f>IF(AG11="","",IF(StaticData.Today=TODAY(),_xll.BDP(AG11,"LAST_PRICE"),_xll.BDH(AG11,"LAST_PRICE",StaticData.Today,StaticData.Today)))</f>
        <v/>
      </c>
      <c r="AJ11" s="27"/>
      <c r="AL11" s="24" t="str">
        <f>"TYBS5"&amp;$AL$2&amp;" Curncy"</f>
        <v>TYBS5 ICPL Curncy</v>
      </c>
      <c r="AM11" s="25" t="s">
        <v>331</v>
      </c>
      <c r="AN11" s="31"/>
      <c r="AO11" s="29">
        <f>IF(AL11="","",IF(StaticData.Today=TODAY(),_xll.BDP(AL11,"BID"),_xll.BDH(AL11,"BID",StaticData.Today,StaticData.Today)))</f>
        <v>127</v>
      </c>
      <c r="AP11" s="29">
        <f>IF(AL11="","",IF(StaticData.Today=TODAY(),_xll.BDP(AL11,"ASK"),_xll.BDH(AL11,"ASK",StaticData.Today,StaticData.Today)))</f>
        <v>177</v>
      </c>
      <c r="AQ11" s="177">
        <f>IF(AL11="","",IF(StaticData.Today=TODAY(),_xll.BDP(AL11,"LAST_PRICE"),_xll.BDH(AL11,"LAST_PRICE",StaticData.Today,StaticData.Today)))</f>
        <v>152</v>
      </c>
      <c r="AR11" s="338">
        <f t="shared" si="2"/>
        <v>1.52E-2</v>
      </c>
      <c r="AT11" s="24" t="str">
        <f t="shared" si="3"/>
        <v>TRY2W BGN Curncy</v>
      </c>
      <c r="AU11" s="25" t="s">
        <v>313</v>
      </c>
      <c r="AV11" s="28"/>
      <c r="AW11" s="177">
        <f>IF(AT11="","",IF(StaticData.Today=TODAY(),_xll.BDP(AT11,"BID"),_xll.BDH(AT11,"BID",StaticData.Today,StaticData.Today)))</f>
        <v>329.02</v>
      </c>
      <c r="AX11" s="177">
        <f>IF(AT11="","",IF(StaticData.Today=TODAY(),_xll.BDP(AT11,"ASK"),_xll.BDH(AT11,"ASK",StaticData.Today,StaticData.Today)))</f>
        <v>445.33</v>
      </c>
      <c r="AY11" s="177">
        <f>IF(AT11="","",IF(StaticData.Today=TODAY(),_xll.BDP(AT11,"PX_LAST"),_xll.BDH(AT11,"PX_LAST",StaticData.Today,StaticData.Today)))</f>
        <v>384.14</v>
      </c>
      <c r="AZ11" s="181">
        <f>AY11</f>
        <v>384.14</v>
      </c>
    </row>
    <row r="12" spans="1:52" x14ac:dyDescent="0.25">
      <c r="B12" s="21" t="s">
        <v>285</v>
      </c>
      <c r="C12" s="22">
        <f>COUNTA(AG7:AG48)</f>
        <v>0</v>
      </c>
      <c r="D12" s="22">
        <f>COUNT(AI7:AI48)</f>
        <v>0</v>
      </c>
      <c r="E12" s="23">
        <f t="shared" si="0"/>
        <v>0</v>
      </c>
      <c r="G12" s="24" t="str">
        <f>"TYSO"&amp;I12&amp;$G$1&amp;" Curncy"</f>
        <v>TYSOC BGN Curncy</v>
      </c>
      <c r="H12" s="25" t="s">
        <v>49</v>
      </c>
      <c r="I12" s="25" t="s">
        <v>523</v>
      </c>
      <c r="J12" s="25">
        <f>IF(G12="","",IF(StaticData.Today=TODAY(),_xll.BDP(G12,"BID"),_xll.BDH(G12,"BID",StaticData.Today,StaticData.Today)))</f>
        <v>12.1502</v>
      </c>
      <c r="K12" s="25">
        <f>IF(G12="","",IF(StaticData.Today=TODAY(),_xll.BDP(G12,"ASK"),_xll.BDH(G12,"ASK",StaticData.Today,StaticData.Today)))</f>
        <v>12.4498</v>
      </c>
      <c r="L12" s="26">
        <f>IF(G12="","",IF(StaticData.Today=TODAY(),_xll.BDP(G12,"LAST_PRICE"),_xll.BDH(G12,"LAST_PRICE",StaticData.Today,StaticData.Today)))</f>
        <v>12.3</v>
      </c>
      <c r="M12" s="27">
        <f t="shared" si="1"/>
        <v>0.12300000000000001</v>
      </c>
      <c r="O12" s="24" t="str">
        <f>"TYSW2V3"&amp;$O$2&amp;" Curncy"</f>
        <v>TYSW2V3 ICPL Curncy</v>
      </c>
      <c r="P12" s="25" t="s">
        <v>308</v>
      </c>
      <c r="Q12" s="31"/>
      <c r="R12" s="182">
        <f>IF(O12="","",IF(StaticData.Today=TODAY(),_xll.BDP(O12,"BID"),_xll.BDH(O12,"BID",StaticData.Today,StaticData.Today)))</f>
        <v>13.73</v>
      </c>
      <c r="S12" s="182">
        <f>IF(O12="","",IF(StaticData.Today=TODAY(),_xll.BDP(O12,"ASK"),_xll.BDH(O12,"ASK",StaticData.Today,StaticData.Today)))</f>
        <v>14.13</v>
      </c>
      <c r="T12" s="30">
        <f>IF(O12="","",IF(StaticData.Today=TODAY(),_xll.BDP(O12,"LAST_PRICE"),_xll.BDH(O12,"LAST_PRICE",StaticData.Today,StaticData.Today)))</f>
        <v>13.93</v>
      </c>
      <c r="U12" s="183">
        <f t="shared" ref="U12:U20" si="5">T12/100</f>
        <v>0.13930000000000001</v>
      </c>
      <c r="W12" s="24"/>
      <c r="X12" s="25" t="s">
        <v>339</v>
      </c>
      <c r="Y12" s="26" t="str">
        <f>IF(W12="","",IF(StaticData.Today=TODAY(),_xll.BDP(W12,"LAST_PRICE"),_xll.BDH(W12,"LAST_PRICE",StaticData.Today,StaticData.Today)))</f>
        <v/>
      </c>
      <c r="Z12" s="27"/>
      <c r="AB12" s="24"/>
      <c r="AC12" s="25" t="s">
        <v>339</v>
      </c>
      <c r="AD12" s="26" t="str">
        <f>IF(AB12="","",IF(StaticData.Today=TODAY(),_xll.BDP(AB12,"LAST_PRICE"),_xll.BDH(AB12,"LAST_PRICE",StaticData.Today,StaticData.Today)))</f>
        <v/>
      </c>
      <c r="AE12" s="27"/>
      <c r="AG12" s="24"/>
      <c r="AH12" s="25" t="s">
        <v>342</v>
      </c>
      <c r="AI12" s="26" t="str">
        <f>IF(AG12="","",IF(StaticData.Today=TODAY(),_xll.BDP(AG12,"LAST_PRICE"),_xll.BDH(AG12,"LAST_PRICE",StaticData.Today,StaticData.Today)))</f>
        <v/>
      </c>
      <c r="AJ12" s="27"/>
      <c r="AL12" s="24" t="str">
        <f>"TYBS6"&amp;$AL$2&amp;" Curncy"</f>
        <v>TYBS6 ICPL Curncy</v>
      </c>
      <c r="AM12" s="25" t="s">
        <v>339</v>
      </c>
      <c r="AN12" s="31"/>
      <c r="AO12" s="29">
        <f>IF(AL12="","",IF(StaticData.Today=TODAY(),_xll.BDP(AL12,"BID"),_xll.BDH(AL12,"BID",StaticData.Today,StaticData.Today)))</f>
        <v>72</v>
      </c>
      <c r="AP12" s="29">
        <f>IF(AL12="","",IF(StaticData.Today=TODAY(),_xll.BDP(AL12,"ASK"),_xll.BDH(AL12,"ASK",StaticData.Today,StaticData.Today)))</f>
        <v>122</v>
      </c>
      <c r="AQ12" s="177">
        <f>IF(AL12="","",IF(StaticData.Today=TODAY(),_xll.BDP(AL12,"LAST_PRICE"),_xll.BDH(AL12,"LAST_PRICE",StaticData.Today,StaticData.Today)))</f>
        <v>97</v>
      </c>
      <c r="AR12" s="338">
        <f t="shared" si="2"/>
        <v>9.7000000000000003E-3</v>
      </c>
      <c r="AT12" s="24" t="str">
        <f t="shared" si="3"/>
        <v>TRY1M BGN Curncy</v>
      </c>
      <c r="AU12" s="25" t="s">
        <v>300</v>
      </c>
      <c r="AV12" s="31"/>
      <c r="AW12" s="177">
        <f>IF(AT12="","",IF(StaticData.Today=TODAY(),_xll.BDP(AT12,"BID"),_xll.BDH(AT12,"BID",StaticData.Today,StaticData.Today)))</f>
        <v>957.85</v>
      </c>
      <c r="AX12" s="177">
        <f>IF(AT12="","",IF(StaticData.Today=TODAY(),_xll.BDP(AT12,"ASK"),_xll.BDH(AT12,"ASK",StaticData.Today,StaticData.Today)))</f>
        <v>1141.55</v>
      </c>
      <c r="AY12" s="177">
        <f>IF(AT12="","",IF(StaticData.Today=TODAY(),_xll.BDP(AT12,"LAST_PRICE"),_xll.BDH(AT12,"LAST_PRICE",StaticData.Today,StaticData.Today)))</f>
        <v>1049.7</v>
      </c>
      <c r="AZ12" s="181">
        <f>AY12</f>
        <v>1049.7</v>
      </c>
    </row>
    <row r="13" spans="1:52" x14ac:dyDescent="0.25">
      <c r="B13" s="21"/>
      <c r="C13" s="22"/>
      <c r="D13" s="22"/>
      <c r="E13" s="22"/>
      <c r="G13" s="24" t="str">
        <f>"TYSO"&amp;I13&amp;$G$1&amp;" Curncy"</f>
        <v>TYSOF BGN Curncy</v>
      </c>
      <c r="H13" s="25" t="s">
        <v>46</v>
      </c>
      <c r="I13" s="25" t="s">
        <v>524</v>
      </c>
      <c r="J13" s="25">
        <f>IF(G13="","",IF(StaticData.Today=TODAY(),_xll.BDP(G13,"BID"),_xll.BDH(G13,"BID",StaticData.Today,StaticData.Today)))</f>
        <v>13.469799999999999</v>
      </c>
      <c r="K13" s="25">
        <f>IF(G13="","",IF(StaticData.Today=TODAY(),_xll.BDP(G13,"ASK"),_xll.BDH(G13,"ASK",StaticData.Today,StaticData.Today)))</f>
        <v>13.770200000000001</v>
      </c>
      <c r="L13" s="26">
        <f>IF(G13="","",IF(StaticData.Today=TODAY(),_xll.BDP(G13,"LAST_PRICE"),_xll.BDH(G13,"LAST_PRICE",StaticData.Today,StaticData.Today)))</f>
        <v>13.62</v>
      </c>
      <c r="M13" s="27">
        <f t="shared" si="1"/>
        <v>0.13619999999999999</v>
      </c>
      <c r="O13" s="24" t="str">
        <f>"TYSW3V3"&amp;$O$2&amp;" Curncy"</f>
        <v>TYSW3V3 ICPL Curncy</v>
      </c>
      <c r="P13" s="25" t="s">
        <v>316</v>
      </c>
      <c r="Q13" s="31"/>
      <c r="R13" s="182">
        <f>IF(O13="","",IF(StaticData.Today=TODAY(),_xll.BDP(O13,"BID"),_xll.BDH(O13,"BID",StaticData.Today,StaticData.Today)))</f>
        <v>13.26</v>
      </c>
      <c r="S13" s="182">
        <f>IF(O13="","",IF(StaticData.Today=TODAY(),_xll.BDP(O13,"ASK"),_xll.BDH(O13,"ASK",StaticData.Today,StaticData.Today)))</f>
        <v>13.66</v>
      </c>
      <c r="T13" s="30">
        <f>IF(O13="","",IF(StaticData.Today=TODAY(),_xll.BDP(O13,"LAST_PRICE"),_xll.BDH(O13,"LAST_PRICE",StaticData.Today,StaticData.Today)))</f>
        <v>13.46</v>
      </c>
      <c r="U13" s="183">
        <f t="shared" si="5"/>
        <v>0.1346</v>
      </c>
      <c r="W13" s="24"/>
      <c r="X13" s="25" t="s">
        <v>342</v>
      </c>
      <c r="Y13" s="26" t="str">
        <f>IF(W13="","",IF(StaticData.Today=TODAY(),_xll.BDP(W13,"LAST_PRICE"),_xll.BDH(W13,"LAST_PRICE",StaticData.Today,StaticData.Today)))</f>
        <v/>
      </c>
      <c r="Z13" s="27"/>
      <c r="AB13" s="24"/>
      <c r="AC13" s="25" t="s">
        <v>342</v>
      </c>
      <c r="AD13" s="26" t="str">
        <f>IF(AB13="","",IF(StaticData.Today=TODAY(),_xll.BDP(AB13,"LAST_PRICE"),_xll.BDH(AB13,"LAST_PRICE",StaticData.Today,StaticData.Today)))</f>
        <v/>
      </c>
      <c r="AE13" s="27"/>
      <c r="AG13" s="24"/>
      <c r="AH13" s="25" t="s">
        <v>349</v>
      </c>
      <c r="AI13" s="26" t="str">
        <f>IF(AG13="","",IF(StaticData.Today=TODAY(),_xll.BDP(AG13,"LAST_PRICE"),_xll.BDH(AG13,"LAST_PRICE",StaticData.Today,StaticData.Today)))</f>
        <v/>
      </c>
      <c r="AJ13" s="27"/>
      <c r="AL13" s="24" t="str">
        <f>"TYBS7"&amp;$AL$2&amp;" Curncy"</f>
        <v>TYBS7 ICPL Curncy</v>
      </c>
      <c r="AM13" s="25" t="s">
        <v>342</v>
      </c>
      <c r="AN13" s="31"/>
      <c r="AO13" s="29">
        <f>IF(AL13="","",IF(StaticData.Today=TODAY(),_xll.BDP(AL13,"BID"),_xll.BDH(AL13,"BID",StaticData.Today,StaticData.Today)))</f>
        <v>71</v>
      </c>
      <c r="AP13" s="29">
        <f>IF(AL13="","",IF(StaticData.Today=TODAY(),_xll.BDP(AL13,"ASK"),_xll.BDH(AL13,"ASK",StaticData.Today,StaticData.Today)))</f>
        <v>121</v>
      </c>
      <c r="AQ13" s="177">
        <f>IF(AL13="","",IF(StaticData.Today=TODAY(),_xll.BDP(AL13,"LAST_PRICE"),_xll.BDH(AL13,"LAST_PRICE",StaticData.Today,StaticData.Today)))</f>
        <v>96</v>
      </c>
      <c r="AR13" s="338">
        <f t="shared" si="2"/>
        <v>9.5999999999999992E-3</v>
      </c>
      <c r="AT13" s="24" t="str">
        <f t="shared" si="3"/>
        <v>TRY2M BGN Curncy</v>
      </c>
      <c r="AU13" s="25" t="s">
        <v>335</v>
      </c>
      <c r="AV13" s="31"/>
      <c r="AW13" s="177">
        <f>IF(AT13="","",IF(StaticData.Today=TODAY(),_xll.BDP(AT13,"BID"),_xll.BDH(AT13,"BID",StaticData.Today,StaticData.Today)))</f>
        <v>1815.03</v>
      </c>
      <c r="AX13" s="177">
        <f>IF(AT13="","",IF(StaticData.Today=TODAY(),_xll.BDP(AT13,"ASK"),_xll.BDH(AT13,"ASK",StaticData.Today,StaticData.Today)))</f>
        <v>2067.4699999999998</v>
      </c>
      <c r="AY13" s="177">
        <f>IF(AT13="","",IF(StaticData.Today=TODAY(),_xll.BDP(AT13,"LAST_PRICE"),_xll.BDH(AT13,"LAST_PRICE",StaticData.Today,StaticData.Today)))</f>
        <v>1941.25</v>
      </c>
      <c r="AZ13" s="181">
        <f t="shared" ref="AZ13:AZ20" si="6">AY13</f>
        <v>1941.25</v>
      </c>
    </row>
    <row r="14" spans="1:52" x14ac:dyDescent="0.25">
      <c r="B14" s="21"/>
      <c r="C14" s="22"/>
      <c r="D14" s="22"/>
      <c r="E14" s="22"/>
      <c r="G14" s="24" t="str">
        <f>"TYSO"&amp;I14&amp;$G$1&amp;" Curncy"</f>
        <v>TYSOI BGN Curncy</v>
      </c>
      <c r="H14" s="25" t="s">
        <v>376</v>
      </c>
      <c r="I14" s="25" t="s">
        <v>525</v>
      </c>
      <c r="J14" s="25">
        <f>IF(G14="","",IF(StaticData.Today=TODAY(),_xll.BDP(G14,"BID"),_xll.BDH(G14,"BID",StaticData.Today,StaticData.Today)))</f>
        <v>13.908799999999999</v>
      </c>
      <c r="K14" s="25">
        <f>IF(G14="","",IF(StaticData.Today=TODAY(),_xll.BDP(G14,"ASK"),_xll.BDH(G14,"ASK",StaticData.Today,StaticData.Today)))</f>
        <v>14.2112</v>
      </c>
      <c r="L14" s="26">
        <f>IF(G14="","",IF(StaticData.Today=TODAY(),_xll.BDP(G14,"LAST_PRICE"),_xll.BDH(G14,"LAST_PRICE",StaticData.Today,StaticData.Today)))</f>
        <v>14.06</v>
      </c>
      <c r="M14" s="27">
        <f t="shared" si="1"/>
        <v>0.1406</v>
      </c>
      <c r="O14" s="24" t="str">
        <f>"TYSW4V3"&amp;$O$2&amp;" Curncy"</f>
        <v>TYSW4V3 ICPL Curncy</v>
      </c>
      <c r="P14" s="25" t="s">
        <v>324</v>
      </c>
      <c r="Q14" s="31"/>
      <c r="R14" s="182">
        <f>IF(O14="","",IF(StaticData.Today=TODAY(),_xll.BDP(O14,"BID"),_xll.BDH(O14,"BID",StaticData.Today,StaticData.Today)))</f>
        <v>13.19</v>
      </c>
      <c r="S14" s="182">
        <f>IF(O14="","",IF(StaticData.Today=TODAY(),_xll.BDP(O14,"ASK"),_xll.BDH(O14,"ASK",StaticData.Today,StaticData.Today)))</f>
        <v>13.59</v>
      </c>
      <c r="T14" s="30">
        <f>IF(O14="","",IF(StaticData.Today=TODAY(),_xll.BDP(O14,"LAST_PRICE"),_xll.BDH(O14,"LAST_PRICE",StaticData.Today,StaticData.Today)))</f>
        <v>13.39</v>
      </c>
      <c r="U14" s="183">
        <f t="shared" si="5"/>
        <v>0.13390000000000002</v>
      </c>
      <c r="W14" s="24"/>
      <c r="X14" s="25" t="s">
        <v>355</v>
      </c>
      <c r="Y14" s="26" t="str">
        <f>IF(W14="","",IF(StaticData.Today=TODAY(),_xll.BDP(W14,"LAST_PRICE"),_xll.BDH(W14,"LAST_PRICE",StaticData.Today,StaticData.Today)))</f>
        <v/>
      </c>
      <c r="Z14" s="27"/>
      <c r="AB14" s="24"/>
      <c r="AC14" s="25" t="s">
        <v>355</v>
      </c>
      <c r="AD14" s="26" t="str">
        <f>IF(AB14="","",IF(StaticData.Today=TODAY(),_xll.BDP(AB14,"LAST_PRICE"),_xll.BDH(AB14,"LAST_PRICE",StaticData.Today,StaticData.Today)))</f>
        <v/>
      </c>
      <c r="AE14" s="27"/>
      <c r="AG14" s="24"/>
      <c r="AH14" s="25" t="s">
        <v>358</v>
      </c>
      <c r="AI14" s="26" t="str">
        <f>IF(AG14="","",IF(StaticData.Today=TODAY(),_xll.BDP(AG14,"LAST_PRICE"),_xll.BDH(AG14,"LAST_PRICE",StaticData.Today,StaticData.Today)))</f>
        <v/>
      </c>
      <c r="AJ14" s="27"/>
      <c r="AL14" s="24" t="str">
        <f>"TYBS8"&amp;$AL$2&amp;" Curncy"</f>
        <v>TYBS8 ICPL Curncy</v>
      </c>
      <c r="AM14" s="25" t="s">
        <v>355</v>
      </c>
      <c r="AN14" s="31"/>
      <c r="AO14" s="29">
        <f>IF(AL14="","",IF(StaticData.Today=TODAY(),_xll.BDP(AL14,"BID"),_xll.BDH(AL14,"BID",StaticData.Today,StaticData.Today)))</f>
        <v>57</v>
      </c>
      <c r="AP14" s="29">
        <f>IF(AL14="","",IF(StaticData.Today=TODAY(),_xll.BDP(AL14,"ASK"),_xll.BDH(AL14,"ASK",StaticData.Today,StaticData.Today)))</f>
        <v>107</v>
      </c>
      <c r="AQ14" s="177">
        <f>IF(AL14="","",IF(StaticData.Today=TODAY(),_xll.BDP(AL14,"LAST_PRICE"),_xll.BDH(AL14,"LAST_PRICE",StaticData.Today,StaticData.Today)))</f>
        <v>82</v>
      </c>
      <c r="AR14" s="338">
        <f t="shared" si="2"/>
        <v>8.2000000000000007E-3</v>
      </c>
      <c r="AT14" s="24" t="str">
        <f t="shared" si="3"/>
        <v>TRY3M BGN Curncy</v>
      </c>
      <c r="AU14" s="25" t="s">
        <v>49</v>
      </c>
      <c r="AV14" s="31"/>
      <c r="AW14" s="177">
        <f>IF(AT14="","",IF(StaticData.Today=TODAY(),_xll.BDP(AT14,"BID"),_xll.BDH(AT14,"BID",StaticData.Today,StaticData.Today)))</f>
        <v>2738.36</v>
      </c>
      <c r="AX14" s="177">
        <f>IF(AT14="","",IF(StaticData.Today=TODAY(),_xll.BDP(AT14,"ASK"),_xll.BDH(AT14,"ASK",StaticData.Today,StaticData.Today)))</f>
        <v>3103.66</v>
      </c>
      <c r="AY14" s="177">
        <f>IF(AT14="","",IF(StaticData.Today=TODAY(),_xll.BDP(AT14,"LAST_PRICE"),_xll.BDH(AT14,"LAST_PRICE",StaticData.Today,StaticData.Today)))</f>
        <v>2921.01</v>
      </c>
      <c r="AZ14" s="181">
        <f t="shared" si="6"/>
        <v>2921.01</v>
      </c>
    </row>
    <row r="15" spans="1:52" x14ac:dyDescent="0.25">
      <c r="B15" s="21"/>
      <c r="C15" s="22"/>
      <c r="D15" s="22"/>
      <c r="E15" s="22"/>
      <c r="G15" s="24" t="str">
        <f>"TYSO1"&amp;$G$1&amp;" Curncy"</f>
        <v>TYSO1 BGN Curncy</v>
      </c>
      <c r="H15" s="25" t="s">
        <v>47</v>
      </c>
      <c r="I15" s="25"/>
      <c r="J15" s="25">
        <f>IF(G15="","",IF(StaticData.Today=TODAY(),_xll.BDP(G15,"BID"),_xll.BDH(G15,"BID",StaticData.Today,StaticData.Today)))</f>
        <v>14.120100000000001</v>
      </c>
      <c r="K15" s="25">
        <f>IF(G15="","",IF(StaticData.Today=TODAY(),_xll.BDP(G15,"ASK"),_xll.BDH(G15,"ASK",StaticData.Today,StaticData.Today)))</f>
        <v>14.4199</v>
      </c>
      <c r="L15" s="26">
        <f>IF(G15="","",IF(StaticData.Today=TODAY(),_xll.BDP(G15,"LAST_PRICE"),_xll.BDH(G15,"LAST_PRICE",StaticData.Today,StaticData.Today)))</f>
        <v>14.27</v>
      </c>
      <c r="M15" s="27">
        <f>L15/100</f>
        <v>0.14269999999999999</v>
      </c>
      <c r="O15" s="24" t="str">
        <f>"TYSW5V3"&amp;$O$2&amp;" Curncy"</f>
        <v>TYSW5V3 ICPL Curncy</v>
      </c>
      <c r="P15" s="25" t="s">
        <v>331</v>
      </c>
      <c r="Q15" s="31"/>
      <c r="R15" s="182">
        <f>IF(O15="","",IF(StaticData.Today=TODAY(),_xll.BDP(O15,"BID"),_xll.BDH(O15,"BID",StaticData.Today,StaticData.Today)))</f>
        <v>12.79</v>
      </c>
      <c r="S15" s="182">
        <f>IF(O15="","",IF(StaticData.Today=TODAY(),_xll.BDP(O15,"ASK"),_xll.BDH(O15,"ASK",StaticData.Today,StaticData.Today)))</f>
        <v>13.19</v>
      </c>
      <c r="T15" s="30">
        <f>IF(O15="","",IF(StaticData.Today=TODAY(),_xll.BDP(O15,"LAST_PRICE"),_xll.BDH(O15,"LAST_PRICE",StaticData.Today,StaticData.Today)))</f>
        <v>12.99</v>
      </c>
      <c r="U15" s="183">
        <f t="shared" si="5"/>
        <v>0.12990000000000002</v>
      </c>
      <c r="W15" s="24"/>
      <c r="X15" s="25" t="s">
        <v>364</v>
      </c>
      <c r="Y15" s="26" t="str">
        <f>IF(W15="","",IF(StaticData.Today=TODAY(),_xll.BDP(W15,"LAST_PRICE"),_xll.BDH(W15,"LAST_PRICE",StaticData.Today,StaticData.Today)))</f>
        <v/>
      </c>
      <c r="Z15" s="27"/>
      <c r="AB15" s="24"/>
      <c r="AC15" s="25" t="s">
        <v>364</v>
      </c>
      <c r="AD15" s="26" t="str">
        <f>IF(AB15="","",IF(StaticData.Today=TODAY(),_xll.BDP(AB15,"LAST_PRICE"),_xll.BDH(AB15,"LAST_PRICE",StaticData.Today,StaticData.Today)))</f>
        <v/>
      </c>
      <c r="AE15" s="27"/>
      <c r="AG15" s="24"/>
      <c r="AH15" s="25" t="s">
        <v>367</v>
      </c>
      <c r="AI15" s="26" t="str">
        <f>IF(AG15="","",IF(StaticData.Today=TODAY(),_xll.BDP(AG15,"LAST_PRICE"),_xll.BDH(AG15,"LAST_PRICE",StaticData.Today,StaticData.Today)))</f>
        <v/>
      </c>
      <c r="AJ15" s="27"/>
      <c r="AL15" s="24" t="str">
        <f>"TYBS9"&amp;$AL$2&amp;" Curncy"</f>
        <v>TYBS9 ICPL Curncy</v>
      </c>
      <c r="AM15" s="25" t="s">
        <v>364</v>
      </c>
      <c r="AN15" s="31"/>
      <c r="AO15" s="29">
        <f>IF(AL15="","",IF(StaticData.Today=TODAY(),_xll.BDP(AL15,"BID"),_xll.BDH(AL15,"BID",StaticData.Today,StaticData.Today)))</f>
        <v>56</v>
      </c>
      <c r="AP15" s="29">
        <f>IF(AL15="","",IF(StaticData.Today=TODAY(),_xll.BDP(AL15,"ASK"),_xll.BDH(AL15,"ASK",StaticData.Today,StaticData.Today)))</f>
        <v>106</v>
      </c>
      <c r="AQ15" s="177">
        <f>IF(AL15="","",IF(StaticData.Today=TODAY(),_xll.BDP(AL15,"LAST_PRICE"),_xll.BDH(AL15,"LAST_PRICE",StaticData.Today,StaticData.Today)))</f>
        <v>81</v>
      </c>
      <c r="AR15" s="338">
        <f t="shared" si="2"/>
        <v>8.0999999999999996E-3</v>
      </c>
      <c r="AT15" s="24" t="str">
        <f t="shared" si="3"/>
        <v>TRY4M BGN Curncy</v>
      </c>
      <c r="AU15" s="25" t="s">
        <v>351</v>
      </c>
      <c r="AV15" s="31"/>
      <c r="AW15" s="177">
        <f>IF(AT15="","",IF(StaticData.Today=TODAY(),_xll.BDP(AT15,"BID"),_xll.BDH(AT15,"BID",StaticData.Today,StaticData.Today)))</f>
        <v>3911.28</v>
      </c>
      <c r="AX15" s="177">
        <f>IF(AT15="","",IF(StaticData.Today=TODAY(),_xll.BDP(AT15,"ASK"),_xll.BDH(AT15,"ASK",StaticData.Today,StaticData.Today)))</f>
        <v>4233.2700000000004</v>
      </c>
      <c r="AY15" s="177">
        <f>IF(AT15="","",IF(StaticData.Today=TODAY(),_xll.BDP(AT15,"LAST_PRICE"),_xll.BDH(AT15,"LAST_PRICE",StaticData.Today,StaticData.Today)))</f>
        <v>4072.27</v>
      </c>
      <c r="AZ15" s="181">
        <f t="shared" ref="AZ15:AZ16" si="7">AY15</f>
        <v>4072.27</v>
      </c>
    </row>
    <row r="16" spans="1:52" x14ac:dyDescent="0.25">
      <c r="B16" s="21"/>
      <c r="C16" s="22"/>
      <c r="D16" s="22"/>
      <c r="E16" s="22"/>
      <c r="G16" s="24" t="str">
        <f>"TYSO2"&amp;$G$1&amp;" Curncy"</f>
        <v>TYSO2 BGN Curncy</v>
      </c>
      <c r="H16" s="25" t="s">
        <v>308</v>
      </c>
      <c r="I16" s="25"/>
      <c r="J16" s="25">
        <f>IF(G16="","",IF(StaticData.Today=TODAY(),_xll.BDP(G16,"BID"),_xll.BDH(G16,"BID",StaticData.Today,StaticData.Today)))</f>
        <v>14.2165</v>
      </c>
      <c r="K16" s="25">
        <f>IF(G16="","",IF(StaticData.Today=TODAY(),_xll.BDP(G16,"ASK"),_xll.BDH(G16,"ASK",StaticData.Today,StaticData.Today)))</f>
        <v>14.483499999999999</v>
      </c>
      <c r="L16" s="26">
        <f>IF(G16="","",IF(StaticData.Today=TODAY(),_xll.BDP(G16,"LAST_PRICE"),_xll.BDH(G16,"LAST_PRICE",StaticData.Today,StaticData.Today)))</f>
        <v>14.35</v>
      </c>
      <c r="M16" s="27">
        <f>L16/100</f>
        <v>0.14349999999999999</v>
      </c>
      <c r="O16" s="24" t="str">
        <f>"TYSW6V3"&amp;$O$2&amp;" Curncy"</f>
        <v>TYSW6V3 ICPL Curncy</v>
      </c>
      <c r="P16" s="25" t="s">
        <v>339</v>
      </c>
      <c r="Q16" s="31"/>
      <c r="R16" s="182">
        <f>IF(O16="","",IF(StaticData.Today=TODAY(),_xll.BDP(O16,"BID"),_xll.BDH(O16,"BID",StaticData.Today,StaticData.Today)))</f>
        <v>12.87</v>
      </c>
      <c r="S16" s="182">
        <f>IF(O16="","",IF(StaticData.Today=TODAY(),_xll.BDP(O16,"ASK"),_xll.BDH(O16,"ASK",StaticData.Today,StaticData.Today)))</f>
        <v>13.27</v>
      </c>
      <c r="T16" s="30">
        <f>IF(O16="","",IF(StaticData.Today=TODAY(),_xll.BDP(O16,"LAST_PRICE"),_xll.BDH(O16,"LAST_PRICE",StaticData.Today,StaticData.Today)))</f>
        <v>13.07</v>
      </c>
      <c r="U16" s="183">
        <f t="shared" si="5"/>
        <v>0.13070000000000001</v>
      </c>
      <c r="W16" s="24"/>
      <c r="X16" s="25" t="s">
        <v>349</v>
      </c>
      <c r="Y16" s="26" t="str">
        <f>IF(W16="","",IF(StaticData.Today=TODAY(),_xll.BDP(W16,"LAST_PRICE"),_xll.BDH(W16,"LAST_PRICE",StaticData.Today,StaticData.Today)))</f>
        <v/>
      </c>
      <c r="Z16" s="27"/>
      <c r="AB16" s="24"/>
      <c r="AC16" s="25" t="s">
        <v>349</v>
      </c>
      <c r="AD16" s="26" t="str">
        <f>IF(AB16="","",IF(StaticData.Today=TODAY(),_xll.BDP(AB16,"LAST_PRICE"),_xll.BDH(AB16,"LAST_PRICE",StaticData.Today,StaticData.Today)))</f>
        <v/>
      </c>
      <c r="AE16" s="27"/>
      <c r="AG16" s="24"/>
      <c r="AH16" s="25" t="s">
        <v>374</v>
      </c>
      <c r="AI16" s="26" t="str">
        <f>IF(AG16="","",IF(StaticData.Today=TODAY(),_xll.BDP(AG16,"LAST_PRICE"),_xll.BDH(AG16,"LAST_PRICE",StaticData.Today,StaticData.Today)))</f>
        <v/>
      </c>
      <c r="AJ16" s="27"/>
      <c r="AL16" s="24" t="str">
        <f>"TYBS10"&amp;$AL$2&amp;" Curncy"</f>
        <v>TYBS10 ICPL Curncy</v>
      </c>
      <c r="AM16" s="25" t="s">
        <v>349</v>
      </c>
      <c r="AN16" s="31"/>
      <c r="AO16" s="29">
        <f>IF(AL16="","",IF(StaticData.Today=TODAY(),_xll.BDP(AL16,"BID"),_xll.BDH(AL16,"BID",StaticData.Today,StaticData.Today)))</f>
        <v>40</v>
      </c>
      <c r="AP16" s="29">
        <f>IF(AL16="","",IF(StaticData.Today=TODAY(),_xll.BDP(AL16,"ASK"),_xll.BDH(AL16,"ASK",StaticData.Today,StaticData.Today)))</f>
        <v>90</v>
      </c>
      <c r="AQ16" s="177">
        <f>IF(AL16="","",IF(StaticData.Today=TODAY(),_xll.BDP(AL16,"LAST_PRICE"),_xll.BDH(AL16,"LAST_PRICE",StaticData.Today,StaticData.Today)))</f>
        <v>65</v>
      </c>
      <c r="AR16" s="338">
        <f t="shared" si="2"/>
        <v>6.4999999999999997E-3</v>
      </c>
      <c r="AT16" s="24" t="str">
        <f t="shared" si="3"/>
        <v>TRY5M BGN Curncy</v>
      </c>
      <c r="AU16" s="25" t="s">
        <v>360</v>
      </c>
      <c r="AV16" s="31"/>
      <c r="AW16" s="177">
        <f>IF(AT16="","",IF(StaticData.Today=TODAY(),_xll.BDP(AT16,"BID"),_xll.BDH(AT16,"BID",StaticData.Today,StaticData.Today)))</f>
        <v>5027.79</v>
      </c>
      <c r="AX16" s="177">
        <f>IF(AT16="","",IF(StaticData.Today=TODAY(),_xll.BDP(AT16,"ASK"),_xll.BDH(AT16,"ASK",StaticData.Today,StaticData.Today)))</f>
        <v>5408.93</v>
      </c>
      <c r="AY16" s="177">
        <f>IF(AT16="","",IF(StaticData.Today=TODAY(),_xll.BDP(AT16,"LAST_PRICE"),_xll.BDH(AT16,"LAST_PRICE",StaticData.Today,StaticData.Today)))</f>
        <v>5218.3599999999997</v>
      </c>
      <c r="AZ16" s="181">
        <f t="shared" si="7"/>
        <v>5218.3599999999997</v>
      </c>
    </row>
    <row r="17" spans="2:52" x14ac:dyDescent="0.25">
      <c r="B17" s="34"/>
      <c r="C17" s="35"/>
      <c r="D17" s="35"/>
      <c r="E17" s="35"/>
      <c r="G17" s="24" t="str">
        <f>"TYSO3"&amp;$G$1&amp;" Curncy"</f>
        <v>TYSO3 BGN Curncy</v>
      </c>
      <c r="H17" s="25" t="s">
        <v>316</v>
      </c>
      <c r="I17" s="25"/>
      <c r="J17" s="25">
        <f>IF(G17="","",IF(StaticData.Today=TODAY(),_xll.BDP(G17,"BID"),_xll.BDH(G17,"BID",StaticData.Today,StaticData.Today)))</f>
        <v>13.9078</v>
      </c>
      <c r="K17" s="25">
        <f>IF(G17="","",IF(StaticData.Today=TODAY(),_xll.BDP(G17,"ASK"),_xll.BDH(G17,"ASK",StaticData.Today,StaticData.Today)))</f>
        <v>14.1722</v>
      </c>
      <c r="L17" s="26">
        <f>IF(G17="","",IF(StaticData.Today=TODAY(),_xll.BDP(G17,"LAST_PRICE"),_xll.BDH(G17,"LAST_PRICE",StaticData.Today,StaticData.Today)))</f>
        <v>14.04</v>
      </c>
      <c r="M17" s="27">
        <f t="shared" ref="M17:M24" si="8">L17/100</f>
        <v>0.1404</v>
      </c>
      <c r="O17" s="24" t="str">
        <f>"TYSW7V3"&amp;$O$2&amp;" Curncy"</f>
        <v>TYSW7V3 ICPL Curncy</v>
      </c>
      <c r="P17" s="25" t="s">
        <v>342</v>
      </c>
      <c r="Q17" s="31"/>
      <c r="R17" s="182">
        <f>IF(O17="","",IF(StaticData.Today=TODAY(),_xll.BDP(O17,"BID"),_xll.BDH(O17,"BID",StaticData.Today,StaticData.Today)))</f>
        <v>12.48</v>
      </c>
      <c r="S17" s="182">
        <f>IF(O17="","",IF(StaticData.Today=TODAY(),_xll.BDP(O17,"ASK"),_xll.BDH(O17,"ASK",StaticData.Today,StaticData.Today)))</f>
        <v>12.88</v>
      </c>
      <c r="T17" s="30">
        <f>IF(O17="","",IF(StaticData.Today=TODAY(),_xll.BDP(O17,"LAST_PRICE"),_xll.BDH(O17,"LAST_PRICE",StaticData.Today,StaticData.Today)))</f>
        <v>12.68</v>
      </c>
      <c r="U17" s="183">
        <f t="shared" si="5"/>
        <v>0.1268</v>
      </c>
      <c r="W17" s="24"/>
      <c r="X17" s="25" t="s">
        <v>358</v>
      </c>
      <c r="Y17" s="26" t="str">
        <f>IF(W17="","",IF(StaticData.Today=TODAY(),_xll.BDP(W17,"LAST_PRICE"),_xll.BDH(W17,"LAST_PRICE",StaticData.Today,StaticData.Today)))</f>
        <v/>
      </c>
      <c r="Z17" s="27"/>
      <c r="AB17" s="24"/>
      <c r="AC17" s="25" t="s">
        <v>358</v>
      </c>
      <c r="AD17" s="26" t="str">
        <f>IF(AB17="","",IF(StaticData.Today=TODAY(),_xll.BDP(AB17,"LAST_PRICE"),_xll.BDH(AB17,"LAST_PRICE",StaticData.Today,StaticData.Today)))</f>
        <v/>
      </c>
      <c r="AE17" s="27"/>
      <c r="AG17" s="24"/>
      <c r="AH17" s="25" t="s">
        <v>382</v>
      </c>
      <c r="AI17" s="26" t="str">
        <f>IF(AG17="","",IF(StaticData.Today=TODAY(),_xll.BDP(AG17,"LAST_PRICE"),_xll.BDH(AG17,"LAST_PRICE",StaticData.Today,StaticData.Today)))</f>
        <v/>
      </c>
      <c r="AJ17" s="27"/>
      <c r="AL17" s="24"/>
      <c r="AM17" s="25"/>
      <c r="AN17" s="31"/>
      <c r="AO17" s="29" t="str">
        <f>IF(AL17="","",IF(StaticData.Today=TODAY(),_xll.BDP(AL17,"BID"),_xll.BDH(AL17,"BID",StaticData.Today,StaticData.Today)))</f>
        <v/>
      </c>
      <c r="AP17" s="29" t="str">
        <f>IF(AL17="","",IF(StaticData.Today=TODAY(),_xll.BDP(AL17,"ASK"),_xll.BDH(AL17,"ASK",StaticData.Today,StaticData.Today)))</f>
        <v/>
      </c>
      <c r="AQ17" s="177" t="str">
        <f>IF(AL17="","",IF(StaticData.Today=TODAY(),_xll.BDP(AL17,"LAST_PRICE"),_xll.BDH(AL17,"LAST_PRICE",StaticData.Today,StaticData.Today)))</f>
        <v/>
      </c>
      <c r="AR17" s="338"/>
      <c r="AT17" s="24" t="str">
        <f t="shared" si="3"/>
        <v>TRY6M BGN Curncy</v>
      </c>
      <c r="AU17" s="25" t="s">
        <v>46</v>
      </c>
      <c r="AV17" s="31"/>
      <c r="AW17" s="177">
        <f>IF(AT17="","",IF(StaticData.Today=TODAY(),_xll.BDP(AT17,"BID"),_xll.BDH(AT17,"BID",StaticData.Today,StaticData.Today)))</f>
        <v>6101.91</v>
      </c>
      <c r="AX17" s="177">
        <f>IF(AT17="","",IF(StaticData.Today=TODAY(),_xll.BDP(AT17,"ASK"),_xll.BDH(AT17,"ASK",StaticData.Today,StaticData.Today)))</f>
        <v>6478.14</v>
      </c>
      <c r="AY17" s="177">
        <f>IF(AT17="","",IF(StaticData.Today=TODAY(),_xll.BDP(AT17,"LAST_PRICE"),_xll.BDH(AT17,"LAST_PRICE",StaticData.Today,StaticData.Today)))</f>
        <v>6290.03</v>
      </c>
      <c r="AZ17" s="181">
        <f t="shared" si="6"/>
        <v>6290.03</v>
      </c>
    </row>
    <row r="18" spans="2:52" x14ac:dyDescent="0.25">
      <c r="B18" s="36"/>
      <c r="C18" s="36"/>
      <c r="D18" s="36"/>
      <c r="E18" s="36"/>
      <c r="G18" s="24" t="str">
        <f>"TYSO4"&amp;$G$1&amp;" Curncy"</f>
        <v>TYSO4 BGN Curncy</v>
      </c>
      <c r="H18" s="25" t="s">
        <v>324</v>
      </c>
      <c r="I18" s="25"/>
      <c r="J18" s="25">
        <f>IF(G18="","",IF(StaticData.Today=TODAY(),_xll.BDP(G18,"BID"),_xll.BDH(G18,"BID",StaticData.Today,StaticData.Today)))</f>
        <v>13.4513</v>
      </c>
      <c r="K18" s="25">
        <f>IF(G18="","",IF(StaticData.Today=TODAY(),_xll.BDP(G18,"ASK"),_xll.BDH(G18,"ASK",StaticData.Today,StaticData.Today)))</f>
        <v>13.748699999999999</v>
      </c>
      <c r="L18" s="26">
        <f>IF(G18="","",IF(StaticData.Today=TODAY(),_xll.BDP(G18,"LAST_PRICE"),_xll.BDH(G18,"LAST_PRICE",StaticData.Today,StaticData.Today)))</f>
        <v>13.6</v>
      </c>
      <c r="M18" s="27">
        <f t="shared" si="8"/>
        <v>0.13600000000000001</v>
      </c>
      <c r="O18" s="24" t="str">
        <f>"TYSW8V3"&amp;$O$2&amp;" Curncy"</f>
        <v>TYSW8V3 ICPL Curncy</v>
      </c>
      <c r="P18" s="25" t="s">
        <v>355</v>
      </c>
      <c r="Q18" s="31"/>
      <c r="R18" s="182">
        <f>IF(O18="","",IF(StaticData.Today=TODAY(),_xll.BDP(O18,"BID"),_xll.BDH(O18,"BID",StaticData.Today,StaticData.Today)))</f>
        <v>12.3</v>
      </c>
      <c r="S18" s="182">
        <f>IF(O18="","",IF(StaticData.Today=TODAY(),_xll.BDP(O18,"ASK"),_xll.BDH(O18,"ASK",StaticData.Today,StaticData.Today)))</f>
        <v>12.7</v>
      </c>
      <c r="T18" s="30">
        <f>IF(O18="","",IF(StaticData.Today=TODAY(),_xll.BDP(O18,"LAST_PRICE"),_xll.BDH(O18,"LAST_PRICE",StaticData.Today,StaticData.Today)))</f>
        <v>12.5</v>
      </c>
      <c r="U18" s="183">
        <f t="shared" si="5"/>
        <v>0.125</v>
      </c>
      <c r="W18" s="24"/>
      <c r="X18" s="25" t="s">
        <v>367</v>
      </c>
      <c r="Y18" s="26" t="str">
        <f>IF(W18="","",IF(StaticData.Today=TODAY(),_xll.BDP(W18,"LAST_PRICE"),_xll.BDH(W18,"LAST_PRICE",StaticData.Today,StaticData.Today)))</f>
        <v/>
      </c>
      <c r="Z18" s="27"/>
      <c r="AB18" s="24"/>
      <c r="AC18" s="25" t="s">
        <v>367</v>
      </c>
      <c r="AD18" s="26" t="str">
        <f>IF(AB18="","",IF(StaticData.Today=TODAY(),_xll.BDP(AB18,"LAST_PRICE"),_xll.BDH(AB18,"LAST_PRICE",StaticData.Today,StaticData.Today)))</f>
        <v/>
      </c>
      <c r="AE18" s="27"/>
      <c r="AG18" s="24"/>
      <c r="AH18" s="25" t="s">
        <v>389</v>
      </c>
      <c r="AI18" s="26" t="str">
        <f>IF(AG18="","",IF(StaticData.Today=TODAY(),_xll.BDP(AG18,"LAST_PRICE"),_xll.BDH(AG18,"LAST_PRICE",StaticData.Today,StaticData.Today)))</f>
        <v/>
      </c>
      <c r="AJ18" s="27"/>
      <c r="AL18" s="24"/>
      <c r="AM18" s="25"/>
      <c r="AN18" s="31"/>
      <c r="AO18" s="32"/>
      <c r="AP18" s="32"/>
      <c r="AQ18" s="30"/>
      <c r="AR18" s="33"/>
      <c r="AT18" s="24" t="str">
        <f t="shared" si="3"/>
        <v>TRY9M BGN Curncy</v>
      </c>
      <c r="AU18" s="25" t="s">
        <v>376</v>
      </c>
      <c r="AV18" s="31"/>
      <c r="AW18" s="177">
        <f>IF(AT18="","",IF(StaticData.Today=TODAY(),_xll.BDP(AT18,"BID"),_xll.BDH(AT18,"BID",StaticData.Today,StaticData.Today)))</f>
        <v>9605.48</v>
      </c>
      <c r="AX18" s="177">
        <f>IF(AT18="","",IF(StaticData.Today=TODAY(),_xll.BDP(AT18,"ASK"),_xll.BDH(AT18,"ASK",StaticData.Today,StaticData.Today)))</f>
        <v>10172.11</v>
      </c>
      <c r="AY18" s="177">
        <f>IF(AT18="","",IF(StaticData.Today=TODAY(),_xll.BDP(AT18,"LAST_PRICE"),_xll.BDH(AT18,"LAST_PRICE",StaticData.Today,StaticData.Today)))</f>
        <v>9888.7900000000009</v>
      </c>
      <c r="AZ18" s="181">
        <f t="shared" si="6"/>
        <v>9888.7900000000009</v>
      </c>
    </row>
    <row r="19" spans="2:52" x14ac:dyDescent="0.25">
      <c r="B19" s="36"/>
      <c r="C19" s="36"/>
      <c r="D19" s="36"/>
      <c r="E19" s="36"/>
      <c r="G19" s="24" t="str">
        <f>"TYSO5"&amp;$G$1&amp;" Curncy"</f>
        <v>TYSO5 BGN Curncy</v>
      </c>
      <c r="H19" s="25" t="s">
        <v>331</v>
      </c>
      <c r="I19" s="25"/>
      <c r="J19" s="25">
        <f>IF(G19="","",IF(StaticData.Today=TODAY(),_xll.BDP(G19,"BID"),_xll.BDH(G19,"BID",StaticData.Today,StaticData.Today)))</f>
        <v>13.1188</v>
      </c>
      <c r="K19" s="25">
        <f>IF(G19="","",IF(StaticData.Today=TODAY(),_xll.BDP(G19,"ASK"),_xll.BDH(G19,"ASK",StaticData.Today,StaticData.Today)))</f>
        <v>13.3812</v>
      </c>
      <c r="L19" s="26">
        <f>IF(G19="","",IF(StaticData.Today=TODAY(),_xll.BDP(G19,"LAST_PRICE"),_xll.BDH(G19,"LAST_PRICE",StaticData.Today,StaticData.Today)))</f>
        <v>13.25</v>
      </c>
      <c r="M19" s="27">
        <f t="shared" si="8"/>
        <v>0.13250000000000001</v>
      </c>
      <c r="O19" s="24" t="str">
        <f>"TYSW9V3"&amp;$O$2&amp;" Curncy"</f>
        <v>TYSW9V3 ICPL Curncy</v>
      </c>
      <c r="P19" s="25" t="s">
        <v>364</v>
      </c>
      <c r="Q19" s="28"/>
      <c r="R19" s="29">
        <f>IF(O19="","",IF(StaticData.Today=TODAY(),_xll.BDP(O19,"BID"),_xll.BDH(O19,"BID",StaticData.Today,StaticData.Today)))</f>
        <v>12.04</v>
      </c>
      <c r="S19" s="29">
        <f>IF(O19="","",IF(StaticData.Today=TODAY(),_xll.BDP(O19,"ASK"),_xll.BDH(O19,"ASK",StaticData.Today,StaticData.Today)))</f>
        <v>12.46</v>
      </c>
      <c r="T19" s="30">
        <f>IF(O19="","",IF(StaticData.Today=TODAY(),_xll.BDP(O19,"LAST_PRICE"),_xll.BDH(O19,"LAST_PRICE",StaticData.Today,StaticData.Today)))</f>
        <v>12.25</v>
      </c>
      <c r="U19" s="183">
        <f t="shared" si="5"/>
        <v>0.1225</v>
      </c>
      <c r="W19" s="24"/>
      <c r="X19" s="25" t="s">
        <v>374</v>
      </c>
      <c r="Y19" s="26" t="str">
        <f>IF(W19="","",IF(StaticData.Today=TODAY(),_xll.BDP(W19,"LAST_PRICE"),_xll.BDH(W19,"LAST_PRICE",StaticData.Today,StaticData.Today)))</f>
        <v/>
      </c>
      <c r="Z19" s="27"/>
      <c r="AB19" s="24"/>
      <c r="AC19" s="25" t="s">
        <v>374</v>
      </c>
      <c r="AD19" s="26" t="str">
        <f>IF(AB19="","",IF(StaticData.Today=TODAY(),_xll.BDP(AB19,"LAST_PRICE"),_xll.BDH(AB19,"LAST_PRICE",StaticData.Today,StaticData.Today)))</f>
        <v/>
      </c>
      <c r="AE19" s="27"/>
      <c r="AG19" s="24"/>
      <c r="AH19" s="25"/>
      <c r="AI19" s="26" t="str">
        <f>IF(AG19="","",IF(StaticData.Today=TODAY(),_xll.BDP(AG19,"LAST_PRICE"),_xll.BDH(AG19,"LAST_PRICE",StaticData.Today,StaticData.Today)))</f>
        <v/>
      </c>
      <c r="AJ19" s="27"/>
      <c r="AL19" s="24"/>
      <c r="AM19" s="25"/>
      <c r="AN19" s="28"/>
      <c r="AO19" s="29"/>
      <c r="AP19" s="29"/>
      <c r="AQ19" s="30"/>
      <c r="AR19" s="27"/>
      <c r="AT19" s="24" t="str">
        <f t="shared" si="3"/>
        <v>TRY12M BGN Curncy</v>
      </c>
      <c r="AU19" s="25" t="s">
        <v>322</v>
      </c>
      <c r="AV19" s="31"/>
      <c r="AW19" s="177">
        <f>IF(AT19="","",IF(StaticData.Today=TODAY(),_xll.BDP(AT19,"BID"),_xll.BDH(AT19,"BID",StaticData.Today,StaticData.Today)))</f>
        <v>13160.55</v>
      </c>
      <c r="AX19" s="177">
        <f>IF(AT19="","",IF(StaticData.Today=TODAY(),_xll.BDP(AT19,"ASK"),_xll.BDH(AT19,"ASK",StaticData.Today,StaticData.Today)))</f>
        <v>13624.09</v>
      </c>
      <c r="AY19" s="177">
        <f>IF(AT19="","",IF(StaticData.Today=TODAY(),_xll.BDP(AT19,"LAST_PRICE"),_xll.BDH(AT19,"LAST_PRICE",StaticData.Today,StaticData.Today)))</f>
        <v>13392.32</v>
      </c>
      <c r="AZ19" s="181">
        <f t="shared" si="6"/>
        <v>13392.32</v>
      </c>
    </row>
    <row r="20" spans="2:52" x14ac:dyDescent="0.25">
      <c r="B20" s="36"/>
      <c r="C20" s="36"/>
      <c r="D20" s="36"/>
      <c r="E20" s="36"/>
      <c r="G20" s="24" t="str">
        <f>"TYSO6"&amp;$G$1&amp;" Curncy"</f>
        <v>TYSO6 BGN Curncy</v>
      </c>
      <c r="H20" s="25" t="s">
        <v>339</v>
      </c>
      <c r="I20" s="25"/>
      <c r="J20" s="25">
        <f>IF(G20="","",IF(StaticData.Today=TODAY(),_xll.BDP(G20,"BID"),_xll.BDH(G20,"BID",StaticData.Today,StaticData.Today)))</f>
        <v>12.8277</v>
      </c>
      <c r="K20" s="25">
        <f>IF(G20="","",IF(StaticData.Today=TODAY(),_xll.BDP(G20,"ASK"),_xll.BDH(G20,"ASK",StaticData.Today,StaticData.Today)))</f>
        <v>13.0923</v>
      </c>
      <c r="L20" s="26">
        <f>IF(G20="","",IF(StaticData.Today=TODAY(),_xll.BDP(G20,"LAST_PRICE"),_xll.BDH(G20,"LAST_PRICE",StaticData.Today,StaticData.Today)))</f>
        <v>12.96</v>
      </c>
      <c r="M20" s="27">
        <f t="shared" si="8"/>
        <v>0.12960000000000002</v>
      </c>
      <c r="O20" s="24" t="str">
        <f>"TYSW10V3"&amp;$O$2&amp;" Curncy"</f>
        <v>TYSW10V3 ICPL Curncy</v>
      </c>
      <c r="P20" s="25" t="s">
        <v>349</v>
      </c>
      <c r="Q20" s="28"/>
      <c r="R20" s="29">
        <f>IF(O20="","",IF(StaticData.Today=TODAY(),_xll.BDP(O20,"BID"),_xll.BDH(O20,"BID",StaticData.Today,StaticData.Today)))</f>
        <v>12.05</v>
      </c>
      <c r="S20" s="29">
        <f>IF(O20="","",IF(StaticData.Today=TODAY(),_xll.BDP(O20,"ASK"),_xll.BDH(O20,"ASK",StaticData.Today,StaticData.Today)))</f>
        <v>12.35</v>
      </c>
      <c r="T20" s="30">
        <f>IF(O20="","",IF(StaticData.Today=TODAY(),_xll.BDP(O20,"LAST_PRICE"),_xll.BDH(O20,"LAST_PRICE",StaticData.Today,StaticData.Today)))</f>
        <v>12.2</v>
      </c>
      <c r="U20" s="183">
        <f t="shared" si="5"/>
        <v>0.122</v>
      </c>
      <c r="W20" s="24"/>
      <c r="X20" s="25" t="s">
        <v>382</v>
      </c>
      <c r="Y20" s="26" t="str">
        <f>IF(W20="","",IF(StaticData.Today=TODAY(),_xll.BDP(W20,"LAST_PRICE"),_xll.BDH(W20,"LAST_PRICE",StaticData.Today,StaticData.Today)))</f>
        <v/>
      </c>
      <c r="Z20" s="27"/>
      <c r="AB20" s="24"/>
      <c r="AC20" s="25" t="s">
        <v>382</v>
      </c>
      <c r="AD20" s="26" t="str">
        <f>IF(AB20="","",IF(StaticData.Today=TODAY(),_xll.BDP(AB20,"LAST_PRICE"),_xll.BDH(AB20,"LAST_PRICE",StaticData.Today,StaticData.Today)))</f>
        <v/>
      </c>
      <c r="AE20" s="27"/>
      <c r="AG20" s="24"/>
      <c r="AH20" s="25"/>
      <c r="AI20" s="26" t="str">
        <f>IF(AG20="","",IF(StaticData.Today=TODAY(),_xll.BDP(AG20,"LAST_PRICE"),_xll.BDH(AG20,"LAST_PRICE",StaticData.Today,StaticData.Today)))</f>
        <v/>
      </c>
      <c r="AJ20" s="27"/>
      <c r="AL20" s="24"/>
      <c r="AM20" s="25"/>
      <c r="AN20" s="28"/>
      <c r="AO20" s="29"/>
      <c r="AP20" s="29"/>
      <c r="AQ20" s="30"/>
      <c r="AR20" s="27"/>
      <c r="AT20" s="24" t="str">
        <f t="shared" si="3"/>
        <v>TRY18M BGN Curncy</v>
      </c>
      <c r="AU20" s="25" t="s">
        <v>501</v>
      </c>
      <c r="AV20" s="31"/>
      <c r="AW20" s="177">
        <f>IF(AT20="","",IF(StaticData.Today=TODAY(),_xll.BDP(AT20,"BID"),_xll.BDH(AT20,"BID",StaticData.Today,StaticData.Today)))</f>
        <v>19795.419999999998</v>
      </c>
      <c r="AX20" s="177">
        <f>IF(AT20="","",IF(StaticData.Today=TODAY(),_xll.BDP(AT20,"ASK"),_xll.BDH(AT20,"ASK",StaticData.Today,StaticData.Today)))</f>
        <v>20491.75</v>
      </c>
      <c r="AY20" s="177">
        <f>IF(AT20="","",IF(StaticData.Today=TODAY(),_xll.BDP(AT20,"LAST_PRICE"),_xll.BDH(AT20,"LAST_PRICE",StaticData.Today,StaticData.Today)))</f>
        <v>20143.59</v>
      </c>
      <c r="AZ20" s="181">
        <f t="shared" si="6"/>
        <v>20143.59</v>
      </c>
    </row>
    <row r="21" spans="2:52" x14ac:dyDescent="0.25">
      <c r="B21" s="36"/>
      <c r="C21" s="36"/>
      <c r="D21" s="36"/>
      <c r="E21" s="36"/>
      <c r="G21" s="24" t="str">
        <f>"TYSO7"&amp;$G$1&amp;" Curncy"</f>
        <v>TYSO7 BGN Curncy</v>
      </c>
      <c r="H21" s="25" t="s">
        <v>342</v>
      </c>
      <c r="I21" s="25"/>
      <c r="J21" s="25">
        <f>IF(G21="","",IF(StaticData.Today=TODAY(),_xll.BDP(G21,"BID"),_xll.BDH(G21,"BID",StaticData.Today,StaticData.Today)))</f>
        <v>12.6332</v>
      </c>
      <c r="K21" s="25">
        <f>IF(G21="","",IF(StaticData.Today=TODAY(),_xll.BDP(G21,"ASK"),_xll.BDH(G21,"ASK",StaticData.Today,StaticData.Today)))</f>
        <v>12.886799999999999</v>
      </c>
      <c r="L21" s="26">
        <f>IF(G21="","",IF(StaticData.Today=TODAY(),_xll.BDP(G21,"LAST_PRICE"),_xll.BDH(G21,"LAST_PRICE",StaticData.Today,StaticData.Today)))</f>
        <v>12.76</v>
      </c>
      <c r="M21" s="27">
        <f t="shared" si="8"/>
        <v>0.12759999999999999</v>
      </c>
      <c r="O21" s="24"/>
      <c r="P21" s="25"/>
      <c r="Q21" s="28"/>
      <c r="R21" s="29"/>
      <c r="S21" s="29"/>
      <c r="T21" s="30"/>
      <c r="U21" s="183"/>
      <c r="W21" s="24"/>
      <c r="X21" s="25" t="s">
        <v>389</v>
      </c>
      <c r="Y21" s="26" t="str">
        <f>IF(W21="","",IF(StaticData.Today=TODAY(),_xll.BDP(W21,"LAST_PRICE"),_xll.BDH(W21,"LAST_PRICE",StaticData.Today,StaticData.Today)))</f>
        <v/>
      </c>
      <c r="Z21" s="27"/>
      <c r="AB21" s="24"/>
      <c r="AC21" s="25" t="s">
        <v>389</v>
      </c>
      <c r="AD21" s="26" t="str">
        <f>IF(AB21="","",IF(StaticData.Today=TODAY(),_xll.BDP(AB21,"LAST_PRICE"),_xll.BDH(AB21,"LAST_PRICE",StaticData.Today,StaticData.Today)))</f>
        <v/>
      </c>
      <c r="AE21" s="27"/>
      <c r="AG21" s="24"/>
      <c r="AH21" s="25"/>
      <c r="AI21" s="26" t="str">
        <f>IF(AG21="","",IF(StaticData.Today=TODAY(),_xll.BDP(AG21,"LAST_PRICE"),_xll.BDH(AG21,"LAST_PRICE",StaticData.Today,StaticData.Today)))</f>
        <v/>
      </c>
      <c r="AJ21" s="27"/>
      <c r="AL21" s="24"/>
      <c r="AM21" s="25"/>
      <c r="AN21" s="28"/>
      <c r="AO21" s="29"/>
      <c r="AP21" s="29"/>
      <c r="AQ21" s="30"/>
      <c r="AR21" s="27"/>
      <c r="AT21" s="24" t="str">
        <f t="shared" si="3"/>
        <v>TRY2Y BGN Curncy</v>
      </c>
      <c r="AU21" s="25" t="s">
        <v>308</v>
      </c>
      <c r="AV21" s="31"/>
      <c r="AW21" s="177">
        <f>IF(AT21="","",IF(StaticData.Today=TODAY(),_xll.BDP(AT21,"BID"),_xll.BDH(AT21,"BID",StaticData.Today,StaticData.Today)))</f>
        <v>26858.18</v>
      </c>
      <c r="AX21" s="177">
        <f>IF(AT21="","",IF(StaticData.Today=TODAY(),_xll.BDP(AT21,"ASK"),_xll.BDH(AT21,"ASK",StaticData.Today,StaticData.Today)))</f>
        <v>27858.13</v>
      </c>
      <c r="AY21" s="177">
        <f>IF(AT21="","",IF(StaticData.Today=TODAY(),_xll.BDP(AT21,"LAST_PRICE"),_xll.BDH(AT21,"LAST_PRICE",StaticData.Today,StaticData.Today)))</f>
        <v>27358.15</v>
      </c>
      <c r="AZ21" s="181">
        <f t="shared" ref="AZ21:AZ24" si="9">AY21</f>
        <v>27358.15</v>
      </c>
    </row>
    <row r="22" spans="2:52" x14ac:dyDescent="0.25">
      <c r="B22" s="36"/>
      <c r="C22" s="36"/>
      <c r="D22" s="36"/>
      <c r="E22" s="36"/>
      <c r="G22" s="24" t="str">
        <f>"TYSO8"&amp;$G$1&amp;" Curncy"</f>
        <v>TYSO8 BGN Curncy</v>
      </c>
      <c r="H22" s="25" t="s">
        <v>355</v>
      </c>
      <c r="I22" s="25"/>
      <c r="J22" s="25">
        <f>IF(G22="","",IF(StaticData.Today=TODAY(),_xll.BDP(G22,"BID"),_xll.BDH(G22,"BID",StaticData.Today,StaticData.Today)))</f>
        <v>12.4672</v>
      </c>
      <c r="K22" s="25">
        <f>IF(G22="","",IF(StaticData.Today=TODAY(),_xll.BDP(G22,"ASK"),_xll.BDH(G22,"ASK",StaticData.Today,StaticData.Today)))</f>
        <v>12.732799999999999</v>
      </c>
      <c r="L22" s="26">
        <f>IF(G22="","",IF(StaticData.Today=TODAY(),_xll.BDP(G22,"LAST_PRICE"),_xll.BDH(G22,"LAST_PRICE",StaticData.Today,StaticData.Today)))</f>
        <v>12.6</v>
      </c>
      <c r="M22" s="27">
        <f t="shared" si="8"/>
        <v>0.126</v>
      </c>
      <c r="O22" s="24"/>
      <c r="P22" s="25"/>
      <c r="Q22" s="28"/>
      <c r="R22" s="29"/>
      <c r="S22" s="29"/>
      <c r="T22" s="30"/>
      <c r="U22" s="183"/>
      <c r="W22" s="24"/>
      <c r="X22" s="25"/>
      <c r="Y22" s="26" t="str">
        <f>IF(W22="","",IF(StaticData.Today=TODAY(),_xll.BDP(W22,"LAST_PRICE"),_xll.BDH(W22,"LAST_PRICE",StaticData.Today,StaticData.Today)))</f>
        <v/>
      </c>
      <c r="Z22" s="27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G22" s="24"/>
      <c r="AH22" s="25"/>
      <c r="AI22" s="26" t="str">
        <f>IF(AG22="","",IF(StaticData.Today=TODAY(),_xll.BDP(AG22,"LAST_PRICE"),_xll.BDH(AG22,"LAST_PRICE",StaticData.Today,StaticData.Today)))</f>
        <v/>
      </c>
      <c r="AJ22" s="27"/>
      <c r="AL22" s="24"/>
      <c r="AM22" s="25"/>
      <c r="AN22" s="28"/>
      <c r="AO22" s="29"/>
      <c r="AP22" s="29"/>
      <c r="AQ22" s="30"/>
      <c r="AR22" s="27"/>
      <c r="AT22" s="24" t="str">
        <f t="shared" si="3"/>
        <v>TRY3Y BGN Curncy</v>
      </c>
      <c r="AU22" s="25" t="s">
        <v>316</v>
      </c>
      <c r="AV22" s="31"/>
      <c r="AW22" s="177">
        <f>IF(AT22="","",IF(StaticData.Today=TODAY(),_xll.BDP(AT22,"BID"),_xll.BDH(AT22,"BID",StaticData.Today,StaticData.Today)))</f>
        <v>40013.129999999997</v>
      </c>
      <c r="AX22" s="177">
        <f>IF(AT22="","",IF(StaticData.Today=TODAY(),_xll.BDP(AT22,"ASK"),_xll.BDH(AT22,"ASK",StaticData.Today,StaticData.Today)))</f>
        <v>41621.9</v>
      </c>
      <c r="AY22" s="177">
        <f>IF(AT22="","",IF(StaticData.Today=TODAY(),_xll.BDP(AT22,"LAST_PRICE"),_xll.BDH(AT22,"LAST_PRICE",StaticData.Today,StaticData.Today)))</f>
        <v>40817.519999999997</v>
      </c>
      <c r="AZ22" s="181">
        <f t="shared" si="9"/>
        <v>40817.519999999997</v>
      </c>
    </row>
    <row r="23" spans="2:52" x14ac:dyDescent="0.25">
      <c r="B23" s="36"/>
      <c r="C23" s="36"/>
      <c r="D23" s="36"/>
      <c r="E23" s="36"/>
      <c r="G23" s="24" t="str">
        <f>"TYSO9"&amp;$G$1&amp;" Curncy"</f>
        <v>TYSO9 BGN Curncy</v>
      </c>
      <c r="H23" s="25" t="s">
        <v>364</v>
      </c>
      <c r="I23" s="25"/>
      <c r="J23" s="25">
        <f>IF(G23="","",IF(StaticData.Today=TODAY(),_xll.BDP(G23,"BID"),_xll.BDH(G23,"BID",StaticData.Today,StaticData.Today)))</f>
        <v>12.315099999999999</v>
      </c>
      <c r="K23" s="25">
        <f>IF(G23="","",IF(StaticData.Today=TODAY(),_xll.BDP(G23,"ASK"),_xll.BDH(G23,"ASK",StaticData.Today,StaticData.Today)))</f>
        <v>12.584899999999999</v>
      </c>
      <c r="L23" s="26">
        <f>IF(G23="","",IF(StaticData.Today=TODAY(),_xll.BDP(G23,"LAST_PRICE"),_xll.BDH(G23,"LAST_PRICE",StaticData.Today,StaticData.Today)))</f>
        <v>12.45</v>
      </c>
      <c r="M23" s="27">
        <f t="shared" si="8"/>
        <v>0.1245</v>
      </c>
      <c r="O23" s="24"/>
      <c r="P23" s="25"/>
      <c r="Q23" s="28"/>
      <c r="R23" s="29"/>
      <c r="S23" s="29"/>
      <c r="T23" s="30"/>
      <c r="U23" s="183"/>
      <c r="W23" s="24"/>
      <c r="X23" s="25"/>
      <c r="Y23" s="26" t="str">
        <f>IF(W23="","",IF(StaticData.Today=TODAY(),_xll.BDP(W23,"LAST_PRICE"),_xll.BDH(W23,"LAST_PRICE",StaticData.Today,StaticData.Today)))</f>
        <v/>
      </c>
      <c r="Z23" s="27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G23" s="24"/>
      <c r="AH23" s="25"/>
      <c r="AI23" s="26" t="str">
        <f>IF(AG23="","",IF(StaticData.Today=TODAY(),_xll.BDP(AG23,"LAST_PRICE"),_xll.BDH(AG23,"LAST_PRICE",StaticData.Today,StaticData.Today)))</f>
        <v/>
      </c>
      <c r="AJ23" s="27"/>
      <c r="AL23" s="24"/>
      <c r="AM23" s="25"/>
      <c r="AN23" s="28"/>
      <c r="AO23" s="29"/>
      <c r="AP23" s="29"/>
      <c r="AQ23" s="30"/>
      <c r="AR23" s="27"/>
      <c r="AT23" s="24" t="str">
        <f t="shared" si="3"/>
        <v>TRY4Y BGN Curncy</v>
      </c>
      <c r="AU23" s="25" t="s">
        <v>324</v>
      </c>
      <c r="AV23" s="31"/>
      <c r="AW23" s="177">
        <f>IF(AT23="","",IF(StaticData.Today=TODAY(),_xll.BDP(AT23,"BID"),_xll.BDH(AT23,"BID",StaticData.Today,StaticData.Today)))</f>
        <v>54782.64</v>
      </c>
      <c r="AX23" s="177">
        <f>IF(AT23="","",IF(StaticData.Today=TODAY(),_xll.BDP(AT23,"ASK"),_xll.BDH(AT23,"ASK",StaticData.Today,StaticData.Today)))</f>
        <v>56434.11</v>
      </c>
      <c r="AY23" s="177">
        <f>IF(AT23="","",IF(StaticData.Today=TODAY(),_xll.BDP(AT23,"LAST_PRICE"),_xll.BDH(AT23,"LAST_PRICE",StaticData.Today,StaticData.Today)))</f>
        <v>55608.38</v>
      </c>
      <c r="AZ23" s="181">
        <f t="shared" si="9"/>
        <v>55608.38</v>
      </c>
    </row>
    <row r="24" spans="2:52" x14ac:dyDescent="0.25">
      <c r="G24" s="24" t="str">
        <f>"TYSO10"&amp;$G$1&amp;" Curncy"</f>
        <v>TYSO10 BGN Curncy</v>
      </c>
      <c r="H24" s="25" t="s">
        <v>349</v>
      </c>
      <c r="I24" s="25"/>
      <c r="J24" s="25">
        <f>IF(G24="","",IF(StaticData.Today=TODAY(),_xll.BDP(G24,"BID"),_xll.BDH(G24,"BID",StaticData.Today,StaticData.Today)))</f>
        <v>12.1837</v>
      </c>
      <c r="K24" s="25">
        <f>IF(G24="","",IF(StaticData.Today=TODAY(),_xll.BDP(G24,"ASK"),_xll.BDH(G24,"ASK",StaticData.Today,StaticData.Today)))</f>
        <v>12.456300000000001</v>
      </c>
      <c r="L24" s="26">
        <f>IF(G24="","",IF(StaticData.Today=TODAY(),_xll.BDP(G24,"LAST_PRICE"),_xll.BDH(G24,"LAST_PRICE",StaticData.Today,StaticData.Today)))</f>
        <v>12.32</v>
      </c>
      <c r="M24" s="27">
        <f t="shared" si="8"/>
        <v>0.1232</v>
      </c>
      <c r="O24" s="24"/>
      <c r="P24" s="25"/>
      <c r="Q24" s="28"/>
      <c r="R24" s="29"/>
      <c r="S24" s="29"/>
      <c r="T24" s="30"/>
      <c r="U24" s="183"/>
      <c r="W24" s="24"/>
      <c r="X24" s="25"/>
      <c r="Y24" s="26" t="str">
        <f>IF(W24="","",IF(StaticData.Today=TODAY(),_xll.BDP(W24,"LAST_PRICE"),_xll.BDH(W24,"LAST_PRICE",StaticData.Today,StaticData.Today)))</f>
        <v/>
      </c>
      <c r="Z24" s="27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G24" s="24"/>
      <c r="AH24" s="25"/>
      <c r="AI24" s="26" t="str">
        <f>IF(AG24="","",IF(StaticData.Today=TODAY(),_xll.BDP(AG24,"LAST_PRICE"),_xll.BDH(AG24,"LAST_PRICE",StaticData.Today,StaticData.Today)))</f>
        <v/>
      </c>
      <c r="AJ24" s="27"/>
      <c r="AL24" s="24"/>
      <c r="AM24" s="25"/>
      <c r="AN24" s="28"/>
      <c r="AO24" s="29"/>
      <c r="AP24" s="29"/>
      <c r="AQ24" s="30"/>
      <c r="AR24" s="27"/>
      <c r="AT24" s="24" t="str">
        <f t="shared" ref="AT24" si="10">"TRY"&amp;AU24&amp;$AT$1&amp;" Curncy"</f>
        <v>TRY5Y BGN Curncy</v>
      </c>
      <c r="AU24" s="25" t="s">
        <v>331</v>
      </c>
      <c r="AV24" s="31"/>
      <c r="AW24" s="177">
        <f>IF(AT24="","",IF(StaticData.Today=TODAY(),_xll.BDP(AT24,"BID"),_xll.BDH(AT24,"BID",StaticData.Today,StaticData.Today)))</f>
        <v>69192.94</v>
      </c>
      <c r="AX24" s="177">
        <f>IF(AT24="","",IF(StaticData.Today=TODAY(),_xll.BDP(AT24,"ASK"),_xll.BDH(AT24,"ASK",StaticData.Today,StaticData.Today)))</f>
        <v>71316</v>
      </c>
      <c r="AY24" s="177">
        <f>IF(AT24="","",IF(StaticData.Today=TODAY(),_xll.BDP(AT24,"LAST_PRICE"),_xll.BDH(AT24,"LAST_PRICE",StaticData.Today,StaticData.Today)))</f>
        <v>70254.5</v>
      </c>
      <c r="AZ24" s="181">
        <f t="shared" si="9"/>
        <v>70254.5</v>
      </c>
    </row>
    <row r="25" spans="2:52" x14ac:dyDescent="0.25">
      <c r="G25" s="24"/>
      <c r="H25" s="25"/>
      <c r="I25" s="25"/>
      <c r="J25" s="25"/>
      <c r="K25" s="25"/>
      <c r="L25" s="26"/>
      <c r="M25" s="27"/>
      <c r="O25" s="24"/>
      <c r="P25" s="25"/>
      <c r="Q25" s="28"/>
      <c r="R25" s="29"/>
      <c r="S25" s="29"/>
      <c r="T25" s="30"/>
      <c r="U25" s="183"/>
      <c r="W25" s="24"/>
      <c r="X25" s="25"/>
      <c r="Y25" s="26" t="str">
        <f>IF(W25="","",IF(StaticData.Today=TODAY(),_xll.BDP(W25,"LAST_PRICE"),_xll.BDH(W25,"LAST_PRICE",StaticData.Today,StaticData.Today)))</f>
        <v/>
      </c>
      <c r="Z25" s="27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G25" s="24"/>
      <c r="AH25" s="25"/>
      <c r="AI25" s="26" t="str">
        <f>IF(AG25="","",IF(StaticData.Today=TODAY(),_xll.BDP(AG25,"LAST_PRICE"),_xll.BDH(AG25,"LAST_PRICE",StaticData.Today,StaticData.Today)))</f>
        <v/>
      </c>
      <c r="AJ25" s="27"/>
      <c r="AL25" s="24"/>
      <c r="AM25" s="25"/>
      <c r="AN25" s="28"/>
      <c r="AO25" s="29"/>
      <c r="AP25" s="29"/>
      <c r="AQ25" s="30"/>
      <c r="AR25" s="27"/>
      <c r="AT25" s="24"/>
      <c r="AU25" s="25"/>
      <c r="AV25" s="31"/>
      <c r="AW25" s="177"/>
      <c r="AX25" s="177"/>
      <c r="AY25" s="177"/>
      <c r="AZ25" s="181"/>
    </row>
    <row r="26" spans="2:52" x14ac:dyDescent="0.25">
      <c r="G26" s="38"/>
      <c r="H26" s="39"/>
      <c r="I26" s="39"/>
      <c r="J26" s="39"/>
      <c r="K26" s="39"/>
      <c r="L26" s="40"/>
      <c r="M26" s="41"/>
      <c r="O26" s="24"/>
      <c r="P26" s="25"/>
      <c r="Q26" s="28"/>
      <c r="R26" s="29"/>
      <c r="S26" s="29"/>
      <c r="T26" s="30"/>
      <c r="U26" s="183"/>
      <c r="W26" s="24"/>
      <c r="X26" s="25"/>
      <c r="Y26" s="26" t="str">
        <f>IF(W26="","",IF(StaticData.Today=TODAY(),_xll.BDP(W26,"LAST_PRICE"),_xll.BDH(W26,"LAST_PRICE",StaticData.Today,StaticData.Today)))</f>
        <v/>
      </c>
      <c r="Z26" s="27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G26" s="24"/>
      <c r="AH26" s="25"/>
      <c r="AI26" s="26" t="str">
        <f>IF(AG26="","",IF(StaticData.Today=TODAY(),_xll.BDP(AG26,"LAST_PRICE"),_xll.BDH(AG26,"LAST_PRICE",StaticData.Today,StaticData.Today)))</f>
        <v/>
      </c>
      <c r="AJ26" s="27"/>
      <c r="AL26" s="24"/>
      <c r="AM26" s="25"/>
      <c r="AN26" s="28"/>
      <c r="AO26" s="29"/>
      <c r="AP26" s="29"/>
      <c r="AQ26" s="30"/>
      <c r="AR26" s="27"/>
      <c r="AT26" s="24" t="str">
        <f>"TYUSSW1"&amp;$AT$2&amp;" Curncy"</f>
        <v>TYUSSW1 TRPU Curncy</v>
      </c>
      <c r="AU26" s="25" t="s">
        <v>47</v>
      </c>
      <c r="AV26" s="31"/>
      <c r="AW26" s="178">
        <f>IF(AT26="","",IF(StaticData.Today=TODAY(),_xll.BDP(AT26,"BID"),_xll.BDH(AT26,"BID",StaticData.Today,StaticData.Today)))</f>
        <v>17.88</v>
      </c>
      <c r="AX26" s="178">
        <f>IF(AT26="","",IF(StaticData.Today=TODAY(),_xll.BDP(AT26,"ASK"),_xll.BDH(AT26,"ASK",StaticData.Today,StaticData.Today)))</f>
        <v>17.98</v>
      </c>
      <c r="AY26" s="30">
        <f>IF(AT26="","",IF(StaticData.Today=TODAY(),_xll.BDP(AT26,"LAST_PRICE"),_xll.BDH(AT26,"LAST_PRICE",StaticData.Today,StaticData.Today)))</f>
        <v>17.93</v>
      </c>
      <c r="AZ26" s="27">
        <f t="shared" ref="AZ26" si="11">AY26/100</f>
        <v>0.17929999999999999</v>
      </c>
    </row>
    <row r="27" spans="2:52" x14ac:dyDescent="0.25">
      <c r="O27" s="24"/>
      <c r="P27" s="25"/>
      <c r="Q27" s="28"/>
      <c r="R27" s="29"/>
      <c r="S27" s="29"/>
      <c r="T27" s="30"/>
      <c r="U27" s="183"/>
      <c r="W27" s="24"/>
      <c r="X27" s="25"/>
      <c r="Y27" s="26" t="str">
        <f>IF(W27="","",IF(StaticData.Today=TODAY(),_xll.BDP(W27,"LAST_PRICE"),_xll.BDH(W27,"LAST_PRICE",StaticData.Today,StaticData.Today)))</f>
        <v/>
      </c>
      <c r="Z27" s="27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G27" s="24"/>
      <c r="AH27" s="25"/>
      <c r="AI27" s="26" t="str">
        <f>IF(AG27="","",IF(StaticData.Today=TODAY(),_xll.BDP(AG27,"LAST_PRICE"),_xll.BDH(AG27,"LAST_PRICE",StaticData.Today,StaticData.Today)))</f>
        <v/>
      </c>
      <c r="AJ27" s="27"/>
      <c r="AL27" s="24"/>
      <c r="AM27" s="25"/>
      <c r="AN27" s="28"/>
      <c r="AO27" s="29"/>
      <c r="AP27" s="29"/>
      <c r="AQ27" s="30"/>
      <c r="AR27" s="27"/>
      <c r="AT27" s="24" t="str">
        <f>"TYUSSW2"&amp;$AT$2&amp;" Curncy"</f>
        <v>TYUSSW2 TRPU Curncy</v>
      </c>
      <c r="AU27" s="25" t="s">
        <v>308</v>
      </c>
      <c r="AV27" s="31"/>
      <c r="AW27" s="178">
        <f>IF(AT27="","",IF(StaticData.Today=TODAY(),_xll.BDP(AT27,"BID"),_xll.BDH(AT27,"BID",StaticData.Today,StaticData.Today)))</f>
        <v>16.760000000000002</v>
      </c>
      <c r="AX27" s="178">
        <f>IF(AT27="","",IF(StaticData.Today=TODAY(),_xll.BDP(AT27,"ASK"),_xll.BDH(AT27,"ASK",StaticData.Today,StaticData.Today)))</f>
        <v>16.86</v>
      </c>
      <c r="AY27" s="30">
        <f>IF(AT27="","",IF(StaticData.Today=TODAY(),_xll.BDP(AT27,"LAST_PRICE"),_xll.BDH(AT27,"LAST_PRICE",StaticData.Today,StaticData.Today)))</f>
        <v>16.809999999999999</v>
      </c>
      <c r="AZ27" s="27">
        <f t="shared" ref="AZ27:AZ35" si="12">AY27/100</f>
        <v>0.1681</v>
      </c>
    </row>
    <row r="28" spans="2:52" x14ac:dyDescent="0.25">
      <c r="O28" s="24"/>
      <c r="P28" s="25"/>
      <c r="Q28" s="28"/>
      <c r="R28" s="29"/>
      <c r="S28" s="29"/>
      <c r="T28" s="30"/>
      <c r="U28" s="183"/>
      <c r="W28" s="24"/>
      <c r="X28" s="25"/>
      <c r="Y28" s="26" t="str">
        <f>IF(W28="","",IF(StaticData.Today=TODAY(),_xll.BDP(W28,"LAST_PRICE"),_xll.BDH(W28,"LAST_PRICE",StaticData.Today,StaticData.Today)))</f>
        <v/>
      </c>
      <c r="Z28" s="27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G28" s="24"/>
      <c r="AH28" s="25"/>
      <c r="AI28" s="26" t="str">
        <f>IF(AG28="","",IF(StaticData.Today=TODAY(),_xll.BDP(AG28,"LAST_PRICE"),_xll.BDH(AG28,"LAST_PRICE",StaticData.Today,StaticData.Today)))</f>
        <v/>
      </c>
      <c r="AJ28" s="27"/>
      <c r="AL28" s="24"/>
      <c r="AM28" s="25"/>
      <c r="AN28" s="28"/>
      <c r="AO28" s="29"/>
      <c r="AP28" s="29"/>
      <c r="AQ28" s="30"/>
      <c r="AR28" s="27"/>
      <c r="AT28" s="24" t="str">
        <f>"TYUSSW3"&amp;$AT$2&amp;" Curncy"</f>
        <v>TYUSSW3 TRPU Curncy</v>
      </c>
      <c r="AU28" s="25" t="s">
        <v>316</v>
      </c>
      <c r="AV28" s="28"/>
      <c r="AW28" s="178">
        <f>IF(AT28="","",IF(StaticData.Today=TODAY(),_xll.BDP(AT28,"BID"),_xll.BDH(AT28,"BID",StaticData.Today,StaticData.Today)))</f>
        <v>15.77</v>
      </c>
      <c r="AX28" s="178">
        <f>IF(AT28="","",IF(StaticData.Today=TODAY(),_xll.BDP(AT28,"ASK"),_xll.BDH(AT28,"ASK",StaticData.Today,StaticData.Today)))</f>
        <v>15.87</v>
      </c>
      <c r="AY28" s="30">
        <f>IF(AT28="","",IF(StaticData.Today=TODAY(),_xll.BDP(AT28,"LAST_PRICE"),_xll.BDH(AT28,"LAST_PRICE",StaticData.Today,StaticData.Today)))</f>
        <v>15.82</v>
      </c>
      <c r="AZ28" s="27">
        <f t="shared" si="12"/>
        <v>0.15820000000000001</v>
      </c>
    </row>
    <row r="29" spans="2:52" x14ac:dyDescent="0.25">
      <c r="O29" s="24"/>
      <c r="P29" s="25"/>
      <c r="Q29" s="28"/>
      <c r="R29" s="29"/>
      <c r="S29" s="29"/>
      <c r="T29" s="30"/>
      <c r="U29" s="183"/>
      <c r="W29" s="24"/>
      <c r="X29" s="25"/>
      <c r="Y29" s="26" t="str">
        <f>IF(W29="","",IF(StaticData.Today=TODAY(),_xll.BDP(W29,"LAST_PRICE"),_xll.BDH(W29,"LAST_PRICE",StaticData.Today,StaticData.Today)))</f>
        <v/>
      </c>
      <c r="Z29" s="27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G29" s="24"/>
      <c r="AH29" s="25"/>
      <c r="AI29" s="26" t="str">
        <f>IF(AG29="","",IF(StaticData.Today=TODAY(),_xll.BDP(AG29,"LAST_PRICE"),_xll.BDH(AG29,"LAST_PRICE",StaticData.Today,StaticData.Today)))</f>
        <v/>
      </c>
      <c r="AJ29" s="27"/>
      <c r="AL29" s="24"/>
      <c r="AM29" s="25"/>
      <c r="AN29" s="28"/>
      <c r="AO29" s="29"/>
      <c r="AP29" s="29"/>
      <c r="AQ29" s="30"/>
      <c r="AR29" s="27"/>
      <c r="AT29" s="24" t="str">
        <f>"TYUSSW4"&amp;$AT$2&amp;" Curncy"</f>
        <v>TYUSSW4 TRPU Curncy</v>
      </c>
      <c r="AU29" s="25" t="s">
        <v>324</v>
      </c>
      <c r="AV29" s="28"/>
      <c r="AW29" s="178">
        <f>IF(AT29="","",IF(StaticData.Today=TODAY(),_xll.BDP(AT29,"BID"),_xll.BDH(AT29,"BID",StaticData.Today,StaticData.Today)))</f>
        <v>15.04</v>
      </c>
      <c r="AX29" s="178">
        <f>IF(AT29="","",IF(StaticData.Today=TODAY(),_xll.BDP(AT29,"ASK"),_xll.BDH(AT29,"ASK",StaticData.Today,StaticData.Today)))</f>
        <v>15.14</v>
      </c>
      <c r="AY29" s="30">
        <f>IF(AT29="","",IF(StaticData.Today=TODAY(),_xll.BDP(AT29,"LAST_PRICE"),_xll.BDH(AT29,"LAST_PRICE",StaticData.Today,StaticData.Today)))</f>
        <v>15.09</v>
      </c>
      <c r="AZ29" s="27">
        <f t="shared" si="12"/>
        <v>0.15090000000000001</v>
      </c>
    </row>
    <row r="30" spans="2:52" x14ac:dyDescent="0.25">
      <c r="O30" s="24"/>
      <c r="P30" s="25"/>
      <c r="Q30" s="28"/>
      <c r="R30" s="29"/>
      <c r="S30" s="29"/>
      <c r="T30" s="30"/>
      <c r="U30" s="183"/>
      <c r="W30" s="24"/>
      <c r="X30" s="25"/>
      <c r="Y30" s="26" t="str">
        <f>IF(W30="","",IF(StaticData.Today=TODAY(),_xll.BDP(W30,"LAST_PRICE"),_xll.BDH(W30,"LAST_PRICE",StaticData.Today,StaticData.Today)))</f>
        <v/>
      </c>
      <c r="Z30" s="27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G30" s="24"/>
      <c r="AH30" s="25"/>
      <c r="AI30" s="26" t="str">
        <f>IF(AG30="","",IF(StaticData.Today=TODAY(),_xll.BDP(AG30,"LAST_PRICE"),_xll.BDH(AG30,"LAST_PRICE",StaticData.Today,StaticData.Today)))</f>
        <v/>
      </c>
      <c r="AJ30" s="27"/>
      <c r="AL30" s="24"/>
      <c r="AM30" s="25"/>
      <c r="AN30" s="28"/>
      <c r="AO30" s="29"/>
      <c r="AP30" s="29"/>
      <c r="AQ30" s="30"/>
      <c r="AR30" s="27"/>
      <c r="AT30" s="24" t="str">
        <f>"TYUSSW5"&amp;$AT$2&amp;" Curncy"</f>
        <v>TYUSSW5 TRPU Curncy</v>
      </c>
      <c r="AU30" s="25" t="s">
        <v>331</v>
      </c>
      <c r="AV30" s="28"/>
      <c r="AW30" s="178">
        <f>IF(AT30="","",IF(StaticData.Today=TODAY(),_xll.BDP(AT30,"BID"),_xll.BDH(AT30,"BID",StaticData.Today,StaticData.Today)))</f>
        <v>14.43</v>
      </c>
      <c r="AX30" s="178">
        <f>IF(AT30="","",IF(StaticData.Today=TODAY(),_xll.BDP(AT30,"ASK"),_xll.BDH(AT30,"ASK",StaticData.Today,StaticData.Today)))</f>
        <v>14.53</v>
      </c>
      <c r="AY30" s="30">
        <f>IF(AT30="","",IF(StaticData.Today=TODAY(),_xll.BDP(AT30,"LAST_PRICE"),_xll.BDH(AT30,"LAST_PRICE",StaticData.Today,StaticData.Today)))</f>
        <v>14.48</v>
      </c>
      <c r="AZ30" s="27">
        <f t="shared" si="12"/>
        <v>0.14480000000000001</v>
      </c>
    </row>
    <row r="31" spans="2:52" x14ac:dyDescent="0.25">
      <c r="O31" s="24"/>
      <c r="P31" s="25"/>
      <c r="Q31" s="28"/>
      <c r="R31" s="29"/>
      <c r="S31" s="29"/>
      <c r="T31" s="30"/>
      <c r="U31" s="27"/>
      <c r="W31" s="24"/>
      <c r="X31" s="25"/>
      <c r="Y31" s="26" t="str">
        <f>IF(W31="","",IF(StaticData.Today=TODAY(),_xll.BDP(W31,"LAST_PRICE"),_xll.BDH(W31,"LAST_PRICE",StaticData.Today,StaticData.Today)))</f>
        <v/>
      </c>
      <c r="Z31" s="27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G31" s="24"/>
      <c r="AH31" s="25"/>
      <c r="AI31" s="26" t="str">
        <f>IF(AG31="","",IF(StaticData.Today=TODAY(),_xll.BDP(AG31,"LAST_PRICE"),_xll.BDH(AG31,"LAST_PRICE",StaticData.Today,StaticData.Today)))</f>
        <v/>
      </c>
      <c r="AJ31" s="27"/>
      <c r="AL31" s="24"/>
      <c r="AM31" s="25"/>
      <c r="AN31" s="28"/>
      <c r="AO31" s="29"/>
      <c r="AP31" s="29"/>
      <c r="AQ31" s="30"/>
      <c r="AR31" s="27"/>
      <c r="AT31" s="24" t="str">
        <f>"TYUSSW6"&amp;$AT$2&amp;" Curncy"</f>
        <v>TYUSSW6 TRPU Curncy</v>
      </c>
      <c r="AU31" s="25" t="s">
        <v>339</v>
      </c>
      <c r="AV31" s="28"/>
      <c r="AW31" s="178">
        <f>IF(AT31="","",IF(StaticData.Today=TODAY(),_xll.BDP(AT31,"BID"),_xll.BDH(AT31,"BID",StaticData.Today,StaticData.Today)))</f>
        <v>13.92</v>
      </c>
      <c r="AX31" s="178">
        <f>IF(AT31="","",IF(StaticData.Today=TODAY(),_xll.BDP(AT31,"ASK"),_xll.BDH(AT31,"ASK",StaticData.Today,StaticData.Today)))</f>
        <v>14.02</v>
      </c>
      <c r="AY31" s="30">
        <f>IF(AT31="","",IF(StaticData.Today=TODAY(),_xll.BDP(AT31,"LAST_PRICE"),_xll.BDH(AT31,"LAST_PRICE",StaticData.Today,StaticData.Today)))</f>
        <v>13.97</v>
      </c>
      <c r="AZ31" s="27">
        <f t="shared" si="12"/>
        <v>0.13970000000000002</v>
      </c>
    </row>
    <row r="32" spans="2:52" x14ac:dyDescent="0.25">
      <c r="O32" s="24"/>
      <c r="P32" s="25"/>
      <c r="Q32" s="28"/>
      <c r="R32" s="29"/>
      <c r="S32" s="29"/>
      <c r="T32" s="30"/>
      <c r="U32" s="27"/>
      <c r="W32" s="24"/>
      <c r="X32" s="25"/>
      <c r="Y32" s="26" t="str">
        <f>IF(W32="","",IF(StaticData.Today=TODAY(),_xll.BDP(W32,"LAST_PRICE"),_xll.BDH(W32,"LAST_PRICE",StaticData.Today,StaticData.Today)))</f>
        <v/>
      </c>
      <c r="Z32" s="27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G32" s="24"/>
      <c r="AH32" s="25"/>
      <c r="AI32" s="26" t="str">
        <f>IF(AG32="","",IF(StaticData.Today=TODAY(),_xll.BDP(AG32,"LAST_PRICE"),_xll.BDH(AG32,"LAST_PRICE",StaticData.Today,StaticData.Today)))</f>
        <v/>
      </c>
      <c r="AJ32" s="27"/>
      <c r="AL32" s="24"/>
      <c r="AM32" s="25"/>
      <c r="AN32" s="28"/>
      <c r="AO32" s="29"/>
      <c r="AP32" s="29"/>
      <c r="AQ32" s="30"/>
      <c r="AR32" s="27"/>
      <c r="AT32" s="24" t="str">
        <f>"TYUSSW7"&amp;$AT$2&amp;" Curncy"</f>
        <v>TYUSSW7 TRPU Curncy</v>
      </c>
      <c r="AU32" s="25" t="s">
        <v>342</v>
      </c>
      <c r="AV32" s="28"/>
      <c r="AW32" s="178">
        <f>IF(AT32="","",IF(StaticData.Today=TODAY(),_xll.BDP(AT32,"BID"),_xll.BDH(AT32,"BID",StaticData.Today,StaticData.Today)))</f>
        <v>13.52</v>
      </c>
      <c r="AX32" s="178">
        <f>IF(AT32="","",IF(StaticData.Today=TODAY(),_xll.BDP(AT32,"ASK"),_xll.BDH(AT32,"ASK",StaticData.Today,StaticData.Today)))</f>
        <v>13.62</v>
      </c>
      <c r="AY32" s="30">
        <f>IF(AT32="","",IF(StaticData.Today=TODAY(),_xll.BDP(AT32,"LAST_PRICE"),_xll.BDH(AT32,"LAST_PRICE",StaticData.Today,StaticData.Today)))</f>
        <v>13.57</v>
      </c>
      <c r="AZ32" s="27">
        <f t="shared" si="12"/>
        <v>0.13570000000000002</v>
      </c>
    </row>
    <row r="33" spans="15:52" x14ac:dyDescent="0.25">
      <c r="O33" s="24"/>
      <c r="P33" s="25"/>
      <c r="Q33" s="28"/>
      <c r="R33" s="29"/>
      <c r="S33" s="29"/>
      <c r="T33" s="30"/>
      <c r="U33" s="27"/>
      <c r="W33" s="24"/>
      <c r="X33" s="25"/>
      <c r="Y33" s="26" t="str">
        <f>IF(W33="","",IF(StaticData.Today=TODAY(),_xll.BDP(W33,"LAST_PRICE"),_xll.BDH(W33,"LAST_PRICE",StaticData.Today,StaticData.Today)))</f>
        <v/>
      </c>
      <c r="Z33" s="27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G33" s="24"/>
      <c r="AH33" s="25"/>
      <c r="AI33" s="26" t="str">
        <f>IF(AG33="","",IF(StaticData.Today=TODAY(),_xll.BDP(AG33,"LAST_PRICE"),_xll.BDH(AG33,"LAST_PRICE",StaticData.Today,StaticData.Today)))</f>
        <v/>
      </c>
      <c r="AJ33" s="27"/>
      <c r="AL33" s="24"/>
      <c r="AM33" s="25"/>
      <c r="AN33" s="28"/>
      <c r="AO33" s="29"/>
      <c r="AP33" s="29"/>
      <c r="AQ33" s="30"/>
      <c r="AR33" s="27"/>
      <c r="AT33" s="24" t="str">
        <f>"TYUSSW8"&amp;$AT$2&amp;" Curncy"</f>
        <v>TYUSSW8 TRPU Curncy</v>
      </c>
      <c r="AU33" s="25" t="s">
        <v>355</v>
      </c>
      <c r="AV33" s="28"/>
      <c r="AW33" s="178">
        <f>IF(AT33="","",IF(StaticData.Today=TODAY(),_xll.BDP(AT33,"BID"),_xll.BDH(AT33,"BID",StaticData.Today,StaticData.Today)))</f>
        <v>13.19</v>
      </c>
      <c r="AX33" s="178">
        <f>IF(AT33="","",IF(StaticData.Today=TODAY(),_xll.BDP(AT33,"ASK"),_xll.BDH(AT33,"ASK",StaticData.Today,StaticData.Today)))</f>
        <v>13.29</v>
      </c>
      <c r="AY33" s="30">
        <f>IF(AT33="","",IF(StaticData.Today=TODAY(),_xll.BDP(AT33,"LAST_PRICE"),_xll.BDH(AT33,"LAST_PRICE",StaticData.Today,StaticData.Today)))</f>
        <v>13.24</v>
      </c>
      <c r="AZ33" s="27">
        <f t="shared" si="12"/>
        <v>0.13239999999999999</v>
      </c>
    </row>
    <row r="34" spans="15:52" x14ac:dyDescent="0.25">
      <c r="O34" s="24"/>
      <c r="P34" s="25"/>
      <c r="Q34" s="28"/>
      <c r="R34" s="29"/>
      <c r="S34" s="29"/>
      <c r="T34" s="30"/>
      <c r="U34" s="27"/>
      <c r="W34" s="24"/>
      <c r="X34" s="25"/>
      <c r="Y34" s="26" t="str">
        <f>IF(W34="","",IF(StaticData.Today=TODAY(),_xll.BDP(W34,"LAST_PRICE"),_xll.BDH(W34,"LAST_PRICE",StaticData.Today,StaticData.Today)))</f>
        <v/>
      </c>
      <c r="Z34" s="27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G34" s="24"/>
      <c r="AH34" s="25"/>
      <c r="AI34" s="26" t="str">
        <f>IF(AG34="","",IF(StaticData.Today=TODAY(),_xll.BDP(AG34,"LAST_PRICE"),_xll.BDH(AG34,"LAST_PRICE",StaticData.Today,StaticData.Today)))</f>
        <v/>
      </c>
      <c r="AJ34" s="27"/>
      <c r="AL34" s="24"/>
      <c r="AM34" s="25"/>
      <c r="AN34" s="28"/>
      <c r="AO34" s="29"/>
      <c r="AP34" s="29"/>
      <c r="AQ34" s="30"/>
      <c r="AR34" s="27"/>
      <c r="AT34" s="24" t="str">
        <f>"TYUSSW9"&amp;$AT$2&amp;" Curncy"</f>
        <v>TYUSSW9 TRPU Curncy</v>
      </c>
      <c r="AU34" s="25" t="s">
        <v>364</v>
      </c>
      <c r="AV34" s="28"/>
      <c r="AW34" s="178">
        <f>IF(AT34="","",IF(StaticData.Today=TODAY(),_xll.BDP(AT34,"BID"),_xll.BDH(AT34,"BID",StaticData.Today,StaticData.Today)))</f>
        <v>12.94</v>
      </c>
      <c r="AX34" s="178">
        <f>IF(AT34="","",IF(StaticData.Today=TODAY(),_xll.BDP(AT34,"ASK"),_xll.BDH(AT34,"ASK",StaticData.Today,StaticData.Today)))</f>
        <v>13.04</v>
      </c>
      <c r="AY34" s="30">
        <f>IF(AT34="","",IF(StaticData.Today=TODAY(),_xll.BDP(AT34,"LAST_PRICE"),_xll.BDH(AT34,"LAST_PRICE",StaticData.Today,StaticData.Today)))</f>
        <v>12.99</v>
      </c>
      <c r="AZ34" s="27">
        <f t="shared" si="12"/>
        <v>0.12990000000000002</v>
      </c>
    </row>
    <row r="35" spans="15:52" x14ac:dyDescent="0.25">
      <c r="O35" s="24"/>
      <c r="P35" s="25"/>
      <c r="Q35" s="28"/>
      <c r="R35" s="29"/>
      <c r="S35" s="29"/>
      <c r="T35" s="30"/>
      <c r="U35" s="27"/>
      <c r="W35" s="24"/>
      <c r="X35" s="25"/>
      <c r="Y35" s="26" t="str">
        <f>IF(W35="","",IF(StaticData.Today=TODAY(),_xll.BDP(W35,"LAST_PRICE"),_xll.BDH(W35,"LAST_PRICE",StaticData.Today,StaticData.Today)))</f>
        <v/>
      </c>
      <c r="Z35" s="27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G35" s="24"/>
      <c r="AH35" s="25"/>
      <c r="AI35" s="26" t="str">
        <f>IF(AG35="","",IF(StaticData.Today=TODAY(),_xll.BDP(AG35,"LAST_PRICE"),_xll.BDH(AG35,"LAST_PRICE",StaticData.Today,StaticData.Today)))</f>
        <v/>
      </c>
      <c r="AJ35" s="27"/>
      <c r="AL35" s="24"/>
      <c r="AM35" s="25"/>
      <c r="AN35" s="28"/>
      <c r="AO35" s="29"/>
      <c r="AP35" s="29"/>
      <c r="AQ35" s="30"/>
      <c r="AR35" s="27"/>
      <c r="AT35" s="24" t="str">
        <f>"TYUSSW10"&amp;$AT$2&amp;" Curncy"</f>
        <v>TYUSSW10 TRPU Curncy</v>
      </c>
      <c r="AU35" s="25" t="s">
        <v>349</v>
      </c>
      <c r="AV35" s="28"/>
      <c r="AW35" s="178">
        <f>IF(AT35="","",IF(StaticData.Today=TODAY(),_xll.BDP(AT35,"BID"),_xll.BDH(AT35,"BID",StaticData.Today,StaticData.Today)))</f>
        <v>12.73</v>
      </c>
      <c r="AX35" s="178">
        <f>IF(AT35="","",IF(StaticData.Today=TODAY(),_xll.BDP(AT35,"ASK"),_xll.BDH(AT35,"ASK",StaticData.Today,StaticData.Today)))</f>
        <v>12.83</v>
      </c>
      <c r="AY35" s="30">
        <f>IF(AT35="","",IF(StaticData.Today=TODAY(),_xll.BDP(AT35,"LAST_PRICE"),_xll.BDH(AT35,"LAST_PRICE",StaticData.Today,StaticData.Today)))</f>
        <v>12.78</v>
      </c>
      <c r="AZ35" s="27">
        <f t="shared" si="12"/>
        <v>0.1278</v>
      </c>
    </row>
    <row r="36" spans="15:52" x14ac:dyDescent="0.25">
      <c r="O36" s="24"/>
      <c r="P36" s="25"/>
      <c r="Q36" s="28"/>
      <c r="R36" s="29"/>
      <c r="S36" s="29"/>
      <c r="T36" s="30"/>
      <c r="U36" s="27"/>
      <c r="W36" s="24"/>
      <c r="X36" s="25"/>
      <c r="Y36" s="26" t="str">
        <f>IF(W36="","",IF(StaticData.Today=TODAY(),_xll.BDP(W36,"LAST_PRICE"),_xll.BDH(W36,"LAST_PRICE",StaticData.Today,StaticData.Today)))</f>
        <v/>
      </c>
      <c r="Z36" s="27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G36" s="24"/>
      <c r="AH36" s="25"/>
      <c r="AI36" s="26" t="str">
        <f>IF(AG36="","",IF(StaticData.Today=TODAY(),_xll.BDP(AG36,"LAST_PRICE"),_xll.BDH(AG36,"LAST_PRICE",StaticData.Today,StaticData.Today)))</f>
        <v/>
      </c>
      <c r="AJ36" s="27"/>
      <c r="AL36" s="24"/>
      <c r="AM36" s="25"/>
      <c r="AN36" s="28"/>
      <c r="AO36" s="29"/>
      <c r="AP36" s="29"/>
      <c r="AQ36" s="30"/>
      <c r="AR36" s="27"/>
      <c r="AT36" s="24" t="str">
        <f>"TYUSSW12"&amp;$AT$2&amp;" Curncy"</f>
        <v>TYUSSW12 TRPU Curncy</v>
      </c>
      <c r="AU36" s="25" t="s">
        <v>358</v>
      </c>
      <c r="AV36" s="28"/>
      <c r="AW36" s="178" t="str">
        <f>IF(AT36="","",IF(StaticData.Today=TODAY(),_xll.BDP(AT36,"BID"),_xll.BDH(AT36,"BID",StaticData.Today,StaticData.Today)))</f>
        <v>#N/A N/A</v>
      </c>
      <c r="AX36" s="178" t="str">
        <f>IF(AT36="","",IF(StaticData.Today=TODAY(),_xll.BDP(AT36,"ASK"),_xll.BDH(AT36,"ASK",StaticData.Today,StaticData.Today)))</f>
        <v>#N/A N/A</v>
      </c>
      <c r="AY36" s="30" t="str">
        <f>IF(AT36="","",IF(StaticData.Today=TODAY(),_xll.BDP(AT36,"LAST_PRICE"),_xll.BDH(AT36,"LAST_PRICE",StaticData.Today,StaticData.Today)))</f>
        <v>#N/A N/A</v>
      </c>
      <c r="AZ36" s="27" t="e">
        <f>(AZ35+AZ37)/2</f>
        <v>#VALUE!</v>
      </c>
    </row>
    <row r="37" spans="15:52" x14ac:dyDescent="0.25">
      <c r="O37" s="24"/>
      <c r="P37" s="25"/>
      <c r="Q37" s="28"/>
      <c r="R37" s="29"/>
      <c r="S37" s="29"/>
      <c r="T37" s="30"/>
      <c r="U37" s="27"/>
      <c r="W37" s="24"/>
      <c r="X37" s="25"/>
      <c r="Y37" s="26" t="str">
        <f>IF(W37="","",IF(StaticData.Today=TODAY(),_xll.BDP(W37,"LAST_PRICE"),_xll.BDH(W37,"LAST_PRICE",StaticData.Today,StaticData.Today)))</f>
        <v/>
      </c>
      <c r="Z37" s="27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G37" s="24"/>
      <c r="AH37" s="25"/>
      <c r="AI37" s="26" t="str">
        <f>IF(AG37="","",IF(StaticData.Today=TODAY(),_xll.BDP(AG37,"LAST_PRICE"),_xll.BDH(AG37,"LAST_PRICE",StaticData.Today,StaticData.Today)))</f>
        <v/>
      </c>
      <c r="AJ37" s="27"/>
      <c r="AL37" s="24"/>
      <c r="AM37" s="25"/>
      <c r="AN37" s="28"/>
      <c r="AO37" s="29"/>
      <c r="AP37" s="29"/>
      <c r="AQ37" s="30"/>
      <c r="AR37" s="27"/>
      <c r="AT37" s="24" t="str">
        <f>"TYUSSW15"&amp;$AT$2&amp;" Curncy"</f>
        <v>TYUSSW15 TRPU Curncy</v>
      </c>
      <c r="AU37" s="25" t="s">
        <v>367</v>
      </c>
      <c r="AV37" s="28"/>
      <c r="AW37" s="178" t="str">
        <f>IF(AT37="","",IF(StaticData.Today=TODAY(),_xll.BDP(AT37,"BID"),_xll.BDH(AT37,"BID",StaticData.Today,StaticData.Today)))</f>
        <v>#N/A N/A</v>
      </c>
      <c r="AX37" s="178" t="str">
        <f>IF(AT37="","",IF(StaticData.Today=TODAY(),_xll.BDP(AT37,"ASK"),_xll.BDH(AT37,"ASK",StaticData.Today,StaticData.Today)))</f>
        <v>#N/A N/A</v>
      </c>
      <c r="AY37" s="30" t="str">
        <f>IF(AT37="","",IF(StaticData.Today=TODAY(),_xll.BDP(AT37,"LAST_PRICE"),_xll.BDH(AT37,"LAST_PRICE",StaticData.Today,StaticData.Today)))</f>
        <v>#N/A N/A</v>
      </c>
      <c r="AZ37" s="27" t="e">
        <f>(AW37+AX37)/200</f>
        <v>#VALUE!</v>
      </c>
    </row>
    <row r="38" spans="15:52" x14ac:dyDescent="0.25">
      <c r="O38" s="24"/>
      <c r="P38" s="25"/>
      <c r="Q38" s="28"/>
      <c r="R38" s="29"/>
      <c r="S38" s="29"/>
      <c r="T38" s="30"/>
      <c r="U38" s="27"/>
      <c r="W38" s="24"/>
      <c r="X38" s="25"/>
      <c r="Y38" s="26" t="str">
        <f>IF(W38="","",IF(StaticData.Today=TODAY(),_xll.BDP(W38,"LAST_PRICE"),_xll.BDH(W38,"LAST_PRICE",StaticData.Today,StaticData.Today)))</f>
        <v/>
      </c>
      <c r="Z38" s="27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G38" s="24"/>
      <c r="AH38" s="25"/>
      <c r="AI38" s="26" t="str">
        <f>IF(AG38="","",IF(StaticData.Today=TODAY(),_xll.BDP(AG38,"LAST_PRICE"),_xll.BDH(AG38,"LAST_PRICE",StaticData.Today,StaticData.Today)))</f>
        <v/>
      </c>
      <c r="AJ38" s="27"/>
      <c r="AL38" s="24"/>
      <c r="AM38" s="25"/>
      <c r="AN38" s="28"/>
      <c r="AO38" s="29"/>
      <c r="AP38" s="29"/>
      <c r="AQ38" s="30" t="str">
        <f>IF(AL38="","",IF(StaticData.Today=TODAY(),_xll.BDP(AL38,"LAST_PRICE"),_xll.BDH(AL38,"LAST_PRICE",StaticData.Today,StaticData.Today)))</f>
        <v/>
      </c>
      <c r="AR38" s="27"/>
      <c r="AT38" s="24"/>
      <c r="AU38" s="25"/>
      <c r="AV38" s="28"/>
      <c r="AW38" s="29"/>
      <c r="AX38" s="29"/>
      <c r="AY38" s="30" t="str">
        <f>IF(AT38="","",IF(StaticData.Today=TODAY(),_xll.BDP(AT38,"LAST_PRICE"),_xll.BDH(AT38,"LAST_PRICE",StaticData.Today,StaticData.Today)))</f>
        <v/>
      </c>
      <c r="AZ38" s="27"/>
    </row>
    <row r="39" spans="15:52" x14ac:dyDescent="0.25">
      <c r="O39" s="24"/>
      <c r="P39" s="25"/>
      <c r="Q39" s="28"/>
      <c r="R39" s="29"/>
      <c r="S39" s="29"/>
      <c r="T39" s="30"/>
      <c r="U39" s="27"/>
      <c r="W39" s="24"/>
      <c r="X39" s="25"/>
      <c r="Y39" s="26" t="str">
        <f>IF(W39="","",IF(StaticData.Today=TODAY(),_xll.BDP(W39,"LAST_PRICE"),_xll.BDH(W39,"LAST_PRICE",StaticData.Today,StaticData.Today)))</f>
        <v/>
      </c>
      <c r="Z39" s="27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G39" s="24"/>
      <c r="AH39" s="25"/>
      <c r="AI39" s="26" t="str">
        <f>IF(AG39="","",IF(StaticData.Today=TODAY(),_xll.BDP(AG39,"LAST_PRICE"),_xll.BDH(AG39,"LAST_PRICE",StaticData.Today,StaticData.Today)))</f>
        <v/>
      </c>
      <c r="AJ39" s="27"/>
      <c r="AL39" s="24"/>
      <c r="AM39" s="25"/>
      <c r="AN39" s="28"/>
      <c r="AO39" s="29"/>
      <c r="AP39" s="29"/>
      <c r="AQ39" s="30" t="str">
        <f>IF(AL39="","",IF(StaticData.Today=TODAY(),_xll.BDP(AL39,"LAST_PRICE"),_xll.BDH(AL39,"LAST_PRICE",StaticData.Today,StaticData.Today)))</f>
        <v/>
      </c>
      <c r="AR39" s="27"/>
      <c r="AT39" s="24"/>
      <c r="AU39" s="25"/>
      <c r="AV39" s="28"/>
      <c r="AW39" s="29"/>
      <c r="AX39" s="29"/>
      <c r="AY39" s="30" t="str">
        <f>IF(AT39="","",IF(StaticData.Today=TODAY(),_xll.BDP(AT39,"LAST_PRICE"),_xll.BDH(AT39,"LAST_PRICE",StaticData.Today,StaticData.Today)))</f>
        <v/>
      </c>
      <c r="AZ39" s="27"/>
    </row>
    <row r="40" spans="15:52" x14ac:dyDescent="0.25">
      <c r="O40" s="24"/>
      <c r="P40" s="25"/>
      <c r="Q40" s="28"/>
      <c r="R40" s="29"/>
      <c r="S40" s="29"/>
      <c r="T40" s="30"/>
      <c r="U40" s="27"/>
      <c r="W40" s="24"/>
      <c r="X40" s="25"/>
      <c r="Y40" s="26" t="str">
        <f>IF(W40="","",IF(StaticData.Today=TODAY(),_xll.BDP(W40,"LAST_PRICE"),_xll.BDH(W40,"LAST_PRICE",StaticData.Today,StaticData.Today)))</f>
        <v/>
      </c>
      <c r="Z40" s="27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G40" s="24"/>
      <c r="AH40" s="25"/>
      <c r="AI40" s="26" t="str">
        <f>IF(AG40="","",IF(StaticData.Today=TODAY(),_xll.BDP(AG40,"LAST_PRICE"),_xll.BDH(AG40,"LAST_PRICE",StaticData.Today,StaticData.Today)))</f>
        <v/>
      </c>
      <c r="AJ40" s="27"/>
      <c r="AL40" s="24"/>
      <c r="AM40" s="25"/>
      <c r="AN40" s="28"/>
      <c r="AO40" s="29"/>
      <c r="AP40" s="29"/>
      <c r="AQ40" s="30" t="str">
        <f>IF(AL40="","",IF(StaticData.Today=TODAY(),_xll.BDP(AL40,"LAST_PRICE"),_xll.BDH(AL40,"LAST_PRICE",StaticData.Today,StaticData.Today)))</f>
        <v/>
      </c>
      <c r="AR40" s="27"/>
      <c r="AT40" s="24"/>
      <c r="AU40" s="25"/>
      <c r="AV40" s="28"/>
      <c r="AW40" s="29"/>
      <c r="AX40" s="29"/>
      <c r="AY40" s="30"/>
      <c r="AZ40" s="27"/>
    </row>
    <row r="41" spans="15:52" x14ac:dyDescent="0.25">
      <c r="O41" s="24"/>
      <c r="P41" s="25"/>
      <c r="Q41" s="28"/>
      <c r="R41" s="29"/>
      <c r="S41" s="29"/>
      <c r="T41" s="30"/>
      <c r="U41" s="27"/>
      <c r="W41" s="24"/>
      <c r="X41" s="25"/>
      <c r="Y41" s="26" t="str">
        <f>IF(W41="","",IF(StaticData.Today=TODAY(),_xll.BDP(W41,"LAST_PRICE"),_xll.BDH(W41,"LAST_PRICE",StaticData.Today,StaticData.Today)))</f>
        <v/>
      </c>
      <c r="Z41" s="27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G41" s="24"/>
      <c r="AH41" s="25"/>
      <c r="AI41" s="26" t="str">
        <f>IF(AG41="","",IF(StaticData.Today=TODAY(),_xll.BDP(AG41,"LAST_PRICE"),_xll.BDH(AG41,"LAST_PRICE",StaticData.Today,StaticData.Today)))</f>
        <v/>
      </c>
      <c r="AJ41" s="27"/>
      <c r="AL41" s="24"/>
      <c r="AM41" s="25"/>
      <c r="AN41" s="28"/>
      <c r="AO41" s="29"/>
      <c r="AP41" s="29"/>
      <c r="AQ41" s="30" t="str">
        <f>IF(AL41="","",IF(StaticData.Today=TODAY(),_xll.BDP(AL41,"LAST_PRICE"),_xll.BDH(AL41,"LAST_PRICE",StaticData.Today,StaticData.Today)))</f>
        <v/>
      </c>
      <c r="AR41" s="27"/>
      <c r="AT41" s="24"/>
      <c r="AU41" s="25"/>
      <c r="AV41" s="28"/>
      <c r="AW41" s="29"/>
      <c r="AX41" s="29"/>
      <c r="AY41" s="30"/>
      <c r="AZ41" s="27"/>
    </row>
    <row r="42" spans="15:52" x14ac:dyDescent="0.25">
      <c r="O42" s="24"/>
      <c r="P42" s="25"/>
      <c r="Q42" s="28"/>
      <c r="R42" s="29"/>
      <c r="S42" s="29"/>
      <c r="T42" s="30"/>
      <c r="U42" s="27"/>
      <c r="W42" s="24"/>
      <c r="X42" s="25"/>
      <c r="Y42" s="26" t="str">
        <f>IF(W42="","",IF(StaticData.Today=TODAY(),_xll.BDP(W42,"LAST_PRICE"),_xll.BDH(W42,"LAST_PRICE",StaticData.Today,StaticData.Today)))</f>
        <v/>
      </c>
      <c r="Z42" s="27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G42" s="24"/>
      <c r="AH42" s="25"/>
      <c r="AI42" s="26" t="str">
        <f>IF(AG42="","",IF(StaticData.Today=TODAY(),_xll.BDP(AG42,"LAST_PRICE"),_xll.BDH(AG42,"LAST_PRICE",StaticData.Today,StaticData.Today)))</f>
        <v/>
      </c>
      <c r="AJ42" s="27"/>
      <c r="AL42" s="24"/>
      <c r="AM42" s="25"/>
      <c r="AN42" s="28"/>
      <c r="AO42" s="29"/>
      <c r="AP42" s="29"/>
      <c r="AQ42" s="30" t="str">
        <f>IF(AL42="","",IF(StaticData.Today=TODAY(),_xll.BDP(AL42,"LAST_PRICE"),_xll.BDH(AL42,"LAST_PRICE",StaticData.Today,StaticData.Today)))</f>
        <v/>
      </c>
      <c r="AR42" s="27"/>
      <c r="AT42" s="24"/>
      <c r="AU42" s="25"/>
      <c r="AV42" s="28"/>
      <c r="AW42" s="29"/>
      <c r="AX42" s="29"/>
      <c r="AY42" s="30"/>
      <c r="AZ42" s="27"/>
    </row>
    <row r="43" spans="15:52" x14ac:dyDescent="0.25">
      <c r="O43" s="24"/>
      <c r="P43" s="25"/>
      <c r="Q43" s="28"/>
      <c r="R43" s="29"/>
      <c r="S43" s="29"/>
      <c r="T43" s="30"/>
      <c r="U43" s="27"/>
      <c r="W43" s="24"/>
      <c r="X43" s="25"/>
      <c r="Y43" s="26" t="str">
        <f>IF(W43="","",IF(StaticData.Today=TODAY(),_xll.BDP(W43,"LAST_PRICE"),_xll.BDH(W43,"LAST_PRICE",StaticData.Today,StaticData.Today)))</f>
        <v/>
      </c>
      <c r="Z43" s="27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G43" s="24"/>
      <c r="AH43" s="25"/>
      <c r="AI43" s="26" t="str">
        <f>IF(AG43="","",IF(StaticData.Today=TODAY(),_xll.BDP(AG43,"LAST_PRICE"),_xll.BDH(AG43,"LAST_PRICE",StaticData.Today,StaticData.Today)))</f>
        <v/>
      </c>
      <c r="AJ43" s="27"/>
      <c r="AL43" s="24"/>
      <c r="AM43" s="25"/>
      <c r="AN43" s="28"/>
      <c r="AO43" s="29"/>
      <c r="AP43" s="29"/>
      <c r="AQ43" s="30" t="str">
        <f>IF(AL43="","",IF(StaticData.Today=TODAY(),_xll.BDP(AL43,"LAST_PRICE"),_xll.BDH(AL43,"LAST_PRICE",StaticData.Today,StaticData.Today)))</f>
        <v/>
      </c>
      <c r="AR43" s="27"/>
      <c r="AT43" s="24"/>
      <c r="AU43" s="25"/>
      <c r="AV43" s="28"/>
      <c r="AW43" s="29"/>
      <c r="AX43" s="29"/>
      <c r="AY43" s="30"/>
      <c r="AZ43" s="27"/>
    </row>
    <row r="44" spans="15:52" x14ac:dyDescent="0.25">
      <c r="O44" s="24"/>
      <c r="P44" s="25"/>
      <c r="Q44" s="28"/>
      <c r="R44" s="29"/>
      <c r="S44" s="29"/>
      <c r="T44" s="30"/>
      <c r="U44" s="27"/>
      <c r="W44" s="24"/>
      <c r="X44" s="25"/>
      <c r="Y44" s="26" t="str">
        <f>IF(W44="","",IF(StaticData.Today=TODAY(),_xll.BDP(W44,"LAST_PRICE"),_xll.BDH(W44,"LAST_PRICE",StaticData.Today,StaticData.Today)))</f>
        <v/>
      </c>
      <c r="Z44" s="27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G44" s="24"/>
      <c r="AH44" s="25"/>
      <c r="AI44" s="26" t="str">
        <f>IF(AG44="","",IF(StaticData.Today=TODAY(),_xll.BDP(AG44,"LAST_PRICE"),_xll.BDH(AG44,"LAST_PRICE",StaticData.Today,StaticData.Today)))</f>
        <v/>
      </c>
      <c r="AJ44" s="27"/>
      <c r="AL44" s="24"/>
      <c r="AM44" s="25"/>
      <c r="AN44" s="28"/>
      <c r="AO44" s="29"/>
      <c r="AP44" s="29"/>
      <c r="AQ44" s="30" t="str">
        <f>IF(AL44="","",IF(StaticData.Today=TODAY(),_xll.BDP(AL44,"LAST_PRICE"),_xll.BDH(AL44,"LAST_PRICE",StaticData.Today,StaticData.Today)))</f>
        <v/>
      </c>
      <c r="AR44" s="27"/>
      <c r="AT44" s="24"/>
      <c r="AU44" s="25"/>
      <c r="AV44" s="28"/>
      <c r="AW44" s="29"/>
      <c r="AX44" s="29"/>
      <c r="AY44" s="30"/>
      <c r="AZ44" s="27"/>
    </row>
    <row r="45" spans="15:52" x14ac:dyDescent="0.25">
      <c r="O45" s="24"/>
      <c r="P45" s="25"/>
      <c r="Q45" s="28"/>
      <c r="R45" s="29"/>
      <c r="S45" s="29"/>
      <c r="T45" s="30"/>
      <c r="U45" s="27"/>
      <c r="W45" s="24"/>
      <c r="X45" s="25"/>
      <c r="Y45" s="26" t="str">
        <f>IF(W45="","",IF(StaticData.Today=TODAY(),_xll.BDP(W45,"LAST_PRICE"),_xll.BDH(W45,"LAST_PRICE",StaticData.Today,StaticData.Today)))</f>
        <v/>
      </c>
      <c r="Z45" s="27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G45" s="24"/>
      <c r="AH45" s="25"/>
      <c r="AI45" s="26" t="str">
        <f>IF(AG45="","",IF(StaticData.Today=TODAY(),_xll.BDP(AG45,"LAST_PRICE"),_xll.BDH(AG45,"LAST_PRICE",StaticData.Today,StaticData.Today)))</f>
        <v/>
      </c>
      <c r="AJ45" s="27"/>
      <c r="AL45" s="24"/>
      <c r="AM45" s="25"/>
      <c r="AN45" s="28"/>
      <c r="AO45" s="29"/>
      <c r="AP45" s="29"/>
      <c r="AQ45" s="30" t="str">
        <f>IF(AL45="","",IF(StaticData.Today=TODAY(),_xll.BDP(AL45,"LAST_PRICE"),_xll.BDH(AL45,"LAST_PRICE",StaticData.Today,StaticData.Today)))</f>
        <v/>
      </c>
      <c r="AR45" s="27"/>
      <c r="AT45" s="24"/>
      <c r="AU45" s="25"/>
      <c r="AV45" s="28"/>
      <c r="AW45" s="29"/>
      <c r="AX45" s="29"/>
      <c r="AY45" s="30"/>
      <c r="AZ45" s="27"/>
    </row>
    <row r="46" spans="15:52" x14ac:dyDescent="0.25">
      <c r="O46" s="24"/>
      <c r="P46" s="25"/>
      <c r="Q46" s="28"/>
      <c r="R46" s="29"/>
      <c r="S46" s="29"/>
      <c r="T46" s="30"/>
      <c r="U46" s="27"/>
      <c r="W46" s="24"/>
      <c r="X46" s="25"/>
      <c r="Y46" s="26" t="str">
        <f>IF(W46="","",IF(StaticData.Today=TODAY(),_xll.BDP(W46,"LAST_PRICE"),_xll.BDH(W46,"LAST_PRICE",StaticData.Today,StaticData.Today)))</f>
        <v/>
      </c>
      <c r="Z46" s="27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G46" s="24"/>
      <c r="AH46" s="25"/>
      <c r="AI46" s="26" t="str">
        <f>IF(AG46="","",IF(StaticData.Today=TODAY(),_xll.BDP(AG46,"LAST_PRICE"),_xll.BDH(AG46,"LAST_PRICE",StaticData.Today,StaticData.Today)))</f>
        <v/>
      </c>
      <c r="AJ46" s="27"/>
      <c r="AL46" s="24"/>
      <c r="AM46" s="25"/>
      <c r="AN46" s="28"/>
      <c r="AO46" s="29"/>
      <c r="AP46" s="29"/>
      <c r="AQ46" s="30" t="str">
        <f>IF(AL46="","",IF(StaticData.Today=TODAY(),_xll.BDP(AL46,"LAST_PRICE"),_xll.BDH(AL46,"LAST_PRICE",StaticData.Today,StaticData.Today)))</f>
        <v/>
      </c>
      <c r="AR46" s="27"/>
      <c r="AT46" s="24"/>
      <c r="AU46" s="25"/>
      <c r="AV46" s="28"/>
      <c r="AW46" s="29"/>
      <c r="AX46" s="29"/>
      <c r="AY46" s="30"/>
      <c r="AZ46" s="27"/>
    </row>
    <row r="47" spans="15:52" x14ac:dyDescent="0.25">
      <c r="O47" s="24"/>
      <c r="P47" s="25"/>
      <c r="Q47" s="28"/>
      <c r="R47" s="29"/>
      <c r="S47" s="29"/>
      <c r="T47" s="30"/>
      <c r="U47" s="27"/>
      <c r="W47" s="24"/>
      <c r="X47" s="25"/>
      <c r="Y47" s="26" t="str">
        <f>IF(W47="","",IF(StaticData.Today=TODAY(),_xll.BDP(W47,"LAST_PRICE"),_xll.BDH(W47,"LAST_PRICE",StaticData.Today,StaticData.Today)))</f>
        <v/>
      </c>
      <c r="Z47" s="27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G47" s="24"/>
      <c r="AH47" s="25"/>
      <c r="AI47" s="26" t="str">
        <f>IF(AG47="","",IF(StaticData.Today=TODAY(),_xll.BDP(AG47,"LAST_PRICE"),_xll.BDH(AG47,"LAST_PRICE",StaticData.Today,StaticData.Today)))</f>
        <v/>
      </c>
      <c r="AJ47" s="27"/>
      <c r="AL47" s="24"/>
      <c r="AM47" s="25"/>
      <c r="AN47" s="28"/>
      <c r="AO47" s="29"/>
      <c r="AP47" s="29"/>
      <c r="AQ47" s="30" t="str">
        <f>IF(AL47="","",IF(StaticData.Today=TODAY(),_xll.BDP(AL47,"LAST_PRICE"),_xll.BDH(AL47,"LAST_PRICE",StaticData.Today,StaticData.Today)))</f>
        <v/>
      </c>
      <c r="AR47" s="27"/>
      <c r="AT47" s="24"/>
      <c r="AU47" s="25"/>
      <c r="AV47" s="28"/>
      <c r="AW47" s="29"/>
      <c r="AX47" s="29"/>
      <c r="AY47" s="30" t="str">
        <f>IF(AT47="","",IF(StaticData.Today=TODAY(),_xll.BDP(AT47,"LAST_PRICE"),_xll.BDH(AT47,"LAST_PRICE",StaticData.Today,StaticData.Today)))</f>
        <v/>
      </c>
      <c r="AZ47" s="27"/>
    </row>
    <row r="48" spans="15:52" x14ac:dyDescent="0.25">
      <c r="O48" s="38"/>
      <c r="P48" s="39"/>
      <c r="Q48" s="42"/>
      <c r="R48" s="43"/>
      <c r="S48" s="43"/>
      <c r="T48" s="44"/>
      <c r="U48" s="41"/>
      <c r="W48" s="38"/>
      <c r="X48" s="39"/>
      <c r="Y48" s="40" t="str">
        <f>IF(W48="","",IF(StaticData.Today=TODAY(),_xll.BDP(W48,"LAST_PRICE"),_xll.BDH(W48,"LAST_PRICE",StaticData.Today,StaticData.Today)))</f>
        <v/>
      </c>
      <c r="Z48" s="41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G48" s="38"/>
      <c r="AH48" s="39"/>
      <c r="AI48" s="40" t="str">
        <f>IF(AG48="","",IF(StaticData.Today=TODAY(),_xll.BDP(AG48,"LAST_PRICE"),_xll.BDH(AG48,"LAST_PRICE",StaticData.Today,StaticData.Today)))</f>
        <v/>
      </c>
      <c r="AJ48" s="41"/>
      <c r="AL48" s="38"/>
      <c r="AM48" s="39"/>
      <c r="AN48" s="42"/>
      <c r="AO48" s="43"/>
      <c r="AP48" s="43"/>
      <c r="AQ48" s="44" t="str">
        <f>IF(AL48="","",IF(StaticData.Today=TODAY(),_xll.BDP(AL48,"LAST_PRICE"),_xll.BDH(AL48,"LAST_PRICE",StaticData.Today,StaticData.Today)))</f>
        <v/>
      </c>
      <c r="AR48" s="41"/>
      <c r="AT48" s="24"/>
      <c r="AU48" s="25"/>
      <c r="AV48" s="28"/>
      <c r="AW48" s="29"/>
      <c r="AX48" s="29"/>
      <c r="AY48" s="30" t="str">
        <f>IF(AT48="","",IF(StaticData.Today=TODAY(),_xll.BDP(AT48,"LAST_PRICE"),_xll.BDH(AT48,"LAST_PRICE",StaticData.Today,StaticData.Today)))</f>
        <v/>
      </c>
      <c r="AZ48" s="27"/>
    </row>
    <row r="49" spans="46:52" x14ac:dyDescent="0.25">
      <c r="AT49" s="24"/>
      <c r="AU49" s="25"/>
      <c r="AV49" s="28"/>
      <c r="AW49" s="29"/>
      <c r="AX49" s="29"/>
      <c r="AY49" s="30" t="str">
        <f>IF(AT49="","",IF(StaticData.Today=TODAY(),_xll.BDP(AT49,"LAST_PRICE"),_xll.BDH(AT49,"LAST_PRICE",StaticData.Today,StaticData.Today)))</f>
        <v/>
      </c>
      <c r="AZ49" s="27"/>
    </row>
    <row r="50" spans="46:52" x14ac:dyDescent="0.25">
      <c r="AT50" s="24"/>
      <c r="AU50" s="25"/>
      <c r="AV50" s="28"/>
      <c r="AW50" s="29"/>
      <c r="AX50" s="29"/>
      <c r="AY50" s="30" t="str">
        <f>IF(AT50="","",IF(StaticData.Today=TODAY(),_xll.BDP(AT50,"LAST_PRICE"),_xll.BDH(AT50,"LAST_PRICE",StaticData.Today,StaticData.Today)))</f>
        <v/>
      </c>
      <c r="AZ50" s="27"/>
    </row>
    <row r="51" spans="46:52" x14ac:dyDescent="0.25">
      <c r="AT51" s="24"/>
      <c r="AU51" s="25"/>
      <c r="AV51" s="28"/>
      <c r="AW51" s="29"/>
      <c r="AX51" s="29"/>
      <c r="AY51" s="30" t="str">
        <f>IF(AT51="","",IF(StaticData.Today=TODAY(),_xll.BDP(AT51,"LAST_PRICE"),_xll.BDH(AT51,"LAST_PRICE",StaticData.Today,StaticData.Today)))</f>
        <v/>
      </c>
      <c r="AZ51" s="27"/>
    </row>
    <row r="52" spans="46:52" x14ac:dyDescent="0.25">
      <c r="AT52" s="24"/>
      <c r="AU52" s="25"/>
      <c r="AV52" s="28"/>
      <c r="AW52" s="29"/>
      <c r="AX52" s="29"/>
      <c r="AY52" s="30" t="str">
        <f>IF(AT52="","",IF(StaticData.Today=TODAY(),_xll.BDP(AT52,"LAST_PRICE"),_xll.BDH(AT52,"LAST_PRICE",StaticData.Today,StaticData.Today)))</f>
        <v/>
      </c>
      <c r="AZ52" s="27"/>
    </row>
    <row r="53" spans="46:52" x14ac:dyDescent="0.25">
      <c r="AT53" s="24"/>
      <c r="AU53" s="25"/>
      <c r="AV53" s="28"/>
      <c r="AW53" s="29"/>
      <c r="AX53" s="29"/>
      <c r="AY53" s="30" t="str">
        <f>IF(AT53="","",IF(StaticData.Today=TODAY(),_xll.BDP(AT53,"LAST_PRICE"),_xll.BDH(AT53,"LAST_PRICE",StaticData.Today,StaticData.Today)))</f>
        <v/>
      </c>
      <c r="AZ53" s="27"/>
    </row>
    <row r="54" spans="46:52" x14ac:dyDescent="0.25">
      <c r="AT54" s="24"/>
      <c r="AU54" s="25"/>
      <c r="AV54" s="28"/>
      <c r="AW54" s="29"/>
      <c r="AX54" s="29"/>
      <c r="AY54" s="30" t="str">
        <f>IF(AT54="","",IF(StaticData.Today=TODAY(),_xll.BDP(AT54,"LAST_PRICE"),_xll.BDH(AT54,"LAST_PRICE",StaticData.Today,StaticData.Today)))</f>
        <v/>
      </c>
      <c r="AZ54" s="27"/>
    </row>
    <row r="55" spans="46:52" x14ac:dyDescent="0.25">
      <c r="AT55" s="24"/>
      <c r="AU55" s="25"/>
      <c r="AV55" s="28"/>
      <c r="AW55" s="29"/>
      <c r="AX55" s="29"/>
      <c r="AY55" s="30" t="str">
        <f>IF(AT55="","",IF(StaticData.Today=TODAY(),_xll.BDP(AT55,"LAST_PRICE"),_xll.BDH(AT55,"LAST_PRICE",StaticData.Today,StaticData.Today)))</f>
        <v/>
      </c>
      <c r="AZ55" s="27"/>
    </row>
    <row r="56" spans="46:52" x14ac:dyDescent="0.25">
      <c r="AT56" s="24"/>
      <c r="AU56" s="25"/>
      <c r="AV56" s="28"/>
      <c r="AW56" s="29"/>
      <c r="AX56" s="29"/>
      <c r="AY56" s="30" t="str">
        <f>IF(AT56="","",IF(StaticData.Today=TODAY(),_xll.BDP(AT56,"LAST_PRICE"),_xll.BDH(AT56,"LAST_PRICE",StaticData.Today,StaticData.Today)))</f>
        <v/>
      </c>
      <c r="AZ56" s="27"/>
    </row>
    <row r="57" spans="46:52" x14ac:dyDescent="0.25">
      <c r="AT57" s="38"/>
      <c r="AU57" s="39"/>
      <c r="AV57" s="42"/>
      <c r="AW57" s="43"/>
      <c r="AX57" s="43"/>
      <c r="AY57" s="44" t="str">
        <f>IF(AT57="","",IF(StaticData.Today=TODAY(),_xll.BDP(AT57,"LAST_PRICE"),_xll.BDH(AT57,"LAST_PRICE",StaticData.Today,StaticData.Today)))</f>
        <v/>
      </c>
      <c r="AZ57" s="41"/>
    </row>
    <row r="97" spans="27:27" x14ac:dyDescent="0.25">
      <c r="AA97" s="6" t="s">
        <v>505</v>
      </c>
    </row>
    <row r="98" spans="27:27" x14ac:dyDescent="0.25">
      <c r="AA98" s="6" t="s">
        <v>510</v>
      </c>
    </row>
    <row r="99" spans="27:27" x14ac:dyDescent="0.25">
      <c r="AA99" s="6" t="s">
        <v>529</v>
      </c>
    </row>
    <row r="100" spans="27:27" x14ac:dyDescent="0.25">
      <c r="AA100" s="6" t="s">
        <v>508</v>
      </c>
    </row>
  </sheetData>
  <dataValidations count="1">
    <dataValidation type="list" allowBlank="1" showInputMessage="1" showErrorMessage="1" sqref="AL2">
      <formula1>$AA$96:$AA$99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133350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'STATIC DATA'!$AA$97:$AA$100</xm:f>
          </x14:formula1>
          <xm:sqref>G1</xm:sqref>
        </x14:dataValidation>
        <x14:dataValidation type="list" allowBlank="1" showInputMessage="1" showErrorMessage="1">
          <x14:formula1>
            <xm:f>'STATIC DATA'!$Z$97:$Z$100</xm:f>
          </x14:formula1>
          <xm:sqref>AT2</xm:sqref>
        </x14:dataValidation>
        <x14:dataValidation type="list" allowBlank="1" showInputMessage="1" showErrorMessage="1">
          <x14:formula1>
            <xm:f>'STATIC DATA'!$Z$92:$Z$95</xm:f>
          </x14:formula1>
          <xm:sqref>O1</xm:sqref>
        </x14:dataValidation>
        <x14:dataValidation type="list" allowBlank="1" showInputMessage="1" showErrorMessage="1">
          <x14:formula1>
            <xm:f>'STATIC DATA'!$AA$92:$AA$95</xm:f>
          </x14:formula1>
          <xm:sqref>O2</xm:sqref>
        </x14:dataValidation>
        <x14:dataValidation type="list" allowBlank="1" showInputMessage="1" showErrorMessage="1">
          <x14:formula1>
            <xm:f>'STATIC DATA'!$AA$92:$AA$98</xm:f>
          </x14:formula1>
          <xm:sqref>AT1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BD66"/>
  <sheetViews>
    <sheetView showGridLines="0" workbookViewId="0"/>
  </sheetViews>
  <sheetFormatPr defaultRowHeight="15" x14ac:dyDescent="0.25"/>
  <cols>
    <col min="7" max="7" width="23.28515625" bestFit="1" customWidth="1"/>
    <col min="9" max="9" width="9.5703125" bestFit="1" customWidth="1"/>
    <col min="10" max="10" width="8.140625" bestFit="1" customWidth="1"/>
    <col min="15" max="15" width="23.28515625" bestFit="1" customWidth="1"/>
    <col min="43" max="43" width="10.28515625" bestFit="1" customWidth="1"/>
    <col min="44" max="44" width="8.85546875" bestFit="1" customWidth="1"/>
    <col min="45" max="49" width="8.85546875" customWidth="1"/>
    <col min="51" max="51" width="18.140625" bestFit="1" customWidth="1"/>
  </cols>
  <sheetData>
    <row r="1" spans="1:56" x14ac:dyDescent="0.25">
      <c r="A1" s="6" t="s">
        <v>272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 t="s">
        <v>528</v>
      </c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Y1" t="s">
        <v>837</v>
      </c>
    </row>
    <row r="2" spans="1:56" x14ac:dyDescent="0.25">
      <c r="A2" s="6"/>
      <c r="B2" s="6"/>
      <c r="C2" s="6"/>
      <c r="D2" s="6"/>
      <c r="E2" s="6"/>
      <c r="F2" s="6"/>
      <c r="G2" s="7"/>
      <c r="H2" s="6"/>
      <c r="I2" s="6"/>
      <c r="J2" s="6"/>
      <c r="K2" s="6"/>
      <c r="L2" s="6"/>
      <c r="M2" s="6"/>
      <c r="N2" s="6"/>
      <c r="O2" s="6" t="s">
        <v>529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 t="s">
        <v>528</v>
      </c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</row>
    <row r="3" spans="1:56" x14ac:dyDescent="0.25">
      <c r="A3" s="6"/>
      <c r="B3" s="7" t="s">
        <v>278</v>
      </c>
      <c r="C3" s="7"/>
      <c r="D3" s="7"/>
      <c r="E3" s="8" t="s">
        <v>279</v>
      </c>
      <c r="F3" s="6"/>
      <c r="G3" s="2" t="s">
        <v>667</v>
      </c>
      <c r="H3" s="6"/>
      <c r="I3" s="8"/>
      <c r="J3" s="6"/>
      <c r="K3" s="6"/>
      <c r="L3" s="6"/>
      <c r="M3" s="6"/>
      <c r="N3" s="6"/>
      <c r="O3" s="2" t="str">
        <f>A1&amp;"_3M"</f>
        <v>ZAR_3M</v>
      </c>
      <c r="P3" s="6"/>
      <c r="Q3" s="6"/>
      <c r="R3" s="6"/>
      <c r="S3" s="6"/>
      <c r="T3" s="8" t="s">
        <v>282</v>
      </c>
      <c r="U3" s="6"/>
      <c r="V3" s="6"/>
      <c r="W3" s="2" t="str">
        <f>A1&amp;"_BASIS_6M"</f>
        <v>ZAR_BASIS_6M</v>
      </c>
      <c r="X3" s="6"/>
      <c r="Y3" s="6"/>
      <c r="Z3" s="6"/>
      <c r="AA3" s="6"/>
      <c r="AB3" s="2" t="str">
        <f>A1&amp;"_BASIS_1M"</f>
        <v>ZAR_BASIS_1M</v>
      </c>
      <c r="AC3" s="6"/>
      <c r="AD3" s="6"/>
      <c r="AE3" s="6"/>
      <c r="AF3" s="6"/>
      <c r="AG3" s="6"/>
      <c r="AH3" s="6"/>
      <c r="AI3" s="6"/>
      <c r="AJ3" s="6"/>
      <c r="AK3" s="6"/>
      <c r="AL3" s="2" t="str">
        <f>'STATIC DATA'!$C$4&amp;'STATIC DATA'!$AB$4&amp;"_BASIS"</f>
        <v>USDZAR_BASIS</v>
      </c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Y3" t="s">
        <v>611</v>
      </c>
    </row>
    <row r="4" spans="1:56" x14ac:dyDescent="0.25">
      <c r="A4" s="6"/>
      <c r="B4" s="9" t="b">
        <f>SUM(C7:C17)=SUM(D7:D17)</f>
        <v>1</v>
      </c>
      <c r="C4" s="6"/>
      <c r="D4" s="6"/>
      <c r="E4" s="10">
        <f>SUM(E7:E17)</f>
        <v>0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5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</row>
    <row r="6" spans="1:56" x14ac:dyDescent="0.25">
      <c r="A6" s="6"/>
      <c r="B6" s="2" t="s">
        <v>286</v>
      </c>
      <c r="C6" s="8" t="s">
        <v>287</v>
      </c>
      <c r="D6" s="8" t="s">
        <v>288</v>
      </c>
      <c r="E6" s="8" t="s">
        <v>289</v>
      </c>
      <c r="F6" s="6"/>
      <c r="G6" s="8" t="s">
        <v>290</v>
      </c>
      <c r="H6" s="8" t="s">
        <v>291</v>
      </c>
      <c r="I6" s="8" t="s">
        <v>292</v>
      </c>
      <c r="J6" s="8" t="s">
        <v>293</v>
      </c>
      <c r="K6" s="6"/>
      <c r="L6" s="6"/>
      <c r="M6" s="6"/>
      <c r="N6" s="6"/>
      <c r="O6" s="8" t="s">
        <v>290</v>
      </c>
      <c r="P6" s="8" t="s">
        <v>291</v>
      </c>
      <c r="Q6" s="8" t="s">
        <v>290</v>
      </c>
      <c r="R6" s="8" t="s">
        <v>294</v>
      </c>
      <c r="S6" s="8" t="s">
        <v>295</v>
      </c>
      <c r="T6" s="8" t="s">
        <v>292</v>
      </c>
      <c r="U6" s="8" t="s">
        <v>293</v>
      </c>
      <c r="V6" s="6"/>
      <c r="W6" s="8" t="s">
        <v>290</v>
      </c>
      <c r="X6" s="8" t="s">
        <v>291</v>
      </c>
      <c r="Y6" s="8" t="s">
        <v>292</v>
      </c>
      <c r="Z6" s="8" t="s">
        <v>293</v>
      </c>
      <c r="AA6" s="6"/>
      <c r="AB6" s="8" t="s">
        <v>290</v>
      </c>
      <c r="AC6" s="8" t="s">
        <v>291</v>
      </c>
      <c r="AD6" s="8" t="s">
        <v>292</v>
      </c>
      <c r="AE6" s="8" t="s">
        <v>293</v>
      </c>
      <c r="AF6" s="6"/>
      <c r="AG6" s="6"/>
      <c r="AH6" s="6"/>
      <c r="AI6" s="6"/>
      <c r="AJ6" s="6"/>
      <c r="AK6" s="6"/>
      <c r="AL6" s="8" t="s">
        <v>290</v>
      </c>
      <c r="AM6" s="8" t="s">
        <v>291</v>
      </c>
      <c r="AN6" s="8"/>
      <c r="AO6" s="8" t="s">
        <v>502</v>
      </c>
      <c r="AP6" s="8" t="s">
        <v>503</v>
      </c>
      <c r="AQ6" s="8" t="s">
        <v>292</v>
      </c>
      <c r="AR6" s="8" t="s">
        <v>293</v>
      </c>
      <c r="AS6" s="8"/>
      <c r="AT6" s="8"/>
      <c r="AU6" s="8"/>
      <c r="AV6" s="8"/>
      <c r="AW6" s="8"/>
      <c r="AY6" s="8" t="s">
        <v>290</v>
      </c>
      <c r="AZ6" s="8" t="s">
        <v>291</v>
      </c>
      <c r="BA6" s="8" t="s">
        <v>290</v>
      </c>
      <c r="BB6" s="8" t="s">
        <v>502</v>
      </c>
      <c r="BC6" s="8" t="s">
        <v>503</v>
      </c>
      <c r="BD6" s="8" t="s">
        <v>507</v>
      </c>
    </row>
    <row r="7" spans="1:56" x14ac:dyDescent="0.25">
      <c r="A7" s="6"/>
      <c r="B7" s="11" t="s">
        <v>296</v>
      </c>
      <c r="C7" s="12">
        <f>COUNTA(G7:G52)</f>
        <v>0</v>
      </c>
      <c r="D7" s="12">
        <f>COUNT(I7:I52)</f>
        <v>0</v>
      </c>
      <c r="E7" s="13">
        <f t="shared" ref="E7:E12" si="0">C7-D7</f>
        <v>0</v>
      </c>
      <c r="F7" s="6"/>
      <c r="G7" s="14"/>
      <c r="H7" s="15"/>
      <c r="I7" s="16"/>
      <c r="J7" s="17"/>
      <c r="K7" s="6"/>
      <c r="L7" s="6"/>
      <c r="M7" s="6"/>
      <c r="N7" s="6"/>
      <c r="O7" s="14" t="s">
        <v>532</v>
      </c>
      <c r="P7" s="15" t="s">
        <v>300</v>
      </c>
      <c r="Q7" s="18"/>
      <c r="R7" s="19"/>
      <c r="S7" s="19"/>
      <c r="T7" s="20">
        <f>IF(O7="","",IF(StaticData.Today=TODAY(),_xll.BDP(O7,"PX_LAST"),_xll.BDH(O7,"PX_LAST",StaticData.Today,StaticData.Today)))</f>
        <v>3.375</v>
      </c>
      <c r="U7" s="17">
        <f>T7/100</f>
        <v>3.3750000000000002E-2</v>
      </c>
      <c r="V7" s="6"/>
      <c r="W7" s="14"/>
      <c r="X7" s="15" t="s">
        <v>47</v>
      </c>
      <c r="Y7" s="16"/>
      <c r="Z7" s="17">
        <v>1E-3</v>
      </c>
      <c r="AA7" s="6"/>
      <c r="AB7" s="14"/>
      <c r="AC7" s="15"/>
      <c r="AD7" s="16"/>
      <c r="AE7" s="17"/>
      <c r="AF7" s="6"/>
      <c r="AG7" s="6"/>
      <c r="AH7" s="6"/>
      <c r="AI7" s="6"/>
      <c r="AJ7" s="6"/>
      <c r="AK7" s="6"/>
      <c r="AL7" s="14" t="str">
        <f>"SABS1"&amp;$AL$2&amp;" Curncy"</f>
        <v>SABS1 ICPL Curncy</v>
      </c>
      <c r="AM7" s="15" t="s">
        <v>47</v>
      </c>
      <c r="AN7" s="15"/>
      <c r="AO7" s="15">
        <f>IF(AL7="","",IF(StaticData.Today=TODAY(),_xll.BDP(AL7,"BID"),_xll.BDH(AL7,"BID",StaticData.Today,StaticData.Today)))</f>
        <v>32</v>
      </c>
      <c r="AP7" s="15">
        <f>IF(AL7="","",IF(StaticData.Today=TODAY(),_xll.BDP(AL7,"ASK"),_xll.BDH(AL7,"ASK",StaticData.Today,StaticData.Today)))</f>
        <v>42</v>
      </c>
      <c r="AQ7" s="16">
        <f>IF(AL7="","",IF(StaticData.Today=TODAY(),_xll.BDP(AL7,"LAST_PRICE"),_xll.BDH(AL7,"LAST_PRICE",StaticData.Today,StaticData.Today)))</f>
        <v>37</v>
      </c>
      <c r="AR7" s="17">
        <f>AQ7/10000</f>
        <v>3.7000000000000002E-3</v>
      </c>
      <c r="AS7" s="295"/>
      <c r="AT7" s="295"/>
      <c r="AU7" s="295"/>
      <c r="AV7" s="295"/>
      <c r="AW7" s="295"/>
      <c r="AY7" t="str">
        <f>"ZAR"&amp;" Curncy"</f>
        <v>ZAR Curncy</v>
      </c>
      <c r="AZ7" s="8"/>
      <c r="BA7" s="8"/>
      <c r="BB7">
        <f>IF(AY7="","",IF(StaticData.Today=TODAY(),_xll.BDP(AY7,"BID"),_xll.BDH(AY7,"BID",StaticData.Today,StaticData.Today)))</f>
        <v>16.792100000000001</v>
      </c>
      <c r="BC7">
        <f>IF(AY7="","",IF(StaticData.Today=TODAY(),_xll.BDP(AY7,"ASK"),_xll.BDH(AY7,"ASK",StaticData.Today,StaticData.Today)))</f>
        <v>16.798200000000001</v>
      </c>
      <c r="BD7">
        <f>IF(AY7="","",IF(StaticData.Today=TODAY(),_xll.BDP(AY7,"LAST_PRICE"),_xll.BDH(AY7,"LAST_PRICE",StaticData.Today,StaticData.Today)))</f>
        <v>16.795200000000001</v>
      </c>
    </row>
    <row r="8" spans="1:56" x14ac:dyDescent="0.25">
      <c r="A8" s="6"/>
      <c r="B8" s="21" t="s">
        <v>281</v>
      </c>
      <c r="C8" s="22">
        <f>COUNTA(O7:O49)</f>
        <v>26</v>
      </c>
      <c r="D8" s="22">
        <f>COUNT(T7:T49)</f>
        <v>26</v>
      </c>
      <c r="E8" s="23">
        <f t="shared" si="0"/>
        <v>0</v>
      </c>
      <c r="F8" s="6"/>
      <c r="G8" s="24"/>
      <c r="H8" s="25"/>
      <c r="I8" s="26"/>
      <c r="J8" s="27"/>
      <c r="K8" s="6"/>
      <c r="L8" s="6"/>
      <c r="M8" s="6"/>
      <c r="N8" s="6"/>
      <c r="O8" s="24" t="s">
        <v>533</v>
      </c>
      <c r="P8" s="25" t="s">
        <v>49</v>
      </c>
      <c r="Q8" s="28"/>
      <c r="R8" s="29"/>
      <c r="S8" s="29"/>
      <c r="T8" s="30">
        <f>IF(O8="","",IF(StaticData.Today=TODAY(),_xll.BDP(O8,"PX_LAST"),_xll.BDH(O8,"PX_LAST",StaticData.Today,StaticData.Today)))</f>
        <v>3.4169999999999998</v>
      </c>
      <c r="U8" s="27">
        <f>T8/100</f>
        <v>3.4169999999999999E-2</v>
      </c>
      <c r="V8" s="6"/>
      <c r="W8" s="24"/>
      <c r="X8" s="25" t="s">
        <v>308</v>
      </c>
      <c r="Y8" s="26"/>
      <c r="Z8" s="27">
        <v>1E-3</v>
      </c>
      <c r="AA8" s="6"/>
      <c r="AB8" s="24"/>
      <c r="AC8" s="25"/>
      <c r="AD8" s="26"/>
      <c r="AE8" s="27"/>
      <c r="AF8" s="6"/>
      <c r="AG8" s="6"/>
      <c r="AH8" s="6"/>
      <c r="AI8" s="6"/>
      <c r="AJ8" s="6"/>
      <c r="AK8" s="6"/>
      <c r="AL8" s="24" t="str">
        <f>"SABS2"&amp;$AL$2&amp;" Curncy"</f>
        <v>SABS2 ICPL Curncy</v>
      </c>
      <c r="AM8" s="25" t="s">
        <v>308</v>
      </c>
      <c r="AN8" s="25"/>
      <c r="AO8" s="25">
        <f>IF(AL8="","",IF(StaticData.Today=TODAY(),_xll.BDP(AL8,"BID"),_xll.BDH(AL8,"BID",StaticData.Today,StaticData.Today)))</f>
        <v>10</v>
      </c>
      <c r="AP8" s="25">
        <f>IF(AL8="","",IF(StaticData.Today=TODAY(),_xll.BDP(AL8,"ASK"),_xll.BDH(AL8,"ASK",StaticData.Today,StaticData.Today)))</f>
        <v>20</v>
      </c>
      <c r="AQ8" s="26">
        <f>IF(AL8="","",IF(StaticData.Today=TODAY(),_xll.BDP(AL8,"LAST_PRICE"),_xll.BDH(AL8,"LAST_PRICE",StaticData.Today,StaticData.Today)))</f>
        <v>15</v>
      </c>
      <c r="AR8" s="27">
        <f t="shared" ref="AR8:AR17" si="1">AQ8/10000</f>
        <v>1.5E-3</v>
      </c>
      <c r="AS8" s="295"/>
      <c r="AT8" s="295"/>
      <c r="AU8" s="295"/>
      <c r="AV8" s="295"/>
      <c r="AW8" s="295"/>
      <c r="AY8" t="str">
        <f t="shared" ref="AY8:AY28" si="2">"ZAR"&amp;AZ8&amp;$AY$1&amp;" Curncy"</f>
        <v>ZARON GFSN Curncy</v>
      </c>
      <c r="AZ8" s="15" t="s">
        <v>298</v>
      </c>
      <c r="BB8">
        <f>IF(AY8="","",IF(StaticData.Today=TODAY(),_xll.BDP(AY8,"BID"),_xll.BDH(AY8,"BID",StaticData.Today,StaticData.Today)))</f>
        <v>19</v>
      </c>
      <c r="BC8">
        <f>IF(AY8="","",IF(StaticData.Today=TODAY(),_xll.BDP(AY8,"ASK"),_xll.BDH(AY8,"ASK",StaticData.Today,StaticData.Today)))</f>
        <v>21.5</v>
      </c>
      <c r="BD8">
        <f>IF(AY8="","",IF(StaticData.Today=TODAY(),_xll.BDP(AY8,"LAST_PRICE"),_xll.BDH(AY8,"LAST_PRICE",StaticData.Today,StaticData.Today)))</f>
        <v>20.3</v>
      </c>
    </row>
    <row r="9" spans="1:56" x14ac:dyDescent="0.25">
      <c r="A9" s="6"/>
      <c r="B9" s="21" t="s">
        <v>311</v>
      </c>
      <c r="C9" s="22">
        <f>COUNTA(O11:O18)*2</f>
        <v>16</v>
      </c>
      <c r="D9" s="22">
        <f>COUNT(R11:S18)</f>
        <v>16</v>
      </c>
      <c r="E9" s="23">
        <f t="shared" si="0"/>
        <v>0</v>
      </c>
      <c r="F9" s="6"/>
      <c r="G9" s="24"/>
      <c r="H9" s="25"/>
      <c r="I9" s="26"/>
      <c r="J9" s="27"/>
      <c r="K9" s="6"/>
      <c r="L9" s="6"/>
      <c r="M9" s="6"/>
      <c r="N9" s="6"/>
      <c r="O9" s="24" t="s">
        <v>534</v>
      </c>
      <c r="P9" s="25" t="s">
        <v>46</v>
      </c>
      <c r="Q9" s="28"/>
      <c r="R9" s="29"/>
      <c r="S9" s="29"/>
      <c r="T9" s="30">
        <f>IF(O9="","",IF(StaticData.Today=TODAY(),_xll.BDP(O9,"PX_LAST"),_xll.BDH(O9,"PX_LAST",StaticData.Today,StaticData.Today)))</f>
        <v>3.4670000000000001</v>
      </c>
      <c r="U9" s="27">
        <f>T9/100</f>
        <v>3.4669999999999999E-2</v>
      </c>
      <c r="V9" s="6"/>
      <c r="W9" s="24"/>
      <c r="X9" s="25" t="s">
        <v>316</v>
      </c>
      <c r="Y9" s="26"/>
      <c r="Z9" s="27">
        <v>1E-3</v>
      </c>
      <c r="AA9" s="6"/>
      <c r="AB9" s="24"/>
      <c r="AC9" s="25"/>
      <c r="AD9" s="26"/>
      <c r="AE9" s="27"/>
      <c r="AF9" s="6"/>
      <c r="AG9" s="6"/>
      <c r="AH9" s="6"/>
      <c r="AI9" s="6"/>
      <c r="AJ9" s="6"/>
      <c r="AK9" s="6"/>
      <c r="AL9" s="24" t="str">
        <f>"SABS3"&amp;$AL$2&amp;" Curncy"</f>
        <v>SABS3 ICPL Curncy</v>
      </c>
      <c r="AM9" s="25" t="s">
        <v>316</v>
      </c>
      <c r="AN9" s="25"/>
      <c r="AO9" s="25">
        <f>IF(AL9="","",IF(StaticData.Today=TODAY(),_xll.BDP(AL9,"BID"),_xll.BDH(AL9,"BID",StaticData.Today,StaticData.Today)))</f>
        <v>-2</v>
      </c>
      <c r="AP9" s="25">
        <f>IF(AL9="","",IF(StaticData.Today=TODAY(),_xll.BDP(AL9,"ASK"),_xll.BDH(AL9,"ASK",StaticData.Today,StaticData.Today)))</f>
        <v>8</v>
      </c>
      <c r="AQ9" s="26">
        <f>IF(AL9="","",IF(StaticData.Today=TODAY(),_xll.BDP(AL9,"LAST_PRICE"),_xll.BDH(AL9,"LAST_PRICE",StaticData.Today,StaticData.Today)))</f>
        <v>3</v>
      </c>
      <c r="AR9" s="27">
        <f t="shared" si="1"/>
        <v>2.9999999999999997E-4</v>
      </c>
      <c r="AS9" s="295"/>
      <c r="AT9" s="295"/>
      <c r="AU9" s="295"/>
      <c r="AV9" s="295"/>
      <c r="AW9" s="295"/>
      <c r="AY9" t="str">
        <f t="shared" si="2"/>
        <v>ZARTN GFSN Curncy</v>
      </c>
      <c r="AZ9" s="25" t="s">
        <v>506</v>
      </c>
      <c r="BB9">
        <f>IF(AY9="","",IF(StaticData.Today=TODAY(),_xll.BDP(AY9,"BID"),_xll.BDH(AY9,"BID",StaticData.Today,StaticData.Today)))</f>
        <v>21.5</v>
      </c>
      <c r="BC9">
        <f>IF(AY9="","",IF(StaticData.Today=TODAY(),_xll.BDP(AY9,"ASK"),_xll.BDH(AY9,"ASK",StaticData.Today,StaticData.Today)))</f>
        <v>22.3</v>
      </c>
      <c r="BD9">
        <f>IF(AY9="","",IF(StaticData.Today=TODAY(),_xll.BDP(AY9,"LAST_PRICE"),_xll.BDH(AY9,"LAST_PRICE",StaticData.Today,StaticData.Today)))</f>
        <v>21.9</v>
      </c>
    </row>
    <row r="10" spans="1:56" x14ac:dyDescent="0.25">
      <c r="A10" s="6"/>
      <c r="B10" s="21" t="s">
        <v>283</v>
      </c>
      <c r="C10" s="22">
        <f>COUNTA(W7:W48)</f>
        <v>0</v>
      </c>
      <c r="D10" s="22">
        <f>COUNT(Y7:Y48)</f>
        <v>0</v>
      </c>
      <c r="E10" s="23">
        <f t="shared" si="0"/>
        <v>0</v>
      </c>
      <c r="F10" s="6"/>
      <c r="G10" s="24"/>
      <c r="H10" s="25"/>
      <c r="I10" s="26"/>
      <c r="J10" s="27"/>
      <c r="K10" s="6"/>
      <c r="L10" s="6"/>
      <c r="M10" s="6"/>
      <c r="N10" s="6"/>
      <c r="O10" s="24" t="s">
        <v>535</v>
      </c>
      <c r="P10" s="25" t="s">
        <v>322</v>
      </c>
      <c r="Q10" s="28"/>
      <c r="R10" s="29"/>
      <c r="S10" s="29"/>
      <c r="T10" s="30">
        <f>IF(O10="","",IF(StaticData.Today=TODAY(),_xll.BDP(O10,"PX_LAST"),_xll.BDH(O10,"PX_LAST",StaticData.Today,StaticData.Today)))</f>
        <v>3.6749999999999998</v>
      </c>
      <c r="U10" s="27">
        <f>T10/100</f>
        <v>3.6749999999999998E-2</v>
      </c>
      <c r="V10" s="6"/>
      <c r="W10" s="24"/>
      <c r="X10" s="25" t="s">
        <v>324</v>
      </c>
      <c r="Y10" s="26"/>
      <c r="Z10" s="27">
        <v>1E-3</v>
      </c>
      <c r="AA10" s="6"/>
      <c r="AB10" s="24"/>
      <c r="AC10" s="25"/>
      <c r="AD10" s="26"/>
      <c r="AE10" s="27"/>
      <c r="AF10" s="6"/>
      <c r="AG10" s="6"/>
      <c r="AH10" s="6"/>
      <c r="AI10" s="6"/>
      <c r="AJ10" s="6"/>
      <c r="AK10" s="6"/>
      <c r="AL10" s="24" t="str">
        <f>"SABS4"&amp;$AL$2&amp;" Curncy"</f>
        <v>SABS4 ICPL Curncy</v>
      </c>
      <c r="AM10" s="25" t="s">
        <v>324</v>
      </c>
      <c r="AN10" s="25"/>
      <c r="AO10" s="25">
        <f>IF(AL10="","",IF(StaticData.Today=TODAY(),_xll.BDP(AL10,"BID"),_xll.BDH(AL10,"BID",StaticData.Today,StaticData.Today)))</f>
        <v>-13.5</v>
      </c>
      <c r="AP10" s="25">
        <f>IF(AL10="","",IF(StaticData.Today=TODAY(),_xll.BDP(AL10,"ASK"),_xll.BDH(AL10,"ASK",StaticData.Today,StaticData.Today)))</f>
        <v>-3.5</v>
      </c>
      <c r="AQ10" s="26">
        <f>IF(AL10="","",IF(StaticData.Today=TODAY(),_xll.BDP(AL10,"LAST_PRICE"),_xll.BDH(AL10,"LAST_PRICE",StaticData.Today,StaticData.Today)))</f>
        <v>-8.5</v>
      </c>
      <c r="AR10" s="27">
        <f t="shared" si="1"/>
        <v>-8.4999999999999995E-4</v>
      </c>
      <c r="AS10" s="295"/>
      <c r="AT10" s="295"/>
      <c r="AU10" s="295"/>
      <c r="AV10" s="295"/>
      <c r="AW10" s="295"/>
      <c r="AY10" t="str">
        <f t="shared" si="2"/>
        <v>ZAR1W GFSN Curncy</v>
      </c>
      <c r="AZ10" s="25" t="s">
        <v>305</v>
      </c>
      <c r="BB10">
        <f>IF(AY10="","",IF(StaticData.Today=TODAY(),_xll.BDP(AY10,"BID"),_xll.BDH(AY10,"BID",StaticData.Today,StaticData.Today)))</f>
        <v>138</v>
      </c>
      <c r="BC10">
        <f>IF(AY10="","",IF(StaticData.Today=TODAY(),_xll.BDP(AY10,"ASK"),_xll.BDH(AY10,"ASK",StaticData.Today,StaticData.Today)))</f>
        <v>143</v>
      </c>
      <c r="BD10">
        <f>IF(AY10="","",IF(StaticData.Today=TODAY(),_xll.BDP(AY10,"LAST_PRICE"),_xll.BDH(AY10,"LAST_PRICE",StaticData.Today,StaticData.Today)))</f>
        <v>140.5</v>
      </c>
    </row>
    <row r="11" spans="1:56" x14ac:dyDescent="0.25">
      <c r="A11" s="6"/>
      <c r="B11" s="21" t="s">
        <v>284</v>
      </c>
      <c r="C11" s="22">
        <f>COUNTA(AB7:AB48)</f>
        <v>0</v>
      </c>
      <c r="D11" s="22">
        <f>COUNT(AD7:AD48)</f>
        <v>0</v>
      </c>
      <c r="E11" s="23">
        <f t="shared" si="0"/>
        <v>0</v>
      </c>
      <c r="F11" s="6"/>
      <c r="G11" s="24"/>
      <c r="H11" s="25"/>
      <c r="I11" s="26"/>
      <c r="J11" s="27"/>
      <c r="K11" s="6"/>
      <c r="L11" s="6"/>
      <c r="M11" s="6"/>
      <c r="N11" s="6"/>
      <c r="O11" s="24" t="str">
        <f>"SAFR"&amp;P11&amp;$O$1&amp;" Curncy"</f>
        <v>SAFR0AD ICPL Curncy</v>
      </c>
      <c r="P11" s="25" t="s">
        <v>513</v>
      </c>
      <c r="Q11" s="31" t="s">
        <v>494</v>
      </c>
      <c r="R11" s="178">
        <f>IF(O11="","",IF(StaticData.Today=TODAY(),_xll.BDP(O11,"BID"),_xll.BDH(O11,"BID",StaticData.Today,StaticData.Today)))</f>
        <v>3.3</v>
      </c>
      <c r="S11" s="178">
        <f>IF(O11="","",IF(StaticData.Today=TODAY(),_xll.BDP(O11,"ASK"),_xll.BDH(O11,"ASK",StaticData.Today,StaticData.Today)))</f>
        <v>3.36</v>
      </c>
      <c r="T11" s="30">
        <f>IF(O11="","",IF(StaticData.Today=TODAY(),_xll.BDP(O11,"LAST_PRICE"),_xll.BDH(O11,"LAST_PRICE",StaticData.Today,StaticData.Today)))</f>
        <v>3.33</v>
      </c>
      <c r="U11" s="183">
        <f>T11/100</f>
        <v>3.3300000000000003E-2</v>
      </c>
      <c r="V11" s="6"/>
      <c r="W11" s="24"/>
      <c r="X11" s="25" t="s">
        <v>331</v>
      </c>
      <c r="Y11" s="26"/>
      <c r="Z11" s="27">
        <v>1E-3</v>
      </c>
      <c r="AA11" s="6"/>
      <c r="AB11" s="24"/>
      <c r="AC11" s="25"/>
      <c r="AD11" s="26"/>
      <c r="AE11" s="27"/>
      <c r="AF11" s="6"/>
      <c r="AG11" s="6"/>
      <c r="AH11" s="6"/>
      <c r="AI11" s="6"/>
      <c r="AJ11" s="6"/>
      <c r="AK11" s="6"/>
      <c r="AL11" s="24" t="str">
        <f>"SABS5"&amp;$AL$2&amp;" Curncy"</f>
        <v>SABS5 ICPL Curncy</v>
      </c>
      <c r="AM11" s="25" t="s">
        <v>331</v>
      </c>
      <c r="AN11" s="25"/>
      <c r="AO11" s="25">
        <f>IF(AL11="","",IF(StaticData.Today=TODAY(),_xll.BDP(AL11,"BID"),_xll.BDH(AL11,"BID",StaticData.Today,StaticData.Today)))</f>
        <v>-22.5</v>
      </c>
      <c r="AP11" s="25">
        <f>IF(AL11="","",IF(StaticData.Today=TODAY(),_xll.BDP(AL11,"ASK"),_xll.BDH(AL11,"ASK",StaticData.Today,StaticData.Today)))</f>
        <v>-12.5</v>
      </c>
      <c r="AQ11" s="26">
        <f>IF(AL11="","",IF(StaticData.Today=TODAY(),_xll.BDP(AL11,"LAST_PRICE"),_xll.BDH(AL11,"LAST_PRICE",StaticData.Today,StaticData.Today)))</f>
        <v>-17.5</v>
      </c>
      <c r="AR11" s="27">
        <f t="shared" si="1"/>
        <v>-1.75E-3</v>
      </c>
      <c r="AS11" s="295"/>
      <c r="AT11" s="295"/>
      <c r="AU11" s="295"/>
      <c r="AV11" s="295"/>
      <c r="AW11" s="295"/>
      <c r="AY11" t="str">
        <f t="shared" si="2"/>
        <v>ZAR2W GFSN Curncy</v>
      </c>
      <c r="AZ11" s="25" t="s">
        <v>313</v>
      </c>
      <c r="BB11">
        <f>IF(AY11="","",IF(StaticData.Today=TODAY(),_xll.BDP(AY11,"BID"),_xll.BDH(AY11,"BID",StaticData.Today,StaticData.Today)))</f>
        <v>274</v>
      </c>
      <c r="BC11">
        <f>IF(AY11="","",IF(StaticData.Today=TODAY(),_xll.BDP(AY11,"ASK"),_xll.BDH(AY11,"ASK",StaticData.Today,StaticData.Today)))</f>
        <v>280</v>
      </c>
      <c r="BD11">
        <f>IF(AY11="","",IF(StaticData.Today=TODAY(),_xll.BDP(AY11,"LAST_PRICE"),_xll.BDH(AY11,"LAST_PRICE",StaticData.Today,StaticData.Today)))</f>
        <v>277</v>
      </c>
    </row>
    <row r="12" spans="1:56" x14ac:dyDescent="0.25">
      <c r="A12" s="6"/>
      <c r="B12" s="21" t="s">
        <v>285</v>
      </c>
      <c r="C12" s="22">
        <f>COUNTA(AL7:AL48)</f>
        <v>13</v>
      </c>
      <c r="D12" s="22">
        <f>COUNT(AQ7:AQ48)</f>
        <v>13</v>
      </c>
      <c r="E12" s="23">
        <f t="shared" si="0"/>
        <v>0</v>
      </c>
      <c r="F12" s="6"/>
      <c r="G12" s="24"/>
      <c r="H12" s="25"/>
      <c r="I12" s="26"/>
      <c r="J12" s="27"/>
      <c r="K12" s="6"/>
      <c r="L12" s="6"/>
      <c r="M12" s="6"/>
      <c r="N12" s="6"/>
      <c r="O12" s="24" t="str">
        <f t="shared" ref="O12:O18" si="3">"SAFR"&amp;P12&amp;$O$1&amp;" Curncy"</f>
        <v>SAFR0BE ICPL Curncy</v>
      </c>
      <c r="P12" s="25" t="s">
        <v>514</v>
      </c>
      <c r="Q12" s="31" t="s">
        <v>495</v>
      </c>
      <c r="R12" s="178">
        <f>IF(O12="","",IF(StaticData.Today=TODAY(),_xll.BDP(O12,"BID"),_xll.BDH(O12,"BID",StaticData.Today,StaticData.Today)))</f>
        <v>3.2850000000000001</v>
      </c>
      <c r="S12" s="178">
        <f>IF(O12="","",IF(StaticData.Today=TODAY(),_xll.BDP(O12,"ASK"),_xll.BDH(O12,"ASK",StaticData.Today,StaticData.Today)))</f>
        <v>3.3450000000000002</v>
      </c>
      <c r="T12" s="30">
        <f>IF(O12="","",IF(StaticData.Today=TODAY(),_xll.BDP(O12,"LAST_PRICE"),_xll.BDH(O12,"LAST_PRICE",StaticData.Today,StaticData.Today)))</f>
        <v>3.3149999999999999</v>
      </c>
      <c r="U12" s="183">
        <f t="shared" ref="U12:U19" si="4">T12/100</f>
        <v>3.3149999999999999E-2</v>
      </c>
      <c r="V12" s="6"/>
      <c r="W12" s="24"/>
      <c r="X12" s="25" t="s">
        <v>339</v>
      </c>
      <c r="Y12" s="26"/>
      <c r="Z12" s="27">
        <v>1E-3</v>
      </c>
      <c r="AA12" s="6"/>
      <c r="AB12" s="24"/>
      <c r="AC12" s="25"/>
      <c r="AD12" s="26"/>
      <c r="AE12" s="27"/>
      <c r="AF12" s="6"/>
      <c r="AG12" s="6"/>
      <c r="AH12" s="6"/>
      <c r="AI12" s="6"/>
      <c r="AJ12" s="6"/>
      <c r="AK12" s="6"/>
      <c r="AL12" s="24" t="str">
        <f>"SABS6"&amp;$AL$2&amp;" Curncy"</f>
        <v>SABS6 ICPL Curncy</v>
      </c>
      <c r="AM12" s="25" t="s">
        <v>339</v>
      </c>
      <c r="AN12" s="25"/>
      <c r="AO12" s="25">
        <f>IF(AL12="","",IF(StaticData.Today=TODAY(),_xll.BDP(AL12,"BID"),_xll.BDH(AL12,"BID",StaticData.Today,StaticData.Today)))</f>
        <v>-30.5</v>
      </c>
      <c r="AP12" s="25">
        <f>IF(AL12="","",IF(StaticData.Today=TODAY(),_xll.BDP(AL12,"ASK"),_xll.BDH(AL12,"ASK",StaticData.Today,StaticData.Today)))</f>
        <v>-20.5</v>
      </c>
      <c r="AQ12" s="26">
        <f>IF(AL12="","",IF(StaticData.Today=TODAY(),_xll.BDP(AL12,"LAST_PRICE"),_xll.BDH(AL12,"LAST_PRICE",StaticData.Today,StaticData.Today)))</f>
        <v>-25.5</v>
      </c>
      <c r="AR12" s="27">
        <f t="shared" si="1"/>
        <v>-2.5500000000000002E-3</v>
      </c>
      <c r="AS12" s="295"/>
      <c r="AT12" s="295"/>
      <c r="AU12" s="295"/>
      <c r="AV12" s="295"/>
      <c r="AW12" s="295"/>
      <c r="AY12" t="str">
        <f t="shared" si="2"/>
        <v>ZAR1M GFSN Curncy</v>
      </c>
      <c r="AZ12" s="25" t="s">
        <v>300</v>
      </c>
      <c r="BB12">
        <f>IF(AY12="","",IF(StaticData.Today=TODAY(),_xll.BDP(AY12,"BID"),_xll.BDH(AY12,"BID",StaticData.Today,StaticData.Today)))</f>
        <v>612</v>
      </c>
      <c r="BC12">
        <f>IF(AY12="","",IF(StaticData.Today=TODAY(),_xll.BDP(AY12,"ASK"),_xll.BDH(AY12,"ASK",StaticData.Today,StaticData.Today)))</f>
        <v>622</v>
      </c>
      <c r="BD12">
        <f>IF(AY12="","",IF(StaticData.Today=TODAY(),_xll.BDP(AY12,"LAST_PRICE"),_xll.BDH(AY12,"LAST_PRICE",StaticData.Today,StaticData.Today)))</f>
        <v>617</v>
      </c>
    </row>
    <row r="13" spans="1:56" x14ac:dyDescent="0.25">
      <c r="A13" s="6"/>
      <c r="B13" s="21"/>
      <c r="C13" s="22"/>
      <c r="D13" s="22"/>
      <c r="E13" s="22"/>
      <c r="F13" s="6"/>
      <c r="G13" s="24"/>
      <c r="H13" s="25"/>
      <c r="I13" s="26"/>
      <c r="J13" s="27"/>
      <c r="K13" s="6"/>
      <c r="L13" s="6"/>
      <c r="M13" s="6"/>
      <c r="N13" s="6"/>
      <c r="O13" s="24" t="str">
        <f t="shared" si="3"/>
        <v>SAFR0CF ICPL Curncy</v>
      </c>
      <c r="P13" s="25" t="s">
        <v>515</v>
      </c>
      <c r="Q13" s="31" t="s">
        <v>496</v>
      </c>
      <c r="R13" s="178">
        <f>IF(O13="","",IF(StaticData.Today=TODAY(),_xll.BDP(O13,"BID"),_xll.BDH(O13,"BID",StaticData.Today,StaticData.Today)))</f>
        <v>3.2450000000000001</v>
      </c>
      <c r="S13" s="178">
        <f>IF(O13="","",IF(StaticData.Today=TODAY(),_xll.BDP(O13,"ASK"),_xll.BDH(O13,"ASK",StaticData.Today,StaticData.Today)))</f>
        <v>3.3050000000000002</v>
      </c>
      <c r="T13" s="30">
        <f>IF(O13="","",IF(StaticData.Today=TODAY(),_xll.BDP(O13,"LAST_PRICE"),_xll.BDH(O13,"LAST_PRICE",StaticData.Today,StaticData.Today)))</f>
        <v>3.2749999999999999</v>
      </c>
      <c r="U13" s="183">
        <f t="shared" si="4"/>
        <v>3.2750000000000001E-2</v>
      </c>
      <c r="V13" s="6"/>
      <c r="W13" s="24"/>
      <c r="X13" s="25" t="s">
        <v>342</v>
      </c>
      <c r="Y13" s="26"/>
      <c r="Z13" s="27">
        <v>1E-3</v>
      </c>
      <c r="AA13" s="6"/>
      <c r="AB13" s="24"/>
      <c r="AC13" s="25"/>
      <c r="AD13" s="26"/>
      <c r="AE13" s="27"/>
      <c r="AF13" s="6"/>
      <c r="AG13" s="6"/>
      <c r="AH13" s="6"/>
      <c r="AI13" s="6"/>
      <c r="AJ13" s="6"/>
      <c r="AK13" s="6"/>
      <c r="AL13" s="24" t="str">
        <f>"SABS7"&amp;$AL$2&amp;" Curncy"</f>
        <v>SABS7 ICPL Curncy</v>
      </c>
      <c r="AM13" s="25" t="s">
        <v>342</v>
      </c>
      <c r="AN13" s="25"/>
      <c r="AO13" s="25">
        <f>IF(AL13="","",IF(StaticData.Today=TODAY(),_xll.BDP(AL13,"BID"),_xll.BDH(AL13,"BID",StaticData.Today,StaticData.Today)))</f>
        <v>-37</v>
      </c>
      <c r="AP13" s="25">
        <f>IF(AL13="","",IF(StaticData.Today=TODAY(),_xll.BDP(AL13,"ASK"),_xll.BDH(AL13,"ASK",StaticData.Today,StaticData.Today)))</f>
        <v>-27</v>
      </c>
      <c r="AQ13" s="26">
        <f>IF(AL13="","",IF(StaticData.Today=TODAY(),_xll.BDP(AL13,"LAST_PRICE"),_xll.BDH(AL13,"LAST_PRICE",StaticData.Today,StaticData.Today)))</f>
        <v>-32</v>
      </c>
      <c r="AR13" s="27">
        <f t="shared" si="1"/>
        <v>-3.2000000000000002E-3</v>
      </c>
      <c r="AS13" s="295"/>
      <c r="AT13" s="295"/>
      <c r="AU13" s="295"/>
      <c r="AV13" s="295"/>
      <c r="AW13" s="295"/>
      <c r="AY13" t="str">
        <f t="shared" si="2"/>
        <v>ZAR2M GFSN Curncy</v>
      </c>
      <c r="AZ13" s="25" t="s">
        <v>335</v>
      </c>
      <c r="BB13">
        <f>IF(AY13="","",IF(StaticData.Today=TODAY(),_xll.BDP(AY13,"BID"),_xll.BDH(AY13,"BID",StaticData.Today,StaticData.Today)))</f>
        <v>1133</v>
      </c>
      <c r="BC13">
        <f>IF(AY13="","",IF(StaticData.Today=TODAY(),_xll.BDP(AY13,"ASK"),_xll.BDH(AY13,"ASK",StaticData.Today,StaticData.Today)))</f>
        <v>1163</v>
      </c>
      <c r="BD13">
        <f>IF(AY13="","",IF(StaticData.Today=TODAY(),_xll.BDP(AY13,"LAST_PRICE"),_xll.BDH(AY13,"LAST_PRICE",StaticData.Today,StaticData.Today)))</f>
        <v>1148</v>
      </c>
    </row>
    <row r="14" spans="1:56" x14ac:dyDescent="0.25">
      <c r="A14" s="6"/>
      <c r="B14" s="21"/>
      <c r="C14" s="22"/>
      <c r="D14" s="22"/>
      <c r="E14" s="22"/>
      <c r="F14" s="6"/>
      <c r="G14" s="24"/>
      <c r="H14" s="25"/>
      <c r="I14" s="26"/>
      <c r="J14" s="27"/>
      <c r="K14" s="6"/>
      <c r="L14" s="6"/>
      <c r="M14" s="6"/>
      <c r="N14" s="6"/>
      <c r="O14" s="24" t="str">
        <f t="shared" si="3"/>
        <v>SAFR0FI ICPL Curncy</v>
      </c>
      <c r="P14" s="25" t="s">
        <v>516</v>
      </c>
      <c r="Q14" s="31" t="s">
        <v>497</v>
      </c>
      <c r="R14" s="178">
        <f>IF(O14="","",IF(StaticData.Today=TODAY(),_xll.BDP(O14,"BID"),_xll.BDH(O14,"BID",StaticData.Today,StaticData.Today)))</f>
        <v>3.2949999999999999</v>
      </c>
      <c r="S14" s="178">
        <f>IF(O14="","",IF(StaticData.Today=TODAY(),_xll.BDP(O14,"ASK"),_xll.BDH(O14,"ASK",StaticData.Today,StaticData.Today)))</f>
        <v>3.355</v>
      </c>
      <c r="T14" s="30">
        <f>IF(O14="","",IF(StaticData.Today=TODAY(),_xll.BDP(O14,"LAST_PRICE"),_xll.BDH(O14,"LAST_PRICE",StaticData.Today,StaticData.Today)))</f>
        <v>3.3250000000000002</v>
      </c>
      <c r="U14" s="183">
        <f t="shared" si="4"/>
        <v>3.3250000000000002E-2</v>
      </c>
      <c r="V14" s="6"/>
      <c r="W14" s="24"/>
      <c r="X14" s="25" t="s">
        <v>355</v>
      </c>
      <c r="Y14" s="26"/>
      <c r="Z14" s="27">
        <v>1E-3</v>
      </c>
      <c r="AA14" s="6"/>
      <c r="AB14" s="24"/>
      <c r="AC14" s="25"/>
      <c r="AD14" s="26"/>
      <c r="AE14" s="27"/>
      <c r="AF14" s="6"/>
      <c r="AG14" s="6"/>
      <c r="AH14" s="6"/>
      <c r="AI14" s="6"/>
      <c r="AJ14" s="6"/>
      <c r="AK14" s="6"/>
      <c r="AL14" s="24" t="str">
        <f>"SABS8"&amp;$AL$2&amp;" Curncy"</f>
        <v>SABS8 ICPL Curncy</v>
      </c>
      <c r="AM14" s="25" t="s">
        <v>355</v>
      </c>
      <c r="AN14" s="25"/>
      <c r="AO14" s="25">
        <f>IF(AL14="","",IF(StaticData.Today=TODAY(),_xll.BDP(AL14,"BID"),_xll.BDH(AL14,"BID",StaticData.Today,StaticData.Today)))</f>
        <v>-42</v>
      </c>
      <c r="AP14" s="25">
        <f>IF(AL14="","",IF(StaticData.Today=TODAY(),_xll.BDP(AL14,"ASK"),_xll.BDH(AL14,"ASK",StaticData.Today,StaticData.Today)))</f>
        <v>-32</v>
      </c>
      <c r="AQ14" s="26">
        <f>IF(AL14="","",IF(StaticData.Today=TODAY(),_xll.BDP(AL14,"LAST_PRICE"),_xll.BDH(AL14,"LAST_PRICE",StaticData.Today,StaticData.Today)))</f>
        <v>-37</v>
      </c>
      <c r="AR14" s="27">
        <f t="shared" si="1"/>
        <v>-3.7000000000000002E-3</v>
      </c>
      <c r="AS14" s="295"/>
      <c r="AT14" s="295"/>
      <c r="AU14" s="295"/>
      <c r="AV14" s="295"/>
      <c r="AW14" s="295"/>
      <c r="AY14" t="str">
        <f t="shared" si="2"/>
        <v>ZAR3M GFSN Curncy</v>
      </c>
      <c r="AZ14" s="25" t="s">
        <v>49</v>
      </c>
      <c r="BB14">
        <f>IF(AY14="","",IF(StaticData.Today=TODAY(),_xll.BDP(AY14,"BID"),_xll.BDH(AY14,"BID",StaticData.Today,StaticData.Today)))</f>
        <v>1659</v>
      </c>
      <c r="BC14">
        <f>IF(AY14="","",IF(StaticData.Today=TODAY(),_xll.BDP(AY14,"ASK"),_xll.BDH(AY14,"ASK",StaticData.Today,StaticData.Today)))</f>
        <v>1666</v>
      </c>
      <c r="BD14">
        <f>IF(AY14="","",IF(StaticData.Today=TODAY(),_xll.BDP(AY14,"LAST_PRICE"),_xll.BDH(AY14,"LAST_PRICE",StaticData.Today,StaticData.Today)))</f>
        <v>1662.5</v>
      </c>
    </row>
    <row r="15" spans="1:56" x14ac:dyDescent="0.25">
      <c r="A15" s="6"/>
      <c r="B15" s="21"/>
      <c r="C15" s="22"/>
      <c r="D15" s="22"/>
      <c r="E15" s="22"/>
      <c r="F15" s="6"/>
      <c r="G15" s="24"/>
      <c r="H15" s="25"/>
      <c r="I15" s="26"/>
      <c r="J15" s="27"/>
      <c r="K15" s="6"/>
      <c r="L15" s="6"/>
      <c r="M15" s="6"/>
      <c r="N15" s="6"/>
      <c r="O15" s="24" t="str">
        <f t="shared" si="3"/>
        <v>SAFR0I1 ICPL Curncy</v>
      </c>
      <c r="P15" s="25" t="s">
        <v>517</v>
      </c>
      <c r="Q15" s="31" t="s">
        <v>498</v>
      </c>
      <c r="R15" s="178">
        <f>IF(O15="","",IF(StaticData.Today=TODAY(),_xll.BDP(O15,"BID"),_xll.BDH(O15,"BID",StaticData.Today,StaticData.Today)))</f>
        <v>3.39</v>
      </c>
      <c r="S15" s="178">
        <f>IF(O15="","",IF(StaticData.Today=TODAY(),_xll.BDP(O15,"ASK"),_xll.BDH(O15,"ASK",StaticData.Today,StaticData.Today)))</f>
        <v>3.45</v>
      </c>
      <c r="T15" s="30">
        <f>IF(O15="","",IF(StaticData.Today=TODAY(),_xll.BDP(O15,"LAST_PRICE"),_xll.BDH(O15,"LAST_PRICE",StaticData.Today,StaticData.Today)))</f>
        <v>3.42</v>
      </c>
      <c r="U15" s="183">
        <f t="shared" si="4"/>
        <v>3.4200000000000001E-2</v>
      </c>
      <c r="V15" s="6"/>
      <c r="W15" s="24"/>
      <c r="X15" s="25" t="s">
        <v>364</v>
      </c>
      <c r="Y15" s="26"/>
      <c r="Z15" s="27">
        <v>1E-3</v>
      </c>
      <c r="AA15" s="6"/>
      <c r="AB15" s="24"/>
      <c r="AC15" s="25"/>
      <c r="AD15" s="26"/>
      <c r="AE15" s="27"/>
      <c r="AF15" s="6"/>
      <c r="AG15" s="6"/>
      <c r="AH15" s="6"/>
      <c r="AI15" s="6"/>
      <c r="AJ15" s="6"/>
      <c r="AK15" s="6"/>
      <c r="AL15" s="24" t="str">
        <f>"SABS9"&amp;$AL$2&amp;" Curncy"</f>
        <v>SABS9 ICPL Curncy</v>
      </c>
      <c r="AM15" s="25" t="s">
        <v>364</v>
      </c>
      <c r="AN15" s="25"/>
      <c r="AO15" s="25">
        <f>IF(AL15="","",IF(StaticData.Today=TODAY(),_xll.BDP(AL15,"BID"),_xll.BDH(AL15,"BID",StaticData.Today,StaticData.Today)))</f>
        <v>-46</v>
      </c>
      <c r="AP15" s="25">
        <f>IF(AL15="","",IF(StaticData.Today=TODAY(),_xll.BDP(AL15,"ASK"),_xll.BDH(AL15,"ASK",StaticData.Today,StaticData.Today)))</f>
        <v>-36</v>
      </c>
      <c r="AQ15" s="26">
        <f>IF(AL15="","",IF(StaticData.Today=TODAY(),_xll.BDP(AL15,"LAST_PRICE"),_xll.BDH(AL15,"LAST_PRICE",StaticData.Today,StaticData.Today)))</f>
        <v>-41</v>
      </c>
      <c r="AR15" s="27">
        <f t="shared" si="1"/>
        <v>-4.1000000000000003E-3</v>
      </c>
      <c r="AS15" s="295"/>
      <c r="AT15" s="295"/>
      <c r="AU15" s="295"/>
      <c r="AV15" s="295"/>
      <c r="AW15" s="295"/>
      <c r="AY15" t="str">
        <f t="shared" si="2"/>
        <v>ZAR4M GFSN Curncy</v>
      </c>
      <c r="AZ15" s="25" t="s">
        <v>351</v>
      </c>
      <c r="BB15">
        <f>IF(AY15="","",IF(StaticData.Today=TODAY(),_xll.BDP(AY15,"BID"),_xll.BDH(AY15,"BID",StaticData.Today,StaticData.Today)))</f>
        <v>2123.4</v>
      </c>
      <c r="BC15">
        <f>IF(AY15="","",IF(StaticData.Today=TODAY(),_xll.BDP(AY15,"ASK"),_xll.BDH(AY15,"ASK",StaticData.Today,StaticData.Today)))</f>
        <v>2166.8000000000002</v>
      </c>
      <c r="BD15">
        <f>IF(AY15="","",IF(StaticData.Today=TODAY(),_xll.BDP(AY15,"LAST_PRICE"),_xll.BDH(AY15,"LAST_PRICE",StaticData.Today,StaticData.Today)))</f>
        <v>2145.1</v>
      </c>
    </row>
    <row r="16" spans="1:56" x14ac:dyDescent="0.25">
      <c r="A16" s="6"/>
      <c r="B16" s="21"/>
      <c r="C16" s="22"/>
      <c r="D16" s="22"/>
      <c r="E16" s="22"/>
      <c r="F16" s="6"/>
      <c r="G16" s="24"/>
      <c r="H16" s="25"/>
      <c r="I16" s="26"/>
      <c r="J16" s="27"/>
      <c r="K16" s="6"/>
      <c r="L16" s="6"/>
      <c r="M16" s="6"/>
      <c r="N16" s="6"/>
      <c r="O16" s="24" t="str">
        <f t="shared" si="3"/>
        <v>SAFR011C ICPL Curncy</v>
      </c>
      <c r="P16" s="25" t="s">
        <v>536</v>
      </c>
      <c r="Q16" s="31" t="s">
        <v>537</v>
      </c>
      <c r="R16" s="178">
        <f>IF(O16="","",IF(StaticData.Today=TODAY(),_xll.BDP(O16,"BID"),_xll.BDH(O16,"BID",StaticData.Today,StaticData.Today)))</f>
        <v>3.5150000000000001</v>
      </c>
      <c r="S16" s="178">
        <f>IF(O16="","",IF(StaticData.Today=TODAY(),_xll.BDP(O16,"ASK"),_xll.BDH(O16,"ASK",StaticData.Today,StaticData.Today)))</f>
        <v>3.5750000000000002</v>
      </c>
      <c r="T16" s="30">
        <f>IF(O16="","",IF(StaticData.Today=TODAY(),_xll.BDP(O16,"LAST_PRICE"),_xll.BDH(O16,"LAST_PRICE",StaticData.Today,StaticData.Today)))</f>
        <v>3.5449999999999999</v>
      </c>
      <c r="U16" s="183">
        <f t="shared" si="4"/>
        <v>3.5450000000000002E-2</v>
      </c>
      <c r="V16" s="6"/>
      <c r="W16" s="24"/>
      <c r="X16" s="25" t="s">
        <v>349</v>
      </c>
      <c r="Y16" s="26"/>
      <c r="Z16" s="27">
        <v>1E-3</v>
      </c>
      <c r="AA16" s="6"/>
      <c r="AB16" s="24"/>
      <c r="AC16" s="25"/>
      <c r="AD16" s="26"/>
      <c r="AE16" s="27"/>
      <c r="AF16" s="6"/>
      <c r="AG16" s="6"/>
      <c r="AH16" s="6"/>
      <c r="AI16" s="6"/>
      <c r="AJ16" s="6"/>
      <c r="AK16" s="6"/>
      <c r="AL16" s="24" t="str">
        <f>"SABS10"&amp;$AL$2&amp;" Curncy"</f>
        <v>SABS10 ICPL Curncy</v>
      </c>
      <c r="AM16" s="25" t="s">
        <v>349</v>
      </c>
      <c r="AN16" s="25"/>
      <c r="AO16" s="25">
        <f>IF(AL16="","",IF(StaticData.Today=TODAY(),_xll.BDP(AL16,"BID"),_xll.BDH(AL16,"BID",StaticData.Today,StaticData.Today)))</f>
        <v>-49.5</v>
      </c>
      <c r="AP16" s="25">
        <f>IF(AL16="","",IF(StaticData.Today=TODAY(),_xll.BDP(AL16,"ASK"),_xll.BDH(AL16,"ASK",StaticData.Today,StaticData.Today)))</f>
        <v>-39.5</v>
      </c>
      <c r="AQ16" s="26">
        <f>IF(AL16="","",IF(StaticData.Today=TODAY(),_xll.BDP(AL16,"LAST_PRICE"),_xll.BDH(AL16,"LAST_PRICE",StaticData.Today,StaticData.Today)))</f>
        <v>-44.5</v>
      </c>
      <c r="AR16" s="27">
        <f t="shared" si="1"/>
        <v>-4.45E-3</v>
      </c>
      <c r="AS16" s="295"/>
      <c r="AT16" s="295"/>
      <c r="AU16" s="295"/>
      <c r="AV16" s="295"/>
      <c r="AW16" s="295"/>
      <c r="AY16" t="str">
        <f t="shared" si="2"/>
        <v>ZAR5M GFSN Curncy</v>
      </c>
      <c r="AZ16" s="25" t="s">
        <v>360</v>
      </c>
      <c r="BB16">
        <f>IF(AY16="","",IF(StaticData.Today=TODAY(),_xll.BDP(AY16,"BID"),_xll.BDH(AY16,"BID",StaticData.Today,StaticData.Today)))</f>
        <v>2633.5</v>
      </c>
      <c r="BC16">
        <f>IF(AY16="","",IF(StaticData.Today=TODAY(),_xll.BDP(AY16,"ASK"),_xll.BDH(AY16,"ASK",StaticData.Today,StaticData.Today)))</f>
        <v>2684.9</v>
      </c>
      <c r="BD16">
        <f>IF(AY16="","",IF(StaticData.Today=TODAY(),_xll.BDP(AY16,"LAST_PRICE"),_xll.BDH(AY16,"LAST_PRICE",StaticData.Today,StaticData.Today)))</f>
        <v>2659.2</v>
      </c>
    </row>
    <row r="17" spans="1:56" x14ac:dyDescent="0.25">
      <c r="A17" s="6"/>
      <c r="B17" s="34"/>
      <c r="C17" s="35"/>
      <c r="D17" s="35"/>
      <c r="E17" s="35"/>
      <c r="F17" s="6"/>
      <c r="G17" s="24"/>
      <c r="H17" s="25"/>
      <c r="I17" s="26"/>
      <c r="J17" s="27"/>
      <c r="K17" s="6"/>
      <c r="L17" s="6"/>
      <c r="M17" s="6"/>
      <c r="N17" s="6"/>
      <c r="O17" s="24" t="str">
        <f t="shared" si="3"/>
        <v>SAFR1C1F ICPL Curncy</v>
      </c>
      <c r="P17" s="25" t="s">
        <v>518</v>
      </c>
      <c r="Q17" s="31" t="s">
        <v>499</v>
      </c>
      <c r="R17" s="178">
        <f>IF(O17="","",IF(StaticData.Today=TODAY(),_xll.BDP(O17,"BID"),_xll.BDH(O17,"BID",StaticData.Today,StaticData.Today)))</f>
        <v>3.7050000000000001</v>
      </c>
      <c r="S17" s="178">
        <f>IF(O17="","",IF(StaticData.Today=TODAY(),_xll.BDP(O17,"ASK"),_xll.BDH(O17,"ASK",StaticData.Today,StaticData.Today)))</f>
        <v>3.7650000000000001</v>
      </c>
      <c r="T17" s="30">
        <f>IF(O17="","",IF(StaticData.Today=TODAY(),_xll.BDP(O17,"LAST_PRICE"),_xll.BDH(O17,"LAST_PRICE",StaticData.Today,StaticData.Today)))</f>
        <v>3.7349999999999999</v>
      </c>
      <c r="U17" s="183">
        <f t="shared" si="4"/>
        <v>3.7350000000000001E-2</v>
      </c>
      <c r="V17" s="6"/>
      <c r="W17" s="24"/>
      <c r="X17" s="25" t="s">
        <v>358</v>
      </c>
      <c r="Y17" s="26"/>
      <c r="Z17" s="27">
        <v>1E-3</v>
      </c>
      <c r="AA17" s="6"/>
      <c r="AB17" s="24"/>
      <c r="AC17" s="25"/>
      <c r="AD17" s="26"/>
      <c r="AE17" s="27"/>
      <c r="AF17" s="6"/>
      <c r="AG17" s="6"/>
      <c r="AH17" s="6"/>
      <c r="AI17" s="6"/>
      <c r="AJ17" s="6"/>
      <c r="AK17" s="6"/>
      <c r="AL17" s="24" t="str">
        <f>"SABS12"&amp;$AL$2&amp;" Curncy"</f>
        <v>SABS12 ICPL Curncy</v>
      </c>
      <c r="AM17" s="25" t="s">
        <v>358</v>
      </c>
      <c r="AN17" s="25"/>
      <c r="AO17" s="25">
        <f>IF(AL17="","",IF(StaticData.Today=TODAY(),_xll.BDP(AL17,"BID"),_xll.BDH(AL17,"BID",StaticData.Today,StaticData.Today)))</f>
        <v>-55</v>
      </c>
      <c r="AP17" s="25">
        <f>IF(AL17="","",IF(StaticData.Today=TODAY(),_xll.BDP(AL17,"ASK"),_xll.BDH(AL17,"ASK",StaticData.Today,StaticData.Today)))</f>
        <v>-45</v>
      </c>
      <c r="AQ17" s="26">
        <f>IF(AL17="","",IF(StaticData.Today=TODAY(),_xll.BDP(AL17,"LAST_PRICE"),_xll.BDH(AL17,"LAST_PRICE",StaticData.Today,StaticData.Today)))</f>
        <v>-50</v>
      </c>
      <c r="AR17" s="27">
        <f t="shared" si="1"/>
        <v>-5.0000000000000001E-3</v>
      </c>
      <c r="AS17" s="295"/>
      <c r="AT17" s="295"/>
      <c r="AU17" s="295"/>
      <c r="AV17" s="295"/>
      <c r="AW17" s="295"/>
      <c r="AY17" t="str">
        <f t="shared" si="2"/>
        <v>ZAR6M GFSN Curncy</v>
      </c>
      <c r="AZ17" s="25" t="s">
        <v>46</v>
      </c>
      <c r="BB17">
        <f>IF(AY17="","",IF(StaticData.Today=TODAY(),_xll.BDP(AY17,"BID"),_xll.BDH(AY17,"BID",StaticData.Today,StaticData.Today)))</f>
        <v>3094</v>
      </c>
      <c r="BC17">
        <f>IF(AY17="","",IF(StaticData.Today=TODAY(),_xll.BDP(AY17,"ASK"),_xll.BDH(AY17,"ASK",StaticData.Today,StaticData.Today)))</f>
        <v>3164</v>
      </c>
      <c r="BD17">
        <f>IF(AY17="","",IF(StaticData.Today=TODAY(),_xll.BDP(AY17,"LAST_PRICE"),_xll.BDH(AY17,"LAST_PRICE",StaticData.Today,StaticData.Today)))</f>
        <v>3129</v>
      </c>
    </row>
    <row r="18" spans="1:56" x14ac:dyDescent="0.25">
      <c r="A18" s="6"/>
      <c r="B18" s="36"/>
      <c r="C18" s="36"/>
      <c r="D18" s="36"/>
      <c r="E18" s="36"/>
      <c r="F18" s="6"/>
      <c r="G18" s="24"/>
      <c r="H18" s="25"/>
      <c r="I18" s="26"/>
      <c r="J18" s="27"/>
      <c r="K18" s="6"/>
      <c r="L18" s="6"/>
      <c r="M18" s="6"/>
      <c r="N18" s="6"/>
      <c r="O18" s="24" t="str">
        <f t="shared" si="3"/>
        <v>SAFR1F1I ICPL Curncy</v>
      </c>
      <c r="P18" s="25" t="s">
        <v>1061</v>
      </c>
      <c r="Q18" s="31" t="s">
        <v>663</v>
      </c>
      <c r="R18" s="178">
        <f>IF(O18="","",IF(StaticData.Today=TODAY(),_xll.BDP(O18,"BID"),_xll.BDH(O18,"BID",StaticData.Today,StaticData.Today)))</f>
        <v>3.86</v>
      </c>
      <c r="S18" s="178">
        <f>IF(O18="","",IF(StaticData.Today=TODAY(),_xll.BDP(O18,"ASK"),_xll.BDH(O18,"ASK",StaticData.Today,StaticData.Today)))</f>
        <v>3.92</v>
      </c>
      <c r="T18" s="30">
        <f>IF(O18="","",IF(StaticData.Today=TODAY(),_xll.BDP(O18,"LAST_PRICE"),_xll.BDH(O18,"LAST_PRICE",StaticData.Today,StaticData.Today)))</f>
        <v>3.89</v>
      </c>
      <c r="U18" s="183">
        <f t="shared" si="4"/>
        <v>3.8900000000000004E-2</v>
      </c>
      <c r="V18" s="6"/>
      <c r="W18" s="24"/>
      <c r="X18" s="25" t="s">
        <v>367</v>
      </c>
      <c r="Y18" s="26"/>
      <c r="Z18" s="27">
        <v>1E-3</v>
      </c>
      <c r="AA18" s="6"/>
      <c r="AB18" s="24"/>
      <c r="AC18" s="25"/>
      <c r="AD18" s="26"/>
      <c r="AE18" s="27"/>
      <c r="AF18" s="6"/>
      <c r="AG18" s="6"/>
      <c r="AH18" s="6"/>
      <c r="AI18" s="6"/>
      <c r="AJ18" s="6"/>
      <c r="AK18" s="6"/>
      <c r="AL18" s="24" t="str">
        <f>"SABS15"&amp;$AL$2&amp;" Curncy"</f>
        <v>SABS15 ICPL Curncy</v>
      </c>
      <c r="AM18" s="25" t="s">
        <v>367</v>
      </c>
      <c r="AN18" s="25"/>
      <c r="AO18" s="25">
        <f>IF(AL18="","",IF(StaticData.Today=TODAY(),_xll.BDP(AL18,"BID"),_xll.BDH(AL18,"BID",StaticData.Today,StaticData.Today)))</f>
        <v>-60.5</v>
      </c>
      <c r="AP18" s="25">
        <f>IF(AL18="","",IF(StaticData.Today=TODAY(),_xll.BDP(AL18,"ASK"),_xll.BDH(AL18,"ASK",StaticData.Today,StaticData.Today)))</f>
        <v>-50.5</v>
      </c>
      <c r="AQ18" s="26">
        <f>IF(AL18="","",IF(StaticData.Today=TODAY(),_xll.BDP(AL18,"LAST_PRICE"),_xll.BDH(AL18,"LAST_PRICE",StaticData.Today,StaticData.Today)))</f>
        <v>-55.5</v>
      </c>
      <c r="AR18" s="27">
        <f>AQ18/10000</f>
        <v>-5.5500000000000002E-3</v>
      </c>
      <c r="AS18" s="295"/>
      <c r="AT18" s="295"/>
      <c r="AU18" s="295"/>
      <c r="AV18" s="295"/>
      <c r="AW18" s="295"/>
      <c r="AY18" t="str">
        <f t="shared" si="2"/>
        <v>ZAR7M GFSN Curncy</v>
      </c>
      <c r="AZ18" s="25" t="s">
        <v>1570</v>
      </c>
      <c r="BB18">
        <f>IF(AY18="","",IF(StaticData.Today=TODAY(),_xll.BDP(AY18,"BID"),_xll.BDH(AY18,"BID",StaticData.Today,StaticData.Today)))</f>
        <v>3598.9</v>
      </c>
      <c r="BC18">
        <f>IF(AY18="","",IF(StaticData.Today=TODAY(),_xll.BDP(AY18,"ASK"),_xll.BDH(AY18,"ASK",StaticData.Today,StaticData.Today)))</f>
        <v>3698.1</v>
      </c>
      <c r="BD18">
        <f>IF(AY18="","",IF(StaticData.Today=TODAY(),_xll.BDP(AY18,"LAST_PRICE"),_xll.BDH(AY18,"LAST_PRICE",StaticData.Today,StaticData.Today)))</f>
        <v>3648.5</v>
      </c>
    </row>
    <row r="19" spans="1:56" x14ac:dyDescent="0.25">
      <c r="A19" s="6"/>
      <c r="B19" s="36"/>
      <c r="C19" s="36"/>
      <c r="D19" s="36"/>
      <c r="E19" s="36"/>
      <c r="F19" s="6"/>
      <c r="G19" s="24"/>
      <c r="H19" s="25"/>
      <c r="I19" s="26"/>
      <c r="J19" s="27"/>
      <c r="K19" s="6"/>
      <c r="L19" s="6"/>
      <c r="M19" s="6"/>
      <c r="N19" s="6"/>
      <c r="O19" s="24" t="str">
        <f>"SASW1"&amp;$O$2&amp;" Curncy"</f>
        <v>SASW1 TPRA Curncy</v>
      </c>
      <c r="P19" s="25" t="s">
        <v>47</v>
      </c>
      <c r="Q19" s="31"/>
      <c r="R19" s="29">
        <f>IF(O19="","",IF(StaticData.Today=TODAY(),_xll.BDP(O19,"BID"),_xll.BDH(O19,"BID",StaticData.Today,StaticData.Today)))</f>
        <v>3.3</v>
      </c>
      <c r="S19" s="29">
        <f>IF(O19="","",IF(StaticData.Today=TODAY(),_xll.BDP(O19,"ASK"),_xll.BDH(O19,"ASK",StaticData.Today,StaticData.Today)))</f>
        <v>3.4</v>
      </c>
      <c r="T19" s="30">
        <f>IF(O19="","",IF(StaticData.Today=TODAY(),_xll.BDP(O19,"LAST_PRICE"),_xll.BDH(O19,"LAST_PRICE",StaticData.Today,StaticData.Today)))</f>
        <v>3.35</v>
      </c>
      <c r="U19" s="27">
        <f t="shared" si="4"/>
        <v>3.3500000000000002E-2</v>
      </c>
      <c r="V19" s="6"/>
      <c r="W19" s="24"/>
      <c r="X19" s="25" t="s">
        <v>374</v>
      </c>
      <c r="Y19" s="26"/>
      <c r="Z19" s="27">
        <v>1E-3</v>
      </c>
      <c r="AA19" s="6"/>
      <c r="AB19" s="24"/>
      <c r="AC19" s="25"/>
      <c r="AD19" s="26"/>
      <c r="AE19" s="27"/>
      <c r="AF19" s="6"/>
      <c r="AG19" s="6"/>
      <c r="AH19" s="6"/>
      <c r="AI19" s="6"/>
      <c r="AJ19" s="6"/>
      <c r="AK19" s="6"/>
      <c r="AL19" s="24" t="str">
        <f>"SABS20"&amp;$AL$2&amp;" Curncy"</f>
        <v>SABS20 ICPL Curncy</v>
      </c>
      <c r="AM19" s="25" t="s">
        <v>374</v>
      </c>
      <c r="AN19" s="25"/>
      <c r="AO19" s="25">
        <f>IF(AL19="","",IF(StaticData.Today=TODAY(),_xll.BDP(AL19,"BID"),_xll.BDH(AL19,"BID",StaticData.Today,StaticData.Today)))</f>
        <v>-71.5</v>
      </c>
      <c r="AP19" s="25">
        <f>IF(AL19="","",IF(StaticData.Today=TODAY(),_xll.BDP(AL19,"ASK"),_xll.BDH(AL19,"ASK",StaticData.Today,StaticData.Today)))</f>
        <v>-61.5</v>
      </c>
      <c r="AQ19" s="26">
        <f>IF(AL19="","",IF(StaticData.Today=TODAY(),_xll.BDP(AL19,"LAST_PRICE"),_xll.BDH(AL19,"LAST_PRICE",StaticData.Today,StaticData.Today)))</f>
        <v>-66.5</v>
      </c>
      <c r="AR19" s="27">
        <f>AQ19/10000</f>
        <v>-6.6499999999999997E-3</v>
      </c>
      <c r="AS19" s="295"/>
      <c r="AT19" s="295"/>
      <c r="AU19" s="295"/>
      <c r="AV19" s="295"/>
      <c r="AW19" s="295"/>
      <c r="AY19" t="str">
        <f t="shared" si="2"/>
        <v>ZAR8M GFSN Curncy</v>
      </c>
      <c r="AZ19" s="25" t="s">
        <v>1571</v>
      </c>
      <c r="BB19">
        <f>IF(AY19="","",IF(StaticData.Today=TODAY(),_xll.BDP(AY19,"BID"),_xll.BDH(AY19,"BID",StaticData.Today,StaticData.Today)))</f>
        <v>4055</v>
      </c>
      <c r="BC19">
        <f>IF(AY19="","",IF(StaticData.Today=TODAY(),_xll.BDP(AY19,"ASK"),_xll.BDH(AY19,"ASK",StaticData.Today,StaticData.Today)))</f>
        <v>4167.7</v>
      </c>
      <c r="BD19">
        <f>IF(AY19="","",IF(StaticData.Today=TODAY(),_xll.BDP(AY19,"LAST_PRICE"),_xll.BDH(AY19,"LAST_PRICE",StaticData.Today,StaticData.Today)))</f>
        <v>4111.3999999999996</v>
      </c>
    </row>
    <row r="20" spans="1:56" x14ac:dyDescent="0.25">
      <c r="A20" s="6"/>
      <c r="B20" s="36"/>
      <c r="C20" s="36"/>
      <c r="D20" s="36"/>
      <c r="E20" s="36"/>
      <c r="F20" s="6"/>
      <c r="G20" s="24"/>
      <c r="H20" s="25"/>
      <c r="I20" s="26"/>
      <c r="J20" s="27"/>
      <c r="K20" s="37"/>
      <c r="L20" s="37"/>
      <c r="M20" s="37"/>
      <c r="N20" s="37"/>
      <c r="O20" s="24" t="str">
        <f>"SASW2"&amp;$O$2&amp;" Curncy"</f>
        <v>SASW2 TPRA Curncy</v>
      </c>
      <c r="P20" s="25" t="s">
        <v>308</v>
      </c>
      <c r="Q20" s="28"/>
      <c r="R20" s="29">
        <f>IF(O20="","",IF(StaticData.Today=TODAY(),_xll.BDP(O20,"BID"),_xll.BDH(O20,"BID",StaticData.Today,StaticData.Today)))</f>
        <v>3.53</v>
      </c>
      <c r="S20" s="29">
        <f>IF(O20="","",IF(StaticData.Today=TODAY(),_xll.BDP(O20,"ASK"),_xll.BDH(O20,"ASK",StaticData.Today,StaticData.Today)))</f>
        <v>3.63</v>
      </c>
      <c r="T20" s="30">
        <f>IF(O20="","",IF(StaticData.Today=TODAY(),_xll.BDP(O20,"LAST_PRICE"),_xll.BDH(O20,"LAST_PRICE",StaticData.Today,StaticData.Today)))</f>
        <v>3.58</v>
      </c>
      <c r="U20" s="27">
        <f t="shared" ref="U20:U31" si="5">T20/100</f>
        <v>3.5799999999999998E-2</v>
      </c>
      <c r="V20" s="6"/>
      <c r="W20" s="24"/>
      <c r="X20" s="25" t="s">
        <v>382</v>
      </c>
      <c r="Y20" s="26"/>
      <c r="Z20" s="27">
        <v>1E-3</v>
      </c>
      <c r="AA20" s="6"/>
      <c r="AB20" s="24"/>
      <c r="AC20" s="25"/>
      <c r="AD20" s="26"/>
      <c r="AE20" s="27"/>
      <c r="AF20" s="6"/>
      <c r="AG20" s="6"/>
      <c r="AH20" s="6"/>
      <c r="AI20" s="6"/>
      <c r="AJ20" s="6"/>
      <c r="AK20" s="6"/>
      <c r="AL20" s="24"/>
      <c r="AM20" s="25"/>
      <c r="AN20" s="25"/>
      <c r="AO20" s="25"/>
      <c r="AP20" s="25"/>
      <c r="AQ20" s="26" t="str">
        <f>IF(AL20="","",IF(StaticData.Today=TODAY(),_xll.BDP(AL20,"LAST_PRICE"),_xll.BDH(AL20,"LAST_PRICE",StaticData.Today,StaticData.Today)))</f>
        <v/>
      </c>
      <c r="AR20" s="27"/>
      <c r="AS20" s="295"/>
      <c r="AT20" s="295"/>
      <c r="AU20" s="295"/>
      <c r="AV20" s="295"/>
      <c r="AW20" s="295"/>
      <c r="AY20" t="str">
        <f t="shared" si="2"/>
        <v>ZAR9M GFSN Curncy</v>
      </c>
      <c r="AZ20" s="25" t="s">
        <v>376</v>
      </c>
      <c r="BB20">
        <f>IF(AY20="","",IF(StaticData.Today=TODAY(),_xll.BDP(AY20,"BID"),_xll.BDH(AY20,"BID",StaticData.Today,StaticData.Today)))</f>
        <v>4515</v>
      </c>
      <c r="BC20">
        <f>IF(AY20="","",IF(StaticData.Today=TODAY(),_xll.BDP(AY20,"ASK"),_xll.BDH(AY20,"ASK",StaticData.Today,StaticData.Today)))</f>
        <v>4634</v>
      </c>
      <c r="BD20">
        <f>IF(AY20="","",IF(StaticData.Today=TODAY(),_xll.BDP(AY20,"LAST_PRICE"),_xll.BDH(AY20,"LAST_PRICE",StaticData.Today,StaticData.Today)))</f>
        <v>4574.5</v>
      </c>
    </row>
    <row r="21" spans="1:56" x14ac:dyDescent="0.25">
      <c r="A21" s="6"/>
      <c r="B21" s="36"/>
      <c r="C21" s="36"/>
      <c r="D21" s="36"/>
      <c r="E21" s="36"/>
      <c r="F21" s="6"/>
      <c r="G21" s="24"/>
      <c r="H21" s="25"/>
      <c r="I21" s="26"/>
      <c r="J21" s="27"/>
      <c r="K21" s="6"/>
      <c r="L21" s="6"/>
      <c r="M21" s="6"/>
      <c r="N21" s="6"/>
      <c r="O21" s="24" t="str">
        <f>"SASW3"&amp;$O$2&amp;" Curncy"</f>
        <v>SASW3 TPRA Curncy</v>
      </c>
      <c r="P21" s="25" t="s">
        <v>316</v>
      </c>
      <c r="Q21" s="28"/>
      <c r="R21" s="29">
        <f>IF(O21="","",IF(StaticData.Today=TODAY(),_xll.BDP(O21,"BID"),_xll.BDH(O21,"BID",StaticData.Today,StaticData.Today)))</f>
        <v>3.9</v>
      </c>
      <c r="S21" s="29">
        <f>IF(O21="","",IF(StaticData.Today=TODAY(),_xll.BDP(O21,"ASK"),_xll.BDH(O21,"ASK",StaticData.Today,StaticData.Today)))</f>
        <v>4</v>
      </c>
      <c r="T21" s="30">
        <f>IF(O21="","",IF(StaticData.Today=TODAY(),_xll.BDP(O21,"LAST_PRICE"),_xll.BDH(O21,"LAST_PRICE",StaticData.Today,StaticData.Today)))</f>
        <v>3.95</v>
      </c>
      <c r="U21" s="27">
        <f t="shared" si="5"/>
        <v>3.95E-2</v>
      </c>
      <c r="V21" s="6"/>
      <c r="W21" s="24"/>
      <c r="X21" s="25" t="s">
        <v>389</v>
      </c>
      <c r="Y21" s="26"/>
      <c r="Z21" s="27">
        <v>1E-3</v>
      </c>
      <c r="AA21" s="6"/>
      <c r="AB21" s="24"/>
      <c r="AC21" s="25"/>
      <c r="AD21" s="26"/>
      <c r="AE21" s="27"/>
      <c r="AF21" s="6"/>
      <c r="AG21" s="6"/>
      <c r="AH21" s="6"/>
      <c r="AI21" s="6"/>
      <c r="AJ21" s="6"/>
      <c r="AK21" s="6"/>
      <c r="AL21" s="24"/>
      <c r="AM21" s="25"/>
      <c r="AN21" s="25"/>
      <c r="AO21" s="25"/>
      <c r="AP21" s="25"/>
      <c r="AQ21" s="26" t="str">
        <f>IF(AL21="","",IF(StaticData.Today=TODAY(),_xll.BDP(AL21,"LAST_PRICE"),_xll.BDH(AL21,"LAST_PRICE",StaticData.Today,StaticData.Today)))</f>
        <v/>
      </c>
      <c r="AR21" s="27"/>
      <c r="AS21" s="295"/>
      <c r="AT21" s="295"/>
      <c r="AU21" s="295"/>
      <c r="AV21" s="295"/>
      <c r="AW21" s="295"/>
      <c r="AY21" t="str">
        <f t="shared" si="2"/>
        <v>ZAR10M GFSN Curncy</v>
      </c>
      <c r="AZ21" s="25" t="s">
        <v>1576</v>
      </c>
      <c r="BB21">
        <f>IF(AY21="","",IF(StaticData.Today=TODAY(),_xll.BDP(AY21,"BID"),_xll.BDH(AY21,"BID",StaticData.Today,StaticData.Today)))</f>
        <v>5045.2</v>
      </c>
      <c r="BC21">
        <f>IF(AY21="","",IF(StaticData.Today=TODAY(),_xll.BDP(AY21,"ASK"),_xll.BDH(AY21,"ASK",StaticData.Today,StaticData.Today)))</f>
        <v>5176.1000000000004</v>
      </c>
      <c r="BD21">
        <f>IF(AY21="","",IF(StaticData.Today=TODAY(),_xll.BDP(AY21,"LAST_PRICE"),_xll.BDH(AY21,"LAST_PRICE",StaticData.Today,StaticData.Today)))</f>
        <v>5110.7</v>
      </c>
    </row>
    <row r="22" spans="1:56" x14ac:dyDescent="0.25">
      <c r="A22" s="6"/>
      <c r="B22" s="36"/>
      <c r="C22" s="36"/>
      <c r="D22" s="36"/>
      <c r="E22" s="36"/>
      <c r="F22" s="6"/>
      <c r="G22" s="24"/>
      <c r="H22" s="25"/>
      <c r="I22" s="26"/>
      <c r="J22" s="27"/>
      <c r="K22" s="6"/>
      <c r="L22" s="6"/>
      <c r="M22" s="6"/>
      <c r="N22" s="6"/>
      <c r="O22" s="24" t="str">
        <f>"SASW4"&amp;$O$2&amp;" Curncy"</f>
        <v>SASW4 TPRA Curncy</v>
      </c>
      <c r="P22" s="25" t="s">
        <v>324</v>
      </c>
      <c r="Q22" s="28"/>
      <c r="R22" s="29">
        <f>IF(O22="","",IF(StaticData.Today=TODAY(),_xll.BDP(O22,"BID"),_xll.BDH(O22,"BID",StaticData.Today,StaticData.Today)))</f>
        <v>4.3899999999999997</v>
      </c>
      <c r="S22" s="29">
        <f>IF(O22="","",IF(StaticData.Today=TODAY(),_xll.BDP(O22,"ASK"),_xll.BDH(O22,"ASK",StaticData.Today,StaticData.Today)))</f>
        <v>4.49</v>
      </c>
      <c r="T22" s="30">
        <f>IF(O22="","",IF(StaticData.Today=TODAY(),_xll.BDP(O22,"LAST_PRICE"),_xll.BDH(O22,"LAST_PRICE",StaticData.Today,StaticData.Today)))</f>
        <v>4.4400000000000004</v>
      </c>
      <c r="U22" s="27">
        <f t="shared" si="5"/>
        <v>4.4400000000000002E-2</v>
      </c>
      <c r="V22" s="6"/>
      <c r="W22" s="24"/>
      <c r="X22" s="25" t="s">
        <v>445</v>
      </c>
      <c r="Y22" s="26" t="str">
        <f>IF(W22="","",IF(StaticData.Today=TODAY(),_xll.BDP(W22,"LAST_PRICE"),_xll.BDH(W22,"LAST_PRICE",StaticData.Today,StaticData.Today)))</f>
        <v/>
      </c>
      <c r="Z22" s="27">
        <v>1E-3</v>
      </c>
      <c r="AA22" s="6"/>
      <c r="AB22" s="24"/>
      <c r="AC22" s="25"/>
      <c r="AD22" s="26" t="str">
        <f>IF(AB22="","",IF(StaticData.Today=TODAY(),_xll.BDP(AB22,"LAST_PRICE"),_xll.BDH(AB22,"LAST_PRICE",StaticData.Today,StaticData.Today)))</f>
        <v/>
      </c>
      <c r="AE22" s="27"/>
      <c r="AF22" s="6"/>
      <c r="AG22" s="6"/>
      <c r="AH22" s="6"/>
      <c r="AI22" s="6"/>
      <c r="AJ22" s="6"/>
      <c r="AK22" s="6"/>
      <c r="AL22" s="24"/>
      <c r="AM22" s="25"/>
      <c r="AN22" s="25"/>
      <c r="AO22" s="25"/>
      <c r="AP22" s="25"/>
      <c r="AQ22" s="26" t="str">
        <f>IF(AL22="","",IF(StaticData.Today=TODAY(),_xll.BDP(AL22,"LAST_PRICE"),_xll.BDH(AL22,"LAST_PRICE",StaticData.Today,StaticData.Today)))</f>
        <v/>
      </c>
      <c r="AR22" s="27"/>
      <c r="AS22" s="295"/>
      <c r="AT22" s="295"/>
      <c r="AU22" s="295"/>
      <c r="AV22" s="295"/>
      <c r="AW22" s="295"/>
      <c r="AY22" t="str">
        <f t="shared" si="2"/>
        <v>ZAR11M GFSN Curncy</v>
      </c>
      <c r="AZ22" s="25" t="s">
        <v>1577</v>
      </c>
      <c r="BB22">
        <f>IF(AY22="","",IF(StaticData.Today=TODAY(),_xll.BDP(AY22,"BID"),_xll.BDH(AY22,"BID",StaticData.Today,StaticData.Today)))</f>
        <v>5531.6</v>
      </c>
      <c r="BC22">
        <f>IF(AY22="","",IF(StaticData.Today=TODAY(),_xll.BDP(AY22,"ASK"),_xll.BDH(AY22,"ASK",StaticData.Today,StaticData.Today)))</f>
        <v>5666.2</v>
      </c>
      <c r="BD22">
        <f>IF(AY22="","",IF(StaticData.Today=TODAY(),_xll.BDP(AY22,"LAST_PRICE"),_xll.BDH(AY22,"LAST_PRICE",StaticData.Today,StaticData.Today)))</f>
        <v>5598.9</v>
      </c>
    </row>
    <row r="23" spans="1:56" x14ac:dyDescent="0.25">
      <c r="A23" s="6"/>
      <c r="B23" s="36"/>
      <c r="C23" s="36"/>
      <c r="D23" s="36"/>
      <c r="E23" s="36"/>
      <c r="F23" s="6"/>
      <c r="G23" s="24"/>
      <c r="H23" s="25"/>
      <c r="I23" s="26"/>
      <c r="J23" s="27"/>
      <c r="K23" s="6"/>
      <c r="L23" s="6"/>
      <c r="M23" s="6"/>
      <c r="N23" s="6"/>
      <c r="O23" s="24" t="str">
        <f>"SASW5"&amp;$O$2&amp;" Curncy"</f>
        <v>SASW5 TPRA Curncy</v>
      </c>
      <c r="P23" s="25" t="s">
        <v>331</v>
      </c>
      <c r="Q23" s="28"/>
      <c r="R23" s="29">
        <f>IF(O23="","",IF(StaticData.Today=TODAY(),_xll.BDP(O23,"BID"),_xll.BDH(O23,"BID",StaticData.Today,StaticData.Today)))</f>
        <v>4.9000000000000004</v>
      </c>
      <c r="S23" s="29">
        <f>IF(O23="","",IF(StaticData.Today=TODAY(),_xll.BDP(O23,"ASK"),_xll.BDH(O23,"ASK",StaticData.Today,StaticData.Today)))</f>
        <v>5</v>
      </c>
      <c r="T23" s="30">
        <f>IF(O23="","",IF(StaticData.Today=TODAY(),_xll.BDP(O23,"LAST_PRICE"),_xll.BDH(O23,"LAST_PRICE",StaticData.Today,StaticData.Today)))</f>
        <v>4.95</v>
      </c>
      <c r="U23" s="27">
        <f t="shared" si="5"/>
        <v>4.9500000000000002E-2</v>
      </c>
      <c r="V23" s="6"/>
      <c r="W23" s="24"/>
      <c r="X23" s="25" t="s">
        <v>448</v>
      </c>
      <c r="Y23" s="26" t="str">
        <f>IF(W23="","",IF(StaticData.Today=TODAY(),_xll.BDP(W23,"LAST_PRICE"),_xll.BDH(W23,"LAST_PRICE",StaticData.Today,StaticData.Today)))</f>
        <v/>
      </c>
      <c r="Z23" s="27">
        <v>1E-3</v>
      </c>
      <c r="AA23" s="6"/>
      <c r="AB23" s="24"/>
      <c r="AC23" s="25"/>
      <c r="AD23" s="26" t="str">
        <f>IF(AB23="","",IF(StaticData.Today=TODAY(),_xll.BDP(AB23,"LAST_PRICE"),_xll.BDH(AB23,"LAST_PRICE",StaticData.Today,StaticData.Today)))</f>
        <v/>
      </c>
      <c r="AE23" s="27"/>
      <c r="AF23" s="6"/>
      <c r="AG23" s="6"/>
      <c r="AH23" s="6"/>
      <c r="AI23" s="6"/>
      <c r="AJ23" s="6"/>
      <c r="AK23" s="6"/>
      <c r="AL23" s="24"/>
      <c r="AM23" s="25"/>
      <c r="AN23" s="25"/>
      <c r="AO23" s="25"/>
      <c r="AP23" s="25"/>
      <c r="AQ23" s="26" t="str">
        <f>IF(AL23="","",IF(StaticData.Today=TODAY(),_xll.BDP(AL23,"LAST_PRICE"),_xll.BDH(AL23,"LAST_PRICE",StaticData.Today,StaticData.Today)))</f>
        <v/>
      </c>
      <c r="AR23" s="27"/>
      <c r="AS23" s="295"/>
      <c r="AT23" s="295"/>
      <c r="AU23" s="295"/>
      <c r="AV23" s="295"/>
      <c r="AW23" s="295"/>
      <c r="AY23" t="str">
        <f t="shared" si="2"/>
        <v>ZAR12M GFSN Curncy</v>
      </c>
      <c r="AZ23" s="25" t="s">
        <v>322</v>
      </c>
      <c r="BB23">
        <f>IF(AY23="","",IF(StaticData.Today=TODAY(),_xll.BDP(AY23,"BID"),_xll.BDH(AY23,"BID",StaticData.Today,StaticData.Today)))</f>
        <v>5998</v>
      </c>
      <c r="BC23">
        <f>IF(AY23="","",IF(StaticData.Today=TODAY(),_xll.BDP(AY23,"ASK"),_xll.BDH(AY23,"ASK",StaticData.Today,StaticData.Today)))</f>
        <v>6112</v>
      </c>
      <c r="BD23">
        <f>IF(AY23="","",IF(StaticData.Today=TODAY(),_xll.BDP(AY23,"LAST_PRICE"),_xll.BDH(AY23,"LAST_PRICE",StaticData.Today,StaticData.Today)))</f>
        <v>6055</v>
      </c>
    </row>
    <row r="24" spans="1:56" x14ac:dyDescent="0.25">
      <c r="A24" s="6"/>
      <c r="B24" s="6"/>
      <c r="C24" s="6"/>
      <c r="D24" s="6"/>
      <c r="E24" s="6"/>
      <c r="F24" s="6"/>
      <c r="G24" s="24"/>
      <c r="H24" s="25"/>
      <c r="I24" s="26"/>
      <c r="J24" s="27"/>
      <c r="K24" s="6"/>
      <c r="L24" s="6"/>
      <c r="M24" s="6"/>
      <c r="N24" s="6"/>
      <c r="O24" s="24" t="str">
        <f>"SASW6"&amp;$O$2&amp;" Curncy"</f>
        <v>SASW6 TPRA Curncy</v>
      </c>
      <c r="P24" s="25" t="s">
        <v>339</v>
      </c>
      <c r="Q24" s="28"/>
      <c r="R24" s="29">
        <f>IF(O24="","",IF(StaticData.Today=TODAY(),_xll.BDP(O24,"BID"),_xll.BDH(O24,"BID",StaticData.Today,StaticData.Today)))</f>
        <v>5.39</v>
      </c>
      <c r="S24" s="29">
        <f>IF(O24="","",IF(StaticData.Today=TODAY(),_xll.BDP(O24,"ASK"),_xll.BDH(O24,"ASK",StaticData.Today,StaticData.Today)))</f>
        <v>5.49</v>
      </c>
      <c r="T24" s="30">
        <f>IF(O24="","",IF(StaticData.Today=TODAY(),_xll.BDP(O24,"LAST_PRICE"),_xll.BDH(O24,"LAST_PRICE",StaticData.Today,StaticData.Today)))</f>
        <v>5.44</v>
      </c>
      <c r="U24" s="27">
        <f t="shared" si="5"/>
        <v>5.4400000000000004E-2</v>
      </c>
      <c r="V24" s="6"/>
      <c r="W24" s="24"/>
      <c r="X24" s="25"/>
      <c r="Y24" s="26" t="str">
        <f>IF(W24="","",IF(StaticData.Today=TODAY(),_xll.BDP(W24,"LAST_PRICE"),_xll.BDH(W24,"LAST_PRICE",StaticData.Today,StaticData.Today)))</f>
        <v/>
      </c>
      <c r="Z24" s="27"/>
      <c r="AA24" s="6"/>
      <c r="AB24" s="24"/>
      <c r="AC24" s="25"/>
      <c r="AD24" s="26" t="str">
        <f>IF(AB24="","",IF(StaticData.Today=TODAY(),_xll.BDP(AB24,"LAST_PRICE"),_xll.BDH(AB24,"LAST_PRICE",StaticData.Today,StaticData.Today)))</f>
        <v/>
      </c>
      <c r="AE24" s="27"/>
      <c r="AF24" s="6"/>
      <c r="AG24" s="6"/>
      <c r="AH24" s="6"/>
      <c r="AI24" s="6"/>
      <c r="AJ24" s="6"/>
      <c r="AK24" s="6"/>
      <c r="AL24" s="24"/>
      <c r="AM24" s="25"/>
      <c r="AN24" s="25"/>
      <c r="AO24" s="25"/>
      <c r="AP24" s="25"/>
      <c r="AQ24" s="26" t="str">
        <f>IF(AL24="","",IF(StaticData.Today=TODAY(),_xll.BDP(AL24,"LAST_PRICE"),_xll.BDH(AL24,"LAST_PRICE",StaticData.Today,StaticData.Today)))</f>
        <v/>
      </c>
      <c r="AR24" s="27"/>
      <c r="AS24" s="295"/>
      <c r="AT24" s="295"/>
      <c r="AU24" s="295"/>
      <c r="AV24" s="295"/>
      <c r="AW24" s="295"/>
      <c r="AY24" t="str">
        <f t="shared" si="2"/>
        <v>ZAR15M GFSN Curncy</v>
      </c>
      <c r="AZ24" s="25" t="s">
        <v>823</v>
      </c>
      <c r="BB24" t="str">
        <f>IF(AY24="","",IF(StaticData.Today=TODAY(),_xll.BDP(AY24,"BID"),_xll.BDH(AY24,"BID",StaticData.Today,StaticData.Today)))</f>
        <v>#N/A N/A</v>
      </c>
      <c r="BC24" t="str">
        <f>IF(AY24="","",IF(StaticData.Today=TODAY(),_xll.BDP(AY24,"ASK"),_xll.BDH(AY24,"ASK",StaticData.Today,StaticData.Today)))</f>
        <v>#N/A N/A</v>
      </c>
      <c r="BD24" t="str">
        <f>IF(AY24="","",IF(StaticData.Today=TODAY(),_xll.BDP(AY24,"LAST_PRICE"),_xll.BDH(AY24,"LAST_PRICE",StaticData.Today,StaticData.Today)))</f>
        <v>#N/A N/A</v>
      </c>
    </row>
    <row r="25" spans="1:56" x14ac:dyDescent="0.25">
      <c r="A25" s="6"/>
      <c r="B25" s="6"/>
      <c r="C25" s="6"/>
      <c r="D25" s="6"/>
      <c r="E25" s="6"/>
      <c r="F25" s="6"/>
      <c r="G25" s="24"/>
      <c r="H25" s="25"/>
      <c r="I25" s="26"/>
      <c r="J25" s="27"/>
      <c r="K25" s="6"/>
      <c r="L25" s="6"/>
      <c r="M25" s="6"/>
      <c r="N25" s="6"/>
      <c r="O25" s="24" t="str">
        <f>"SASW7"&amp;$O$2&amp;" Curncy"</f>
        <v>SASW7 TPRA Curncy</v>
      </c>
      <c r="P25" s="25" t="s">
        <v>342</v>
      </c>
      <c r="Q25" s="28"/>
      <c r="R25" s="29">
        <f>IF(O25="","",IF(StaticData.Today=TODAY(),_xll.BDP(O25,"BID"),_xll.BDH(O25,"BID",StaticData.Today,StaticData.Today)))</f>
        <v>5.85</v>
      </c>
      <c r="S25" s="29">
        <f>IF(O25="","",IF(StaticData.Today=TODAY(),_xll.BDP(O25,"ASK"),_xll.BDH(O25,"ASK",StaticData.Today,StaticData.Today)))</f>
        <v>5.95</v>
      </c>
      <c r="T25" s="30">
        <f>IF(O25="","",IF(StaticData.Today=TODAY(),_xll.BDP(O25,"LAST_PRICE"),_xll.BDH(O25,"LAST_PRICE",StaticData.Today,StaticData.Today)))</f>
        <v>5.9</v>
      </c>
      <c r="U25" s="27">
        <f t="shared" si="5"/>
        <v>5.9000000000000004E-2</v>
      </c>
      <c r="V25" s="6"/>
      <c r="W25" s="24"/>
      <c r="X25" s="25"/>
      <c r="Y25" s="26" t="str">
        <f>IF(W25="","",IF(StaticData.Today=TODAY(),_xll.BDP(W25,"LAST_PRICE"),_xll.BDH(W25,"LAST_PRICE",StaticData.Today,StaticData.Today)))</f>
        <v/>
      </c>
      <c r="Z25" s="27"/>
      <c r="AA25" s="6"/>
      <c r="AB25" s="24"/>
      <c r="AC25" s="25"/>
      <c r="AD25" s="26" t="str">
        <f>IF(AB25="","",IF(StaticData.Today=TODAY(),_xll.BDP(AB25,"LAST_PRICE"),_xll.BDH(AB25,"LAST_PRICE",StaticData.Today,StaticData.Today)))</f>
        <v/>
      </c>
      <c r="AE25" s="27"/>
      <c r="AF25" s="6"/>
      <c r="AG25" s="6"/>
      <c r="AH25" s="6"/>
      <c r="AI25" s="6"/>
      <c r="AJ25" s="6"/>
      <c r="AK25" s="6"/>
      <c r="AL25" s="24"/>
      <c r="AM25" s="25"/>
      <c r="AN25" s="25"/>
      <c r="AO25" s="25"/>
      <c r="AP25" s="25"/>
      <c r="AQ25" s="26" t="str">
        <f>IF(AL25="","",IF(StaticData.Today=TODAY(),_xll.BDP(AL25,"LAST_PRICE"),_xll.BDH(AL25,"LAST_PRICE",StaticData.Today,StaticData.Today)))</f>
        <v/>
      </c>
      <c r="AR25" s="27"/>
      <c r="AS25" s="295"/>
      <c r="AT25" s="295"/>
      <c r="AU25" s="295"/>
      <c r="AV25" s="295"/>
      <c r="AW25" s="295"/>
      <c r="AY25" t="str">
        <f t="shared" si="2"/>
        <v>ZAR18M GFSN Curncy</v>
      </c>
      <c r="AZ25" s="25" t="s">
        <v>501</v>
      </c>
      <c r="BB25">
        <f>IF(AY25="","",IF(StaticData.Today=TODAY(),_xll.BDP(AY25,"BID"),_xll.BDH(AY25,"BID",StaticData.Today,StaticData.Today)))</f>
        <v>9184.7000000000007</v>
      </c>
      <c r="BC25">
        <f>IF(AY25="","",IF(StaticData.Today=TODAY(),_xll.BDP(AY25,"ASK"),_xll.BDH(AY25,"ASK",StaticData.Today,StaticData.Today)))</f>
        <v>9736.4</v>
      </c>
      <c r="BD25">
        <f>IF(AY25="","",IF(StaticData.Today=TODAY(),_xll.BDP(AY25,"LAST_PRICE"),_xll.BDH(AY25,"LAST_PRICE",StaticData.Today,StaticData.Today)))</f>
        <v>9460.5</v>
      </c>
    </row>
    <row r="26" spans="1:56" x14ac:dyDescent="0.25">
      <c r="A26" s="6"/>
      <c r="B26" s="6"/>
      <c r="C26" s="6"/>
      <c r="D26" s="6"/>
      <c r="E26" s="6"/>
      <c r="F26" s="6"/>
      <c r="G26" s="24"/>
      <c r="H26" s="25"/>
      <c r="I26" s="26"/>
      <c r="J26" s="27"/>
      <c r="K26" s="6"/>
      <c r="L26" s="6"/>
      <c r="M26" s="6"/>
      <c r="N26" s="6"/>
      <c r="O26" s="24" t="str">
        <f>"SASW8"&amp;$O$2&amp;" Curncy"</f>
        <v>SASW8 TPRA Curncy</v>
      </c>
      <c r="P26" s="25" t="s">
        <v>355</v>
      </c>
      <c r="Q26" s="28"/>
      <c r="R26" s="29">
        <f>IF(O26="","",IF(StaticData.Today=TODAY(),_xll.BDP(O26,"BID"),_xll.BDH(O26,"BID",StaticData.Today,StaticData.Today)))</f>
        <v>6.25</v>
      </c>
      <c r="S26" s="29">
        <f>IF(O26="","",IF(StaticData.Today=TODAY(),_xll.BDP(O26,"ASK"),_xll.BDH(O26,"ASK",StaticData.Today,StaticData.Today)))</f>
        <v>6.35</v>
      </c>
      <c r="T26" s="30">
        <f>IF(O26="","",IF(StaticData.Today=TODAY(),_xll.BDP(O26,"LAST_PRICE"),_xll.BDH(O26,"LAST_PRICE",StaticData.Today,StaticData.Today)))</f>
        <v>6.3</v>
      </c>
      <c r="U26" s="27">
        <f t="shared" si="5"/>
        <v>6.3E-2</v>
      </c>
      <c r="V26" s="6"/>
      <c r="W26" s="24"/>
      <c r="X26" s="25"/>
      <c r="Y26" s="26" t="str">
        <f>IF(W26="","",IF(StaticData.Today=TODAY(),_xll.BDP(W26,"LAST_PRICE"),_xll.BDH(W26,"LAST_PRICE",StaticData.Today,StaticData.Today)))</f>
        <v/>
      </c>
      <c r="Z26" s="27"/>
      <c r="AA26" s="6"/>
      <c r="AB26" s="24"/>
      <c r="AC26" s="25"/>
      <c r="AD26" s="26" t="str">
        <f>IF(AB26="","",IF(StaticData.Today=TODAY(),_xll.BDP(AB26,"LAST_PRICE"),_xll.BDH(AB26,"LAST_PRICE",StaticData.Today,StaticData.Today)))</f>
        <v/>
      </c>
      <c r="AE26" s="27"/>
      <c r="AF26" s="6"/>
      <c r="AG26" s="6"/>
      <c r="AH26" s="6"/>
      <c r="AI26" s="6"/>
      <c r="AJ26" s="6"/>
      <c r="AK26" s="6"/>
      <c r="AL26" s="24"/>
      <c r="AM26" s="25"/>
      <c r="AN26" s="25"/>
      <c r="AO26" s="25"/>
      <c r="AP26" s="25"/>
      <c r="AQ26" s="26" t="str">
        <f>IF(AL26="","",IF(StaticData.Today=TODAY(),_xll.BDP(AL26,"LAST_PRICE"),_xll.BDH(AL26,"LAST_PRICE",StaticData.Today,StaticData.Today)))</f>
        <v/>
      </c>
      <c r="AR26" s="27"/>
      <c r="AS26" s="295"/>
      <c r="AT26" s="295"/>
      <c r="AU26" s="295"/>
      <c r="AV26" s="295"/>
      <c r="AW26" s="295"/>
      <c r="AY26" t="str">
        <f t="shared" si="2"/>
        <v>ZAR21M GFSN Curncy</v>
      </c>
      <c r="AZ26" s="25" t="s">
        <v>834</v>
      </c>
      <c r="BB26" t="str">
        <f>IF(AY26="","",IF(StaticData.Today=TODAY(),_xll.BDP(AY26,"BID"),_xll.BDH(AY26,"BID",StaticData.Today,StaticData.Today)))</f>
        <v>#N/A N/A</v>
      </c>
      <c r="BC26" t="str">
        <f>IF(AY26="","",IF(StaticData.Today=TODAY(),_xll.BDP(AY26,"ASK"),_xll.BDH(AY26,"ASK",StaticData.Today,StaticData.Today)))</f>
        <v>#N/A N/A</v>
      </c>
      <c r="BD26" t="str">
        <f>IF(AY26="","",IF(StaticData.Today=TODAY(),_xll.BDP(AY26,"LAST_PRICE"),_xll.BDH(AY26,"LAST_PRICE",StaticData.Today,StaticData.Today)))</f>
        <v>#N/A N/A</v>
      </c>
    </row>
    <row r="27" spans="1:56" x14ac:dyDescent="0.25">
      <c r="A27" s="6"/>
      <c r="B27" s="6"/>
      <c r="C27" s="6"/>
      <c r="D27" s="6"/>
      <c r="E27" s="6"/>
      <c r="F27" s="6"/>
      <c r="G27" s="24"/>
      <c r="H27" s="25"/>
      <c r="I27" s="26"/>
      <c r="J27" s="27"/>
      <c r="K27" s="6"/>
      <c r="L27" s="6"/>
      <c r="M27" s="6"/>
      <c r="N27" s="6"/>
      <c r="O27" s="24" t="str">
        <f>"SASW9"&amp;$O$2&amp;" Curncy"</f>
        <v>SASW9 TPRA Curncy</v>
      </c>
      <c r="P27" s="25" t="s">
        <v>364</v>
      </c>
      <c r="Q27" s="28"/>
      <c r="R27" s="29">
        <f>IF(O27="","",IF(StaticData.Today=TODAY(),_xll.BDP(O27,"BID"),_xll.BDH(O27,"BID",StaticData.Today,StaticData.Today)))</f>
        <v>6.6</v>
      </c>
      <c r="S27" s="29">
        <f>IF(O27="","",IF(StaticData.Today=TODAY(),_xll.BDP(O27,"ASK"),_xll.BDH(O27,"ASK",StaticData.Today,StaticData.Today)))</f>
        <v>6.7</v>
      </c>
      <c r="T27" s="30">
        <f>IF(O27="","",IF(StaticData.Today=TODAY(),_xll.BDP(O27,"LAST_PRICE"),_xll.BDH(O27,"LAST_PRICE",StaticData.Today,StaticData.Today)))</f>
        <v>6.65</v>
      </c>
      <c r="U27" s="27">
        <f t="shared" si="5"/>
        <v>6.6500000000000004E-2</v>
      </c>
      <c r="V27" s="6"/>
      <c r="W27" s="24"/>
      <c r="X27" s="25"/>
      <c r="Y27" s="26" t="str">
        <f>IF(W27="","",IF(StaticData.Today=TODAY(),_xll.BDP(W27,"LAST_PRICE"),_xll.BDH(W27,"LAST_PRICE",StaticData.Today,StaticData.Today)))</f>
        <v/>
      </c>
      <c r="Z27" s="27"/>
      <c r="AA27" s="6"/>
      <c r="AB27" s="24"/>
      <c r="AC27" s="25"/>
      <c r="AD27" s="26" t="str">
        <f>IF(AB27="","",IF(StaticData.Today=TODAY(),_xll.BDP(AB27,"LAST_PRICE"),_xll.BDH(AB27,"LAST_PRICE",StaticData.Today,StaticData.Today)))</f>
        <v/>
      </c>
      <c r="AE27" s="27"/>
      <c r="AF27" s="6"/>
      <c r="AG27" s="6"/>
      <c r="AH27" s="6"/>
      <c r="AI27" s="6"/>
      <c r="AJ27" s="6"/>
      <c r="AK27" s="6"/>
      <c r="AL27" s="24"/>
      <c r="AM27" s="25"/>
      <c r="AN27" s="25"/>
      <c r="AO27" s="25"/>
      <c r="AP27" s="25"/>
      <c r="AQ27" s="26" t="str">
        <f>IF(AL27="","",IF(StaticData.Today=TODAY(),_xll.BDP(AL27,"LAST_PRICE"),_xll.BDH(AL27,"LAST_PRICE",StaticData.Today,StaticData.Today)))</f>
        <v/>
      </c>
      <c r="AR27" s="27"/>
      <c r="AS27" s="295"/>
      <c r="AT27" s="295"/>
      <c r="AU27" s="295"/>
      <c r="AV27" s="295"/>
      <c r="AW27" s="295"/>
      <c r="AY27" t="str">
        <f t="shared" si="2"/>
        <v>ZAR2Y GFSN Curncy</v>
      </c>
      <c r="AZ27" s="25" t="s">
        <v>308</v>
      </c>
      <c r="BB27">
        <f>IF(AY27="","",IF(StaticData.Today=TODAY(),_xll.BDP(AY27,"BID"),_xll.BDH(AY27,"BID",StaticData.Today,StaticData.Today)))</f>
        <v>12407.2</v>
      </c>
      <c r="BC27">
        <f>IF(AY27="","",IF(StaticData.Today=TODAY(),_xll.BDP(AY27,"ASK"),_xll.BDH(AY27,"ASK",StaticData.Today,StaticData.Today)))</f>
        <v>13386</v>
      </c>
      <c r="BD27">
        <f>IF(AY27="","",IF(StaticData.Today=TODAY(),_xll.BDP(AY27,"LAST_PRICE"),_xll.BDH(AY27,"LAST_PRICE",StaticData.Today,StaticData.Today)))</f>
        <v>12896.6</v>
      </c>
    </row>
    <row r="28" spans="1:56" x14ac:dyDescent="0.25">
      <c r="A28" s="6"/>
      <c r="B28" s="6"/>
      <c r="C28" s="6"/>
      <c r="D28" s="6"/>
      <c r="E28" s="6"/>
      <c r="F28" s="6"/>
      <c r="G28" s="24"/>
      <c r="H28" s="25"/>
      <c r="I28" s="26"/>
      <c r="J28" s="27"/>
      <c r="K28" s="6"/>
      <c r="L28" s="6"/>
      <c r="M28" s="6"/>
      <c r="N28" s="6"/>
      <c r="O28" s="24" t="str">
        <f>"SASW10"&amp;$O$2&amp;" Curncy"</f>
        <v>SASW10 TPRA Curncy</v>
      </c>
      <c r="P28" s="25" t="s">
        <v>349</v>
      </c>
      <c r="Q28" s="28"/>
      <c r="R28" s="29">
        <f>IF(O28="","",IF(StaticData.Today=TODAY(),_xll.BDP(O28,"BID"),_xll.BDH(O28,"BID",StaticData.Today,StaticData.Today)))</f>
        <v>6.89</v>
      </c>
      <c r="S28" s="29">
        <f>IF(O28="","",IF(StaticData.Today=TODAY(),_xll.BDP(O28,"ASK"),_xll.BDH(O28,"ASK",StaticData.Today,StaticData.Today)))</f>
        <v>6.99</v>
      </c>
      <c r="T28" s="30">
        <f>IF(O28="","",IF(StaticData.Today=TODAY(),_xll.BDP(O28,"LAST_PRICE"),_xll.BDH(O28,"LAST_PRICE",StaticData.Today,StaticData.Today)))</f>
        <v>6.94</v>
      </c>
      <c r="U28" s="27">
        <f t="shared" si="5"/>
        <v>6.9400000000000003E-2</v>
      </c>
      <c r="V28" s="6"/>
      <c r="W28" s="24"/>
      <c r="X28" s="25"/>
      <c r="Y28" s="26" t="str">
        <f>IF(W28="","",IF(StaticData.Today=TODAY(),_xll.BDP(W28,"LAST_PRICE"),_xll.BDH(W28,"LAST_PRICE",StaticData.Today,StaticData.Today)))</f>
        <v/>
      </c>
      <c r="Z28" s="27"/>
      <c r="AA28" s="6"/>
      <c r="AB28" s="24"/>
      <c r="AC28" s="25"/>
      <c r="AD28" s="26" t="str">
        <f>IF(AB28="","",IF(StaticData.Today=TODAY(),_xll.BDP(AB28,"LAST_PRICE"),_xll.BDH(AB28,"LAST_PRICE",StaticData.Today,StaticData.Today)))</f>
        <v/>
      </c>
      <c r="AE28" s="27"/>
      <c r="AF28" s="6"/>
      <c r="AG28" s="6"/>
      <c r="AH28" s="6"/>
      <c r="AI28" s="6"/>
      <c r="AJ28" s="6"/>
      <c r="AK28" s="6"/>
      <c r="AL28" s="24"/>
      <c r="AM28" s="25"/>
      <c r="AN28" s="25"/>
      <c r="AO28" s="25"/>
      <c r="AP28" s="25"/>
      <c r="AQ28" s="26" t="str">
        <f>IF(AL28="","",IF(StaticData.Today=TODAY(),_xll.BDP(AL28,"LAST_PRICE"),_xll.BDH(AL28,"LAST_PRICE",StaticData.Today,StaticData.Today)))</f>
        <v/>
      </c>
      <c r="AR28" s="27"/>
      <c r="AS28" s="295"/>
      <c r="AT28" s="295"/>
      <c r="AU28" s="295"/>
      <c r="AV28" s="295"/>
      <c r="AW28" s="295"/>
      <c r="AY28" t="str">
        <f t="shared" si="2"/>
        <v>ZAR3Y GFSN Curncy</v>
      </c>
      <c r="AZ28" s="25" t="s">
        <v>316</v>
      </c>
      <c r="BB28">
        <f>IF(AY28="","",IF(StaticData.Today=TODAY(),_xll.BDP(AY28,"BID"),_xll.BDH(AY28,"BID",StaticData.Today,StaticData.Today)))</f>
        <v>25303.4</v>
      </c>
      <c r="BC28">
        <f>IF(AY28="","",IF(StaticData.Today=TODAY(),_xll.BDP(AY28,"ASK"),_xll.BDH(AY28,"ASK",StaticData.Today,StaticData.Today)))</f>
        <v>27491.9</v>
      </c>
      <c r="BD28">
        <f>IF(AY28="","",IF(StaticData.Today=TODAY(),_xll.BDP(AY28,"LAST_PRICE"),_xll.BDH(AY28,"LAST_PRICE",StaticData.Today,StaticData.Today)))</f>
        <v>26397.599999999999</v>
      </c>
    </row>
    <row r="29" spans="1:56" x14ac:dyDescent="0.25">
      <c r="A29" s="6"/>
      <c r="B29" s="6"/>
      <c r="C29" s="6"/>
      <c r="D29" s="6"/>
      <c r="E29" s="6"/>
      <c r="F29" s="6"/>
      <c r="G29" s="24"/>
      <c r="H29" s="25"/>
      <c r="I29" s="26"/>
      <c r="J29" s="27"/>
      <c r="K29" s="6"/>
      <c r="L29" s="6"/>
      <c r="M29" s="6"/>
      <c r="N29" s="6"/>
      <c r="O29" s="24" t="str">
        <f>"SASW12"&amp;$O$2&amp;" Curncy"</f>
        <v>SASW12 TPRA Curncy</v>
      </c>
      <c r="P29" s="25" t="s">
        <v>358</v>
      </c>
      <c r="Q29" s="28"/>
      <c r="R29" s="29">
        <f>IF(O29="","",IF(StaticData.Today=TODAY(),_xll.BDP(O29,"BID"),_xll.BDH(O29,"BID",StaticData.Today,StaticData.Today)))</f>
        <v>7.35</v>
      </c>
      <c r="S29" s="29">
        <f>IF(O29="","",IF(StaticData.Today=TODAY(),_xll.BDP(O29,"ASK"),_xll.BDH(O29,"ASK",StaticData.Today,StaticData.Today)))</f>
        <v>7.45</v>
      </c>
      <c r="T29" s="30">
        <f>IF(O29="","",IF(StaticData.Today=TODAY(),_xll.BDP(O29,"LAST_PRICE"),_xll.BDH(O29,"LAST_PRICE",StaticData.Today,StaticData.Today)))</f>
        <v>7.4</v>
      </c>
      <c r="U29" s="27">
        <f t="shared" si="5"/>
        <v>7.400000000000001E-2</v>
      </c>
      <c r="V29" s="6"/>
      <c r="W29" s="24"/>
      <c r="X29" s="25"/>
      <c r="Y29" s="26" t="str">
        <f>IF(W29="","",IF(StaticData.Today=TODAY(),_xll.BDP(W29,"LAST_PRICE"),_xll.BDH(W29,"LAST_PRICE",StaticData.Today,StaticData.Today)))</f>
        <v/>
      </c>
      <c r="Z29" s="27"/>
      <c r="AA29" s="6"/>
      <c r="AB29" s="24"/>
      <c r="AC29" s="25"/>
      <c r="AD29" s="26" t="str">
        <f>IF(AB29="","",IF(StaticData.Today=TODAY(),_xll.BDP(AB29,"LAST_PRICE"),_xll.BDH(AB29,"LAST_PRICE",StaticData.Today,StaticData.Today)))</f>
        <v/>
      </c>
      <c r="AE29" s="27"/>
      <c r="AF29" s="6"/>
      <c r="AG29" s="6"/>
      <c r="AH29" s="6"/>
      <c r="AI29" s="6"/>
      <c r="AJ29" s="6"/>
      <c r="AK29" s="6"/>
      <c r="AL29" s="24"/>
      <c r="AM29" s="25"/>
      <c r="AN29" s="25"/>
      <c r="AO29" s="25"/>
      <c r="AP29" s="25"/>
      <c r="AQ29" s="26" t="str">
        <f>IF(AL29="","",IF(StaticData.Today=TODAY(),_xll.BDP(AL29,"LAST_PRICE"),_xll.BDH(AL29,"LAST_PRICE",StaticData.Today,StaticData.Today)))</f>
        <v/>
      </c>
      <c r="AR29" s="27"/>
      <c r="AS29" s="295"/>
      <c r="AT29" s="295"/>
      <c r="AU29" s="295"/>
      <c r="AV29" s="295"/>
      <c r="AW29" s="295"/>
      <c r="AY29" t="str">
        <f t="shared" ref="AY29:AY30" si="6">"ZAR"&amp;AZ29&amp;$AY$1&amp;" Curncy"</f>
        <v>ZAR4Y GFSN Curncy</v>
      </c>
      <c r="AZ29" s="25" t="s">
        <v>324</v>
      </c>
      <c r="BB29">
        <f>IF(AY29="","",IF(StaticData.Today=TODAY(),_xll.BDP(AY29,"BID"),_xll.BDH(AY29,"BID",StaticData.Today,StaticData.Today)))</f>
        <v>38270.400000000001</v>
      </c>
      <c r="BC29">
        <f>IF(AY29="","",IF(StaticData.Today=TODAY(),_xll.BDP(AY29,"ASK"),_xll.BDH(AY29,"ASK",StaticData.Today,StaticData.Today)))</f>
        <v>41675.4</v>
      </c>
      <c r="BD29">
        <f>IF(AY29="","",IF(StaticData.Today=TODAY(),_xll.BDP(AY29,"LAST_PRICE"),_xll.BDH(AY29,"LAST_PRICE",StaticData.Today,StaticData.Today)))</f>
        <v>39972.9</v>
      </c>
    </row>
    <row r="30" spans="1:56" x14ac:dyDescent="0.25">
      <c r="A30" s="6"/>
      <c r="B30" s="6"/>
      <c r="C30" s="6"/>
      <c r="D30" s="6"/>
      <c r="E30" s="6"/>
      <c r="F30" s="6"/>
      <c r="G30" s="24"/>
      <c r="H30" s="25"/>
      <c r="I30" s="26"/>
      <c r="J30" s="27"/>
      <c r="K30" s="6"/>
      <c r="L30" s="6"/>
      <c r="M30" s="6"/>
      <c r="N30" s="6"/>
      <c r="O30" s="24" t="str">
        <f>"SASW15"&amp;$O$2&amp;" Curncy"</f>
        <v>SASW15 TPRA Curncy</v>
      </c>
      <c r="P30" s="25" t="s">
        <v>367</v>
      </c>
      <c r="Q30" s="28"/>
      <c r="R30" s="29">
        <f>IF(O30="","",IF(StaticData.Today=TODAY(),_xll.BDP(O30,"BID"),_xll.BDH(O30,"BID",StaticData.Today,StaticData.Today)))</f>
        <v>7.73</v>
      </c>
      <c r="S30" s="29">
        <f>IF(O30="","",IF(StaticData.Today=TODAY(),_xll.BDP(O30,"ASK"),_xll.BDH(O30,"ASK",StaticData.Today,StaticData.Today)))</f>
        <v>7.83</v>
      </c>
      <c r="T30" s="30">
        <f>IF(O30="","",IF(StaticData.Today=TODAY(),_xll.BDP(O30,"LAST_PRICE"),_xll.BDH(O30,"LAST_PRICE",StaticData.Today,StaticData.Today)))</f>
        <v>7.78</v>
      </c>
      <c r="U30" s="27">
        <f t="shared" si="5"/>
        <v>7.7800000000000008E-2</v>
      </c>
      <c r="V30" s="6"/>
      <c r="W30" s="24"/>
      <c r="X30" s="25"/>
      <c r="Y30" s="26" t="str">
        <f>IF(W30="","",IF(StaticData.Today=TODAY(),_xll.BDP(W30,"LAST_PRICE"),_xll.BDH(W30,"LAST_PRICE",StaticData.Today,StaticData.Today)))</f>
        <v/>
      </c>
      <c r="Z30" s="27"/>
      <c r="AA30" s="6"/>
      <c r="AB30" s="24"/>
      <c r="AC30" s="25"/>
      <c r="AD30" s="26" t="str">
        <f>IF(AB30="","",IF(StaticData.Today=TODAY(),_xll.BDP(AB30,"LAST_PRICE"),_xll.BDH(AB30,"LAST_PRICE",StaticData.Today,StaticData.Today)))</f>
        <v/>
      </c>
      <c r="AE30" s="27"/>
      <c r="AF30" s="6"/>
      <c r="AG30" s="6"/>
      <c r="AH30" s="6"/>
      <c r="AI30" s="6"/>
      <c r="AJ30" s="6"/>
      <c r="AK30" s="6"/>
      <c r="AL30" s="24"/>
      <c r="AM30" s="25"/>
      <c r="AN30" s="25"/>
      <c r="AO30" s="25"/>
      <c r="AP30" s="25"/>
      <c r="AQ30" s="26" t="str">
        <f>IF(AL30="","",IF(StaticData.Today=TODAY(),_xll.BDP(AL30,"LAST_PRICE"),_xll.BDH(AL30,"LAST_PRICE",StaticData.Today,StaticData.Today)))</f>
        <v/>
      </c>
      <c r="AR30" s="27"/>
      <c r="AS30" s="295"/>
      <c r="AT30" s="295"/>
      <c r="AU30" s="295"/>
      <c r="AV30" s="295"/>
      <c r="AW30" s="295"/>
      <c r="AY30" t="str">
        <f t="shared" si="6"/>
        <v>ZAR5Y GFSN Curncy</v>
      </c>
      <c r="AZ30" s="25" t="s">
        <v>331</v>
      </c>
      <c r="BB30">
        <f>IF(AY30="","",IF(StaticData.Today=TODAY(),_xll.BDP(AY30,"BID"),_xll.BDH(AY30,"BID",StaticData.Today,StaticData.Today)))</f>
        <v>51202</v>
      </c>
      <c r="BC30">
        <f>IF(AY30="","",IF(StaticData.Today=TODAY(),_xll.BDP(AY30,"ASK"),_xll.BDH(AY30,"ASK",StaticData.Today,StaticData.Today)))</f>
        <v>55820.1</v>
      </c>
      <c r="BD30">
        <f>IF(AY30="","",IF(StaticData.Today=TODAY(),_xll.BDP(AY30,"LAST_PRICE"),_xll.BDH(AY30,"LAST_PRICE",StaticData.Today,StaticData.Today)))</f>
        <v>53511.1</v>
      </c>
    </row>
    <row r="31" spans="1:56" x14ac:dyDescent="0.25">
      <c r="A31" s="6"/>
      <c r="B31" s="6"/>
      <c r="C31" s="6"/>
      <c r="D31" s="6"/>
      <c r="E31" s="6"/>
      <c r="F31" s="6"/>
      <c r="G31" s="24"/>
      <c r="H31" s="25"/>
      <c r="I31" s="26"/>
      <c r="J31" s="27"/>
      <c r="K31" s="6"/>
      <c r="L31" s="6"/>
      <c r="M31" s="6"/>
      <c r="N31" s="6"/>
      <c r="O31" s="24" t="str">
        <f>"SASW20"&amp;$O$2&amp;" Curncy"</f>
        <v>SASW20 TPRA Curncy</v>
      </c>
      <c r="P31" s="25" t="s">
        <v>374</v>
      </c>
      <c r="Q31" s="28"/>
      <c r="R31" s="29">
        <f>IF(O31="","",IF(StaticData.Today=TODAY(),_xll.BDP(O31,"BID"),_xll.BDH(O31,"BID",StaticData.Today,StaticData.Today)))</f>
        <v>7.93</v>
      </c>
      <c r="S31" s="29">
        <f>IF(O31="","",IF(StaticData.Today=TODAY(),_xll.BDP(O31,"ASK"),_xll.BDH(O31,"ASK",StaticData.Today,StaticData.Today)))</f>
        <v>8.0299999999999994</v>
      </c>
      <c r="T31" s="30">
        <f>IF(O31="","",IF(StaticData.Today=TODAY(),_xll.BDP(O31,"LAST_PRICE"),_xll.BDH(O31,"LAST_PRICE",StaticData.Today,StaticData.Today)))</f>
        <v>7.98</v>
      </c>
      <c r="U31" s="27">
        <f t="shared" si="5"/>
        <v>7.980000000000001E-2</v>
      </c>
      <c r="V31" s="6"/>
      <c r="W31" s="24"/>
      <c r="X31" s="25"/>
      <c r="Y31" s="26" t="str">
        <f>IF(W31="","",IF(StaticData.Today=TODAY(),_xll.BDP(W31,"LAST_PRICE"),_xll.BDH(W31,"LAST_PRICE",StaticData.Today,StaticData.Today)))</f>
        <v/>
      </c>
      <c r="Z31" s="27"/>
      <c r="AA31" s="6"/>
      <c r="AB31" s="24"/>
      <c r="AC31" s="25"/>
      <c r="AD31" s="26" t="str">
        <f>IF(AB31="","",IF(StaticData.Today=TODAY(),_xll.BDP(AB31,"LAST_PRICE"),_xll.BDH(AB31,"LAST_PRICE",StaticData.Today,StaticData.Today)))</f>
        <v/>
      </c>
      <c r="AE31" s="27"/>
      <c r="AF31" s="6"/>
      <c r="AG31" s="6"/>
      <c r="AH31" s="6"/>
      <c r="AI31" s="6"/>
      <c r="AJ31" s="6"/>
      <c r="AK31" s="6"/>
      <c r="AL31" s="24"/>
      <c r="AM31" s="25"/>
      <c r="AN31" s="25"/>
      <c r="AO31" s="25"/>
      <c r="AP31" s="25"/>
      <c r="AQ31" s="26" t="str">
        <f>IF(AL31="","",IF(StaticData.Today=TODAY(),_xll.BDP(AL31,"LAST_PRICE"),_xll.BDH(AL31,"LAST_PRICE",StaticData.Today,StaticData.Today)))</f>
        <v/>
      </c>
      <c r="AR31" s="27"/>
      <c r="AS31" s="295"/>
      <c r="AT31" s="295"/>
      <c r="AU31" s="295"/>
      <c r="AV31" s="295"/>
      <c r="AW31" s="295"/>
    </row>
    <row r="32" spans="1:56" x14ac:dyDescent="0.25">
      <c r="A32" s="6"/>
      <c r="B32" s="6"/>
      <c r="C32" s="6"/>
      <c r="D32" s="6"/>
      <c r="E32" s="6"/>
      <c r="F32" s="6"/>
      <c r="G32" s="24"/>
      <c r="H32" s="25"/>
      <c r="I32" s="26"/>
      <c r="J32" s="27"/>
      <c r="K32" s="6"/>
      <c r="L32" s="6"/>
      <c r="M32" s="6"/>
      <c r="N32" s="6"/>
      <c r="O32" s="24" t="str">
        <f>"SASW30"&amp;$O$2&amp;" Curncy"</f>
        <v>SASW30 TPRA Curncy</v>
      </c>
      <c r="P32" s="25" t="s">
        <v>389</v>
      </c>
      <c r="Q32" s="28"/>
      <c r="R32" s="29">
        <f>IF(O32="","",IF(StaticData.Today=TODAY(),_xll.BDP(O32,"BID"),_xll.BDH(O32,"BID",StaticData.Today,StaticData.Today)))</f>
        <v>8.0500000000000007</v>
      </c>
      <c r="S32" s="29">
        <f>IF(O32="","",IF(StaticData.Today=TODAY(),_xll.BDP(O32,"ASK"),_xll.BDH(O32,"ASK",StaticData.Today,StaticData.Today)))</f>
        <v>8.15</v>
      </c>
      <c r="T32" s="30">
        <f>IF(O32="","",IF(StaticData.Today=TODAY(),_xll.BDP(O32,"LAST_PRICE"),_xll.BDH(O32,"LAST_PRICE",StaticData.Today,StaticData.Today)))</f>
        <v>8.1</v>
      </c>
      <c r="U32" s="27">
        <f t="shared" ref="U32" si="7">T32/100</f>
        <v>8.1000000000000003E-2</v>
      </c>
      <c r="V32" s="6"/>
      <c r="W32" s="24"/>
      <c r="X32" s="25"/>
      <c r="Y32" s="26" t="str">
        <f>IF(W32="","",IF(StaticData.Today=TODAY(),_xll.BDP(W32,"LAST_PRICE"),_xll.BDH(W32,"LAST_PRICE",StaticData.Today,StaticData.Today)))</f>
        <v/>
      </c>
      <c r="Z32" s="27"/>
      <c r="AA32" s="6"/>
      <c r="AB32" s="24"/>
      <c r="AC32" s="25"/>
      <c r="AD32" s="26" t="str">
        <f>IF(AB32="","",IF(StaticData.Today=TODAY(),_xll.BDP(AB32,"LAST_PRICE"),_xll.BDH(AB32,"LAST_PRICE",StaticData.Today,StaticData.Today)))</f>
        <v/>
      </c>
      <c r="AE32" s="27"/>
      <c r="AF32" s="6"/>
      <c r="AG32" s="6"/>
      <c r="AH32" s="6"/>
      <c r="AI32" s="6"/>
      <c r="AJ32" s="6"/>
      <c r="AK32" s="6"/>
      <c r="AL32" s="24"/>
      <c r="AM32" s="25"/>
      <c r="AN32" s="25"/>
      <c r="AO32" s="25"/>
      <c r="AP32" s="25"/>
      <c r="AQ32" s="26" t="str">
        <f>IF(AL32="","",IF(StaticData.Today=TODAY(),_xll.BDP(AL32,"LAST_PRICE"),_xll.BDH(AL32,"LAST_PRICE",StaticData.Today,StaticData.Today)))</f>
        <v/>
      </c>
      <c r="AR32" s="27"/>
      <c r="AS32" s="295"/>
      <c r="AT32" s="295"/>
      <c r="AU32" s="295"/>
      <c r="AV32" s="295"/>
      <c r="AW32" s="295"/>
    </row>
    <row r="33" spans="1:49" x14ac:dyDescent="0.25">
      <c r="A33" s="6"/>
      <c r="B33" s="6"/>
      <c r="C33" s="6"/>
      <c r="D33" s="6"/>
      <c r="E33" s="6"/>
      <c r="F33" s="6"/>
      <c r="G33" s="24"/>
      <c r="H33" s="25"/>
      <c r="I33" s="26"/>
      <c r="J33" s="27"/>
      <c r="K33" s="6"/>
      <c r="L33" s="6"/>
      <c r="M33" s="6"/>
      <c r="N33" s="6"/>
      <c r="O33" s="24"/>
      <c r="P33" s="25"/>
      <c r="Q33" s="28"/>
      <c r="R33" s="29"/>
      <c r="S33" s="29"/>
      <c r="T33" s="30"/>
      <c r="U33" s="27"/>
      <c r="V33" s="6"/>
      <c r="W33" s="24"/>
      <c r="X33" s="25"/>
      <c r="Y33" s="26" t="str">
        <f>IF(W33="","",IF(StaticData.Today=TODAY(),_xll.BDP(W33,"LAST_PRICE"),_xll.BDH(W33,"LAST_PRICE",StaticData.Today,StaticData.Today)))</f>
        <v/>
      </c>
      <c r="Z33" s="27"/>
      <c r="AA33" s="6"/>
      <c r="AB33" s="24"/>
      <c r="AC33" s="25"/>
      <c r="AD33" s="26" t="str">
        <f>IF(AB33="","",IF(StaticData.Today=TODAY(),_xll.BDP(AB33,"LAST_PRICE"),_xll.BDH(AB33,"LAST_PRICE",StaticData.Today,StaticData.Today)))</f>
        <v/>
      </c>
      <c r="AE33" s="27"/>
      <c r="AF33" s="6"/>
      <c r="AG33" s="6"/>
      <c r="AH33" s="6"/>
      <c r="AI33" s="6"/>
      <c r="AJ33" s="6"/>
      <c r="AK33" s="6"/>
      <c r="AL33" s="24"/>
      <c r="AM33" s="25"/>
      <c r="AN33" s="25"/>
      <c r="AO33" s="25"/>
      <c r="AP33" s="25"/>
      <c r="AQ33" s="26" t="str">
        <f>IF(AL33="","",IF(StaticData.Today=TODAY(),_xll.BDP(AL33,"LAST_PRICE"),_xll.BDH(AL33,"LAST_PRICE",StaticData.Today,StaticData.Today)))</f>
        <v/>
      </c>
      <c r="AR33" s="27"/>
      <c r="AS33" s="295"/>
      <c r="AT33" s="295"/>
      <c r="AU33" s="295"/>
      <c r="AV33" s="295"/>
      <c r="AW33" s="295"/>
    </row>
    <row r="34" spans="1:49" x14ac:dyDescent="0.25">
      <c r="A34" s="6"/>
      <c r="B34" s="6"/>
      <c r="C34" s="6"/>
      <c r="D34" s="6"/>
      <c r="E34" s="6"/>
      <c r="F34" s="6"/>
      <c r="G34" s="24"/>
      <c r="H34" s="25"/>
      <c r="I34" s="26"/>
      <c r="J34" s="27"/>
      <c r="K34" s="6"/>
      <c r="L34" s="6"/>
      <c r="M34" s="6"/>
      <c r="N34" s="6"/>
      <c r="O34" s="24"/>
      <c r="P34" s="25"/>
      <c r="Q34" s="28"/>
      <c r="R34" s="29"/>
      <c r="S34" s="29"/>
      <c r="T34" s="30"/>
      <c r="U34" s="27"/>
      <c r="V34" s="6"/>
      <c r="W34" s="24"/>
      <c r="X34" s="25"/>
      <c r="Y34" s="26" t="str">
        <f>IF(W34="","",IF(StaticData.Today=TODAY(),_xll.BDP(W34,"LAST_PRICE"),_xll.BDH(W34,"LAST_PRICE",StaticData.Today,StaticData.Today)))</f>
        <v/>
      </c>
      <c r="Z34" s="27"/>
      <c r="AA34" s="6"/>
      <c r="AB34" s="24"/>
      <c r="AC34" s="25"/>
      <c r="AD34" s="26" t="str">
        <f>IF(AB34="","",IF(StaticData.Today=TODAY(),_xll.BDP(AB34,"LAST_PRICE"),_xll.BDH(AB34,"LAST_PRICE",StaticData.Today,StaticData.Today)))</f>
        <v/>
      </c>
      <c r="AE34" s="27"/>
      <c r="AF34" s="6"/>
      <c r="AG34" s="6"/>
      <c r="AH34" s="6"/>
      <c r="AI34" s="6"/>
      <c r="AJ34" s="6"/>
      <c r="AK34" s="6"/>
      <c r="AL34" s="24"/>
      <c r="AM34" s="25"/>
      <c r="AN34" s="25"/>
      <c r="AO34" s="25"/>
      <c r="AP34" s="25"/>
      <c r="AQ34" s="26" t="str">
        <f>IF(AL34="","",IF(StaticData.Today=TODAY(),_xll.BDP(AL34,"LAST_PRICE"),_xll.BDH(AL34,"LAST_PRICE",StaticData.Today,StaticData.Today)))</f>
        <v/>
      </c>
      <c r="AR34" s="27"/>
      <c r="AS34" s="295"/>
      <c r="AT34" s="295"/>
      <c r="AU34" s="295"/>
      <c r="AV34" s="295"/>
      <c r="AW34" s="295"/>
    </row>
    <row r="35" spans="1:49" x14ac:dyDescent="0.25">
      <c r="A35" s="6"/>
      <c r="B35" s="6"/>
      <c r="C35" s="6"/>
      <c r="D35" s="6"/>
      <c r="E35" s="6"/>
      <c r="F35" s="6"/>
      <c r="G35" s="24"/>
      <c r="H35" s="25"/>
      <c r="I35" s="26"/>
      <c r="J35" s="27"/>
      <c r="K35" s="6"/>
      <c r="L35" s="6"/>
      <c r="M35" s="6"/>
      <c r="N35" s="6"/>
      <c r="O35" s="24"/>
      <c r="P35" s="25"/>
      <c r="Q35" s="28"/>
      <c r="R35" s="29"/>
      <c r="S35" s="29"/>
      <c r="T35" s="30"/>
      <c r="U35" s="27"/>
      <c r="V35" s="6"/>
      <c r="W35" s="24"/>
      <c r="X35" s="25"/>
      <c r="Y35" s="26" t="str">
        <f>IF(W35="","",IF(StaticData.Today=TODAY(),_xll.BDP(W35,"LAST_PRICE"),_xll.BDH(W35,"LAST_PRICE",StaticData.Today,StaticData.Today)))</f>
        <v/>
      </c>
      <c r="Z35" s="27"/>
      <c r="AA35" s="6"/>
      <c r="AB35" s="24"/>
      <c r="AC35" s="25"/>
      <c r="AD35" s="26" t="str">
        <f>IF(AB35="","",IF(StaticData.Today=TODAY(),_xll.BDP(AB35,"LAST_PRICE"),_xll.BDH(AB35,"LAST_PRICE",StaticData.Today,StaticData.Today)))</f>
        <v/>
      </c>
      <c r="AE35" s="27"/>
      <c r="AF35" s="6"/>
      <c r="AG35" s="6"/>
      <c r="AH35" s="6"/>
      <c r="AI35" s="6"/>
      <c r="AJ35" s="6"/>
      <c r="AK35" s="6"/>
      <c r="AL35" s="24"/>
      <c r="AM35" s="25"/>
      <c r="AN35" s="25"/>
      <c r="AO35" s="25"/>
      <c r="AP35" s="25"/>
      <c r="AQ35" s="26" t="str">
        <f>IF(AL35="","",IF(StaticData.Today=TODAY(),_xll.BDP(AL35,"LAST_PRICE"),_xll.BDH(AL35,"LAST_PRICE",StaticData.Today,StaticData.Today)))</f>
        <v/>
      </c>
      <c r="AR35" s="27"/>
      <c r="AS35" s="295"/>
      <c r="AT35" s="295"/>
      <c r="AU35" s="295"/>
      <c r="AV35" s="295"/>
      <c r="AW35" s="295"/>
    </row>
    <row r="36" spans="1:49" x14ac:dyDescent="0.25">
      <c r="A36" s="6"/>
      <c r="B36" s="6"/>
      <c r="C36" s="6"/>
      <c r="D36" s="6"/>
      <c r="E36" s="6"/>
      <c r="F36" s="6"/>
      <c r="G36" s="24"/>
      <c r="H36" s="25"/>
      <c r="I36" s="26"/>
      <c r="J36" s="27"/>
      <c r="K36" s="6"/>
      <c r="L36" s="6"/>
      <c r="M36" s="6"/>
      <c r="N36" s="6"/>
      <c r="O36" s="24"/>
      <c r="P36" s="25"/>
      <c r="Q36" s="28"/>
      <c r="R36" s="29"/>
      <c r="S36" s="29"/>
      <c r="T36" s="30"/>
      <c r="U36" s="27"/>
      <c r="V36" s="6"/>
      <c r="W36" s="24"/>
      <c r="X36" s="25"/>
      <c r="Y36" s="26" t="str">
        <f>IF(W36="","",IF(StaticData.Today=TODAY(),_xll.BDP(W36,"LAST_PRICE"),_xll.BDH(W36,"LAST_PRICE",StaticData.Today,StaticData.Today)))</f>
        <v/>
      </c>
      <c r="Z36" s="27"/>
      <c r="AA36" s="6"/>
      <c r="AB36" s="24"/>
      <c r="AC36" s="25"/>
      <c r="AD36" s="26" t="str">
        <f>IF(AB36="","",IF(StaticData.Today=TODAY(),_xll.BDP(AB36,"LAST_PRICE"),_xll.BDH(AB36,"LAST_PRICE",StaticData.Today,StaticData.Today)))</f>
        <v/>
      </c>
      <c r="AE36" s="27"/>
      <c r="AF36" s="6"/>
      <c r="AG36" s="6"/>
      <c r="AH36" s="6"/>
      <c r="AI36" s="6"/>
      <c r="AJ36" s="6"/>
      <c r="AK36" s="6"/>
      <c r="AL36" s="24"/>
      <c r="AM36" s="25"/>
      <c r="AN36" s="25"/>
      <c r="AO36" s="25"/>
      <c r="AP36" s="25"/>
      <c r="AQ36" s="26" t="str">
        <f>IF(AL36="","",IF(StaticData.Today=TODAY(),_xll.BDP(AL36,"LAST_PRICE"),_xll.BDH(AL36,"LAST_PRICE",StaticData.Today,StaticData.Today)))</f>
        <v/>
      </c>
      <c r="AR36" s="27"/>
      <c r="AS36" s="295"/>
      <c r="AT36" s="295"/>
      <c r="AU36" s="295"/>
      <c r="AV36" s="295"/>
      <c r="AW36" s="295"/>
    </row>
    <row r="37" spans="1:49" x14ac:dyDescent="0.25">
      <c r="A37" s="6"/>
      <c r="B37" s="6"/>
      <c r="C37" s="6"/>
      <c r="D37" s="6"/>
      <c r="E37" s="6"/>
      <c r="F37" s="6"/>
      <c r="G37" s="24"/>
      <c r="H37" s="25"/>
      <c r="I37" s="26"/>
      <c r="J37" s="27"/>
      <c r="K37" s="37"/>
      <c r="L37" s="37"/>
      <c r="M37" s="37"/>
      <c r="N37" s="37"/>
      <c r="O37" s="24"/>
      <c r="P37" s="25"/>
      <c r="Q37" s="28"/>
      <c r="R37" s="29"/>
      <c r="S37" s="29"/>
      <c r="T37" s="30"/>
      <c r="U37" s="27"/>
      <c r="V37" s="6"/>
      <c r="W37" s="24"/>
      <c r="X37" s="25"/>
      <c r="Y37" s="26" t="str">
        <f>IF(W37="","",IF(StaticData.Today=TODAY(),_xll.BDP(W37,"LAST_PRICE"),_xll.BDH(W37,"LAST_PRICE",StaticData.Today,StaticData.Today)))</f>
        <v/>
      </c>
      <c r="Z37" s="27"/>
      <c r="AA37" s="6"/>
      <c r="AB37" s="24"/>
      <c r="AC37" s="25"/>
      <c r="AD37" s="26" t="str">
        <f>IF(AB37="","",IF(StaticData.Today=TODAY(),_xll.BDP(AB37,"LAST_PRICE"),_xll.BDH(AB37,"LAST_PRICE",StaticData.Today,StaticData.Today)))</f>
        <v/>
      </c>
      <c r="AE37" s="27"/>
      <c r="AF37" s="6"/>
      <c r="AG37" s="6"/>
      <c r="AH37" s="6"/>
      <c r="AI37" s="6"/>
      <c r="AJ37" s="6"/>
      <c r="AK37" s="6"/>
      <c r="AL37" s="24"/>
      <c r="AM37" s="25"/>
      <c r="AN37" s="25"/>
      <c r="AO37" s="25"/>
      <c r="AP37" s="25"/>
      <c r="AQ37" s="26" t="str">
        <f>IF(AL37="","",IF(StaticData.Today=TODAY(),_xll.BDP(AL37,"LAST_PRICE"),_xll.BDH(AL37,"LAST_PRICE",StaticData.Today,StaticData.Today)))</f>
        <v/>
      </c>
      <c r="AR37" s="27"/>
      <c r="AS37" s="295"/>
      <c r="AT37" s="295"/>
      <c r="AU37" s="295"/>
      <c r="AV37" s="295"/>
      <c r="AW37" s="295"/>
    </row>
    <row r="38" spans="1:49" x14ac:dyDescent="0.25">
      <c r="A38" s="6"/>
      <c r="B38" s="6"/>
      <c r="C38" s="6"/>
      <c r="D38" s="6"/>
      <c r="E38" s="6"/>
      <c r="F38" s="6"/>
      <c r="G38" s="24"/>
      <c r="H38" s="25"/>
      <c r="I38" s="26"/>
      <c r="J38" s="27"/>
      <c r="K38" s="37"/>
      <c r="L38" s="37"/>
      <c r="M38" s="37"/>
      <c r="N38" s="37"/>
      <c r="O38" s="24"/>
      <c r="P38" s="25"/>
      <c r="Q38" s="28"/>
      <c r="R38" s="29"/>
      <c r="S38" s="29"/>
      <c r="T38" s="30"/>
      <c r="U38" s="27"/>
      <c r="V38" s="6"/>
      <c r="W38" s="24"/>
      <c r="X38" s="25"/>
      <c r="Y38" s="26" t="str">
        <f>IF(W38="","",IF(StaticData.Today=TODAY(),_xll.BDP(W38,"LAST_PRICE"),_xll.BDH(W38,"LAST_PRICE",StaticData.Today,StaticData.Today)))</f>
        <v/>
      </c>
      <c r="Z38" s="27"/>
      <c r="AA38" s="6"/>
      <c r="AB38" s="24"/>
      <c r="AC38" s="25"/>
      <c r="AD38" s="26" t="str">
        <f>IF(AB38="","",IF(StaticData.Today=TODAY(),_xll.BDP(AB38,"LAST_PRICE"),_xll.BDH(AB38,"LAST_PRICE",StaticData.Today,StaticData.Today)))</f>
        <v/>
      </c>
      <c r="AE38" s="27"/>
      <c r="AF38" s="6"/>
      <c r="AG38" s="6"/>
      <c r="AH38" s="6"/>
      <c r="AI38" s="6"/>
      <c r="AJ38" s="6"/>
      <c r="AK38" s="6"/>
      <c r="AL38" s="24"/>
      <c r="AM38" s="25"/>
      <c r="AN38" s="25"/>
      <c r="AO38" s="25"/>
      <c r="AP38" s="25"/>
      <c r="AQ38" s="26" t="str">
        <f>IF(AL38="","",IF(StaticData.Today=TODAY(),_xll.BDP(AL38,"LAST_PRICE"),_xll.BDH(AL38,"LAST_PRICE",StaticData.Today,StaticData.Today)))</f>
        <v/>
      </c>
      <c r="AR38" s="27"/>
      <c r="AS38" s="295"/>
      <c r="AT38" s="295"/>
      <c r="AU38" s="295"/>
      <c r="AV38" s="295"/>
      <c r="AW38" s="295"/>
    </row>
    <row r="39" spans="1:49" x14ac:dyDescent="0.25">
      <c r="A39" s="6"/>
      <c r="B39" s="6"/>
      <c r="C39" s="6"/>
      <c r="D39" s="6"/>
      <c r="E39" s="6"/>
      <c r="F39" s="6"/>
      <c r="G39" s="24"/>
      <c r="H39" s="25"/>
      <c r="I39" s="26"/>
      <c r="J39" s="27"/>
      <c r="K39" s="6"/>
      <c r="L39" s="6"/>
      <c r="M39" s="6"/>
      <c r="N39" s="6"/>
      <c r="O39" s="24"/>
      <c r="P39" s="25"/>
      <c r="Q39" s="28"/>
      <c r="R39" s="29"/>
      <c r="S39" s="29"/>
      <c r="T39" s="30" t="str">
        <f>IF(O39="","",IF(StaticData.Today=TODAY(),_xll.BDP(O39,"LAST_PRICE"),_xll.BDH(O39,"LAST_PRICE",StaticData.Today,StaticData.Today)))</f>
        <v/>
      </c>
      <c r="U39" s="27"/>
      <c r="V39" s="6"/>
      <c r="W39" s="24"/>
      <c r="X39" s="25"/>
      <c r="Y39" s="26" t="str">
        <f>IF(W39="","",IF(StaticData.Today=TODAY(),_xll.BDP(W39,"LAST_PRICE"),_xll.BDH(W39,"LAST_PRICE",StaticData.Today,StaticData.Today)))</f>
        <v/>
      </c>
      <c r="Z39" s="27"/>
      <c r="AA39" s="6"/>
      <c r="AB39" s="24"/>
      <c r="AC39" s="25"/>
      <c r="AD39" s="26" t="str">
        <f>IF(AB39="","",IF(StaticData.Today=TODAY(),_xll.BDP(AB39,"LAST_PRICE"),_xll.BDH(AB39,"LAST_PRICE",StaticData.Today,StaticData.Today)))</f>
        <v/>
      </c>
      <c r="AE39" s="27"/>
      <c r="AF39" s="6"/>
      <c r="AG39" s="6"/>
      <c r="AH39" s="6"/>
      <c r="AI39" s="6"/>
      <c r="AJ39" s="6"/>
      <c r="AK39" s="6"/>
      <c r="AL39" s="24"/>
      <c r="AM39" s="25"/>
      <c r="AN39" s="25"/>
      <c r="AO39" s="25"/>
      <c r="AP39" s="25"/>
      <c r="AQ39" s="26" t="str">
        <f>IF(AL39="","",IF(StaticData.Today=TODAY(),_xll.BDP(AL39,"LAST_PRICE"),_xll.BDH(AL39,"LAST_PRICE",StaticData.Today,StaticData.Today)))</f>
        <v/>
      </c>
      <c r="AR39" s="27"/>
      <c r="AS39" s="295"/>
      <c r="AT39" s="295"/>
      <c r="AU39" s="295"/>
      <c r="AV39" s="295"/>
      <c r="AW39" s="295"/>
    </row>
    <row r="40" spans="1:49" x14ac:dyDescent="0.25">
      <c r="A40" s="6"/>
      <c r="B40" s="6"/>
      <c r="C40" s="6"/>
      <c r="D40" s="6"/>
      <c r="E40" s="6"/>
      <c r="F40" s="6"/>
      <c r="G40" s="24"/>
      <c r="H40" s="25"/>
      <c r="I40" s="26"/>
      <c r="J40" s="27"/>
      <c r="K40" s="6"/>
      <c r="L40" s="6"/>
      <c r="M40" s="6"/>
      <c r="N40" s="6"/>
      <c r="O40" s="24"/>
      <c r="P40" s="25"/>
      <c r="Q40" s="28"/>
      <c r="R40" s="29"/>
      <c r="S40" s="29"/>
      <c r="T40" s="30" t="str">
        <f>IF(O40="","",IF(StaticData.Today=TODAY(),_xll.BDP(O40,"LAST_PRICE"),_xll.BDH(O40,"LAST_PRICE",StaticData.Today,StaticData.Today)))</f>
        <v/>
      </c>
      <c r="U40" s="27"/>
      <c r="V40" s="6"/>
      <c r="W40" s="24"/>
      <c r="X40" s="25"/>
      <c r="Y40" s="26" t="str">
        <f>IF(W40="","",IF(StaticData.Today=TODAY(),_xll.BDP(W40,"LAST_PRICE"),_xll.BDH(W40,"LAST_PRICE",StaticData.Today,StaticData.Today)))</f>
        <v/>
      </c>
      <c r="Z40" s="27"/>
      <c r="AA40" s="6"/>
      <c r="AB40" s="24"/>
      <c r="AC40" s="25"/>
      <c r="AD40" s="26" t="str">
        <f>IF(AB40="","",IF(StaticData.Today=TODAY(),_xll.BDP(AB40,"LAST_PRICE"),_xll.BDH(AB40,"LAST_PRICE",StaticData.Today,StaticData.Today)))</f>
        <v/>
      </c>
      <c r="AE40" s="27"/>
      <c r="AF40" s="6"/>
      <c r="AG40" s="6"/>
      <c r="AH40" s="6"/>
      <c r="AI40" s="6"/>
      <c r="AJ40" s="6"/>
      <c r="AK40" s="6"/>
      <c r="AL40" s="24"/>
      <c r="AM40" s="25"/>
      <c r="AN40" s="25"/>
      <c r="AO40" s="25"/>
      <c r="AP40" s="25"/>
      <c r="AQ40" s="26" t="str">
        <f>IF(AL40="","",IF(StaticData.Today=TODAY(),_xll.BDP(AL40,"LAST_PRICE"),_xll.BDH(AL40,"LAST_PRICE",StaticData.Today,StaticData.Today)))</f>
        <v/>
      </c>
      <c r="AR40" s="27"/>
      <c r="AS40" s="295"/>
      <c r="AT40" s="295"/>
      <c r="AU40" s="295"/>
      <c r="AV40" s="295"/>
      <c r="AW40" s="295"/>
    </row>
    <row r="41" spans="1:49" x14ac:dyDescent="0.25">
      <c r="A41" s="6"/>
      <c r="B41" s="6"/>
      <c r="C41" s="6"/>
      <c r="D41" s="6"/>
      <c r="E41" s="6"/>
      <c r="F41" s="6"/>
      <c r="G41" s="24"/>
      <c r="H41" s="25"/>
      <c r="I41" s="26"/>
      <c r="J41" s="27"/>
      <c r="K41" s="6"/>
      <c r="L41" s="6"/>
      <c r="M41" s="6"/>
      <c r="N41" s="6"/>
      <c r="O41" s="24"/>
      <c r="P41" s="25"/>
      <c r="Q41" s="28"/>
      <c r="R41" s="29"/>
      <c r="S41" s="29"/>
      <c r="T41" s="30" t="str">
        <f>IF(O41="","",IF(StaticData.Today=TODAY(),_xll.BDP(O41,"LAST_PRICE"),_xll.BDH(O41,"LAST_PRICE",StaticData.Today,StaticData.Today)))</f>
        <v/>
      </c>
      <c r="U41" s="27"/>
      <c r="V41" s="6"/>
      <c r="W41" s="24"/>
      <c r="X41" s="25"/>
      <c r="Y41" s="26" t="str">
        <f>IF(W41="","",IF(StaticData.Today=TODAY(),_xll.BDP(W41,"LAST_PRICE"),_xll.BDH(W41,"LAST_PRICE",StaticData.Today,StaticData.Today)))</f>
        <v/>
      </c>
      <c r="Z41" s="27"/>
      <c r="AA41" s="6"/>
      <c r="AB41" s="24"/>
      <c r="AC41" s="25"/>
      <c r="AD41" s="26" t="str">
        <f>IF(AB41="","",IF(StaticData.Today=TODAY(),_xll.BDP(AB41,"LAST_PRICE"),_xll.BDH(AB41,"LAST_PRICE",StaticData.Today,StaticData.Today)))</f>
        <v/>
      </c>
      <c r="AE41" s="27"/>
      <c r="AF41" s="6"/>
      <c r="AG41" s="6"/>
      <c r="AH41" s="6"/>
      <c r="AI41" s="6"/>
      <c r="AJ41" s="6"/>
      <c r="AK41" s="6"/>
      <c r="AL41" s="24"/>
      <c r="AM41" s="25"/>
      <c r="AN41" s="25"/>
      <c r="AO41" s="25"/>
      <c r="AP41" s="25"/>
      <c r="AQ41" s="26" t="str">
        <f>IF(AL41="","",IF(StaticData.Today=TODAY(),_xll.BDP(AL41,"LAST_PRICE"),_xll.BDH(AL41,"LAST_PRICE",StaticData.Today,StaticData.Today)))</f>
        <v/>
      </c>
      <c r="AR41" s="27"/>
      <c r="AS41" s="295"/>
      <c r="AT41" s="295"/>
      <c r="AU41" s="295"/>
      <c r="AV41" s="295"/>
      <c r="AW41" s="295"/>
    </row>
    <row r="42" spans="1:49" x14ac:dyDescent="0.25">
      <c r="A42" s="6"/>
      <c r="B42" s="6"/>
      <c r="C42" s="6"/>
      <c r="D42" s="6"/>
      <c r="E42" s="6"/>
      <c r="F42" s="6"/>
      <c r="G42" s="24"/>
      <c r="H42" s="25"/>
      <c r="I42" s="26"/>
      <c r="J42" s="27"/>
      <c r="K42" s="6"/>
      <c r="L42" s="6"/>
      <c r="M42" s="6"/>
      <c r="N42" s="6"/>
      <c r="O42" s="24"/>
      <c r="P42" s="25"/>
      <c r="Q42" s="28"/>
      <c r="R42" s="29"/>
      <c r="S42" s="29"/>
      <c r="T42" s="30" t="str">
        <f>IF(O42="","",IF(StaticData.Today=TODAY(),_xll.BDP(O42,"LAST_PRICE"),_xll.BDH(O42,"LAST_PRICE",StaticData.Today,StaticData.Today)))</f>
        <v/>
      </c>
      <c r="U42" s="27"/>
      <c r="V42" s="6"/>
      <c r="W42" s="24"/>
      <c r="X42" s="25"/>
      <c r="Y42" s="26" t="str">
        <f>IF(W42="","",IF(StaticData.Today=TODAY(),_xll.BDP(W42,"LAST_PRICE"),_xll.BDH(W42,"LAST_PRICE",StaticData.Today,StaticData.Today)))</f>
        <v/>
      </c>
      <c r="Z42" s="27"/>
      <c r="AA42" s="6"/>
      <c r="AB42" s="24"/>
      <c r="AC42" s="25"/>
      <c r="AD42" s="26" t="str">
        <f>IF(AB42="","",IF(StaticData.Today=TODAY(),_xll.BDP(AB42,"LAST_PRICE"),_xll.BDH(AB42,"LAST_PRICE",StaticData.Today,StaticData.Today)))</f>
        <v/>
      </c>
      <c r="AE42" s="27"/>
      <c r="AF42" s="6"/>
      <c r="AG42" s="6"/>
      <c r="AH42" s="6"/>
      <c r="AI42" s="6"/>
      <c r="AJ42" s="6"/>
      <c r="AK42" s="6"/>
      <c r="AL42" s="24"/>
      <c r="AM42" s="25"/>
      <c r="AN42" s="25"/>
      <c r="AO42" s="25"/>
      <c r="AP42" s="25"/>
      <c r="AQ42" s="26" t="str">
        <f>IF(AL42="","",IF(StaticData.Today=TODAY(),_xll.BDP(AL42,"LAST_PRICE"),_xll.BDH(AL42,"LAST_PRICE",StaticData.Today,StaticData.Today)))</f>
        <v/>
      </c>
      <c r="AR42" s="27"/>
      <c r="AS42" s="295"/>
      <c r="AT42" s="295"/>
      <c r="AU42" s="295"/>
      <c r="AV42" s="295"/>
      <c r="AW42" s="295"/>
    </row>
    <row r="43" spans="1:49" x14ac:dyDescent="0.25">
      <c r="A43" s="6"/>
      <c r="B43" s="6"/>
      <c r="C43" s="6"/>
      <c r="D43" s="6"/>
      <c r="E43" s="6"/>
      <c r="F43" s="6"/>
      <c r="G43" s="24"/>
      <c r="H43" s="25"/>
      <c r="I43" s="26"/>
      <c r="J43" s="27"/>
      <c r="K43" s="6"/>
      <c r="L43" s="6"/>
      <c r="M43" s="6"/>
      <c r="N43" s="6"/>
      <c r="O43" s="24"/>
      <c r="P43" s="25"/>
      <c r="Q43" s="28"/>
      <c r="R43" s="29"/>
      <c r="S43" s="29"/>
      <c r="T43" s="30" t="str">
        <f>IF(O43="","",IF(StaticData.Today=TODAY(),_xll.BDP(O43,"LAST_PRICE"),_xll.BDH(O43,"LAST_PRICE",StaticData.Today,StaticData.Today)))</f>
        <v/>
      </c>
      <c r="U43" s="27"/>
      <c r="V43" s="6"/>
      <c r="W43" s="24"/>
      <c r="X43" s="25"/>
      <c r="Y43" s="26" t="str">
        <f>IF(W43="","",IF(StaticData.Today=TODAY(),_xll.BDP(W43,"LAST_PRICE"),_xll.BDH(W43,"LAST_PRICE",StaticData.Today,StaticData.Today)))</f>
        <v/>
      </c>
      <c r="Z43" s="27"/>
      <c r="AA43" s="6"/>
      <c r="AB43" s="24"/>
      <c r="AC43" s="25"/>
      <c r="AD43" s="26" t="str">
        <f>IF(AB43="","",IF(StaticData.Today=TODAY(),_xll.BDP(AB43,"LAST_PRICE"),_xll.BDH(AB43,"LAST_PRICE",StaticData.Today,StaticData.Today)))</f>
        <v/>
      </c>
      <c r="AE43" s="27"/>
      <c r="AF43" s="6"/>
      <c r="AG43" s="6"/>
      <c r="AH43" s="6"/>
      <c r="AI43" s="6"/>
      <c r="AJ43" s="6"/>
      <c r="AK43" s="6"/>
      <c r="AL43" s="24"/>
      <c r="AM43" s="25"/>
      <c r="AN43" s="25"/>
      <c r="AO43" s="25"/>
      <c r="AP43" s="25"/>
      <c r="AQ43" s="26" t="str">
        <f>IF(AL43="","",IF(StaticData.Today=TODAY(),_xll.BDP(AL43,"LAST_PRICE"),_xll.BDH(AL43,"LAST_PRICE",StaticData.Today,StaticData.Today)))</f>
        <v/>
      </c>
      <c r="AR43" s="27"/>
      <c r="AS43" s="295"/>
      <c r="AT43" s="295"/>
      <c r="AU43" s="295"/>
      <c r="AV43" s="295"/>
      <c r="AW43" s="295"/>
    </row>
    <row r="44" spans="1:49" x14ac:dyDescent="0.25">
      <c r="A44" s="6"/>
      <c r="B44" s="6"/>
      <c r="C44" s="6"/>
      <c r="D44" s="6"/>
      <c r="E44" s="6"/>
      <c r="F44" s="6"/>
      <c r="G44" s="24"/>
      <c r="H44" s="25"/>
      <c r="I44" s="26"/>
      <c r="J44" s="27"/>
      <c r="K44" s="6"/>
      <c r="L44" s="6"/>
      <c r="M44" s="6"/>
      <c r="N44" s="6"/>
      <c r="O44" s="24"/>
      <c r="P44" s="25"/>
      <c r="Q44" s="28"/>
      <c r="R44" s="29"/>
      <c r="S44" s="29"/>
      <c r="T44" s="30" t="str">
        <f>IF(O44="","",IF(StaticData.Today=TODAY(),_xll.BDP(O44,"LAST_PRICE"),_xll.BDH(O44,"LAST_PRICE",StaticData.Today,StaticData.Today)))</f>
        <v/>
      </c>
      <c r="U44" s="27"/>
      <c r="V44" s="6"/>
      <c r="W44" s="24"/>
      <c r="X44" s="25"/>
      <c r="Y44" s="26" t="str">
        <f>IF(W44="","",IF(StaticData.Today=TODAY(),_xll.BDP(W44,"LAST_PRICE"),_xll.BDH(W44,"LAST_PRICE",StaticData.Today,StaticData.Today)))</f>
        <v/>
      </c>
      <c r="Z44" s="27"/>
      <c r="AA44" s="6"/>
      <c r="AB44" s="24"/>
      <c r="AC44" s="25"/>
      <c r="AD44" s="26" t="str">
        <f>IF(AB44="","",IF(StaticData.Today=TODAY(),_xll.BDP(AB44,"LAST_PRICE"),_xll.BDH(AB44,"LAST_PRICE",StaticData.Today,StaticData.Today)))</f>
        <v/>
      </c>
      <c r="AE44" s="27"/>
      <c r="AF44" s="6"/>
      <c r="AG44" s="6"/>
      <c r="AH44" s="6"/>
      <c r="AI44" s="6"/>
      <c r="AJ44" s="6"/>
      <c r="AK44" s="6"/>
      <c r="AL44" s="24"/>
      <c r="AM44" s="25"/>
      <c r="AN44" s="25"/>
      <c r="AO44" s="25"/>
      <c r="AP44" s="25"/>
      <c r="AQ44" s="26" t="str">
        <f>IF(AL44="","",IF(StaticData.Today=TODAY(),_xll.BDP(AL44,"LAST_PRICE"),_xll.BDH(AL44,"LAST_PRICE",StaticData.Today,StaticData.Today)))</f>
        <v/>
      </c>
      <c r="AR44" s="27"/>
      <c r="AS44" s="295"/>
      <c r="AT44" s="295"/>
      <c r="AU44" s="295"/>
      <c r="AV44" s="295"/>
      <c r="AW44" s="295"/>
    </row>
    <row r="45" spans="1:49" x14ac:dyDescent="0.25">
      <c r="A45" s="6"/>
      <c r="B45" s="6"/>
      <c r="C45" s="6"/>
      <c r="D45" s="6"/>
      <c r="E45" s="6"/>
      <c r="F45" s="6"/>
      <c r="G45" s="24"/>
      <c r="H45" s="25"/>
      <c r="I45" s="26"/>
      <c r="J45" s="27"/>
      <c r="K45" s="6"/>
      <c r="L45" s="6"/>
      <c r="M45" s="6"/>
      <c r="N45" s="6"/>
      <c r="O45" s="24"/>
      <c r="P45" s="25"/>
      <c r="Q45" s="28"/>
      <c r="R45" s="29"/>
      <c r="S45" s="29"/>
      <c r="T45" s="30" t="str">
        <f>IF(O45="","",IF(StaticData.Today=TODAY(),_xll.BDP(O45,"LAST_PRICE"),_xll.BDH(O45,"LAST_PRICE",StaticData.Today,StaticData.Today)))</f>
        <v/>
      </c>
      <c r="U45" s="27"/>
      <c r="V45" s="6"/>
      <c r="W45" s="24"/>
      <c r="X45" s="25"/>
      <c r="Y45" s="26" t="str">
        <f>IF(W45="","",IF(StaticData.Today=TODAY(),_xll.BDP(W45,"LAST_PRICE"),_xll.BDH(W45,"LAST_PRICE",StaticData.Today,StaticData.Today)))</f>
        <v/>
      </c>
      <c r="Z45" s="27"/>
      <c r="AA45" s="6"/>
      <c r="AB45" s="24"/>
      <c r="AC45" s="25"/>
      <c r="AD45" s="26" t="str">
        <f>IF(AB45="","",IF(StaticData.Today=TODAY(),_xll.BDP(AB45,"LAST_PRICE"),_xll.BDH(AB45,"LAST_PRICE",StaticData.Today,StaticData.Today)))</f>
        <v/>
      </c>
      <c r="AE45" s="27"/>
      <c r="AF45" s="6"/>
      <c r="AG45" s="6"/>
      <c r="AH45" s="6"/>
      <c r="AI45" s="6"/>
      <c r="AJ45" s="6"/>
      <c r="AK45" s="6"/>
      <c r="AL45" s="24"/>
      <c r="AM45" s="25"/>
      <c r="AN45" s="25"/>
      <c r="AO45" s="25"/>
      <c r="AP45" s="25"/>
      <c r="AQ45" s="26" t="str">
        <f>IF(AL45="","",IF(StaticData.Today=TODAY(),_xll.BDP(AL45,"LAST_PRICE"),_xll.BDH(AL45,"LAST_PRICE",StaticData.Today,StaticData.Today)))</f>
        <v/>
      </c>
      <c r="AR45" s="27"/>
      <c r="AS45" s="295"/>
      <c r="AT45" s="295"/>
      <c r="AU45" s="295"/>
      <c r="AV45" s="295"/>
      <c r="AW45" s="295"/>
    </row>
    <row r="46" spans="1:49" x14ac:dyDescent="0.25">
      <c r="A46" s="6"/>
      <c r="B46" s="6"/>
      <c r="C46" s="6"/>
      <c r="D46" s="6"/>
      <c r="E46" s="6"/>
      <c r="F46" s="6"/>
      <c r="G46" s="24"/>
      <c r="H46" s="25"/>
      <c r="I46" s="26"/>
      <c r="J46" s="27"/>
      <c r="K46" s="6"/>
      <c r="L46" s="6"/>
      <c r="M46" s="6"/>
      <c r="N46" s="6"/>
      <c r="O46" s="24"/>
      <c r="P46" s="25"/>
      <c r="Q46" s="28"/>
      <c r="R46" s="29"/>
      <c r="S46" s="29"/>
      <c r="T46" s="30" t="str">
        <f>IF(O46="","",IF(StaticData.Today=TODAY(),_xll.BDP(O46,"LAST_PRICE"),_xll.BDH(O46,"LAST_PRICE",StaticData.Today,StaticData.Today)))</f>
        <v/>
      </c>
      <c r="U46" s="27"/>
      <c r="V46" s="6"/>
      <c r="W46" s="24"/>
      <c r="X46" s="25"/>
      <c r="Y46" s="26" t="str">
        <f>IF(W46="","",IF(StaticData.Today=TODAY(),_xll.BDP(W46,"LAST_PRICE"),_xll.BDH(W46,"LAST_PRICE",StaticData.Today,StaticData.Today)))</f>
        <v/>
      </c>
      <c r="Z46" s="27"/>
      <c r="AA46" s="6"/>
      <c r="AB46" s="24"/>
      <c r="AC46" s="25"/>
      <c r="AD46" s="26" t="str">
        <f>IF(AB46="","",IF(StaticData.Today=TODAY(),_xll.BDP(AB46,"LAST_PRICE"),_xll.BDH(AB46,"LAST_PRICE",StaticData.Today,StaticData.Today)))</f>
        <v/>
      </c>
      <c r="AE46" s="27"/>
      <c r="AF46" s="6"/>
      <c r="AG46" s="6"/>
      <c r="AH46" s="6"/>
      <c r="AI46" s="6"/>
      <c r="AJ46" s="6"/>
      <c r="AK46" s="6"/>
      <c r="AL46" s="24"/>
      <c r="AM46" s="25"/>
      <c r="AN46" s="25"/>
      <c r="AO46" s="25"/>
      <c r="AP46" s="25"/>
      <c r="AQ46" s="26" t="str">
        <f>IF(AL46="","",IF(StaticData.Today=TODAY(),_xll.BDP(AL46,"LAST_PRICE"),_xll.BDH(AL46,"LAST_PRICE",StaticData.Today,StaticData.Today)))</f>
        <v/>
      </c>
      <c r="AR46" s="27"/>
      <c r="AS46" s="295"/>
      <c r="AT46" s="295"/>
      <c r="AU46" s="295"/>
      <c r="AV46" s="295"/>
      <c r="AW46" s="295"/>
    </row>
    <row r="47" spans="1:49" x14ac:dyDescent="0.25">
      <c r="A47" s="6"/>
      <c r="B47" s="6"/>
      <c r="C47" s="6"/>
      <c r="D47" s="6"/>
      <c r="E47" s="6"/>
      <c r="F47" s="6"/>
      <c r="G47" s="24"/>
      <c r="H47" s="25"/>
      <c r="I47" s="26"/>
      <c r="J47" s="27"/>
      <c r="K47" s="6"/>
      <c r="L47" s="6"/>
      <c r="M47" s="6"/>
      <c r="N47" s="6"/>
      <c r="O47" s="24"/>
      <c r="P47" s="25"/>
      <c r="Q47" s="28"/>
      <c r="R47" s="29"/>
      <c r="S47" s="29"/>
      <c r="T47" s="30" t="str">
        <f>IF(O47="","",IF(StaticData.Today=TODAY(),_xll.BDP(O47,"LAST_PRICE"),_xll.BDH(O47,"LAST_PRICE",StaticData.Today,StaticData.Today)))</f>
        <v/>
      </c>
      <c r="U47" s="27"/>
      <c r="V47" s="6"/>
      <c r="W47" s="24"/>
      <c r="X47" s="25"/>
      <c r="Y47" s="26" t="str">
        <f>IF(W47="","",IF(StaticData.Today=TODAY(),_xll.BDP(W47,"LAST_PRICE"),_xll.BDH(W47,"LAST_PRICE",StaticData.Today,StaticData.Today)))</f>
        <v/>
      </c>
      <c r="Z47" s="27"/>
      <c r="AA47" s="6"/>
      <c r="AB47" s="24"/>
      <c r="AC47" s="25"/>
      <c r="AD47" s="26" t="str">
        <f>IF(AB47="","",IF(StaticData.Today=TODAY(),_xll.BDP(AB47,"LAST_PRICE"),_xll.BDH(AB47,"LAST_PRICE",StaticData.Today,StaticData.Today)))</f>
        <v/>
      </c>
      <c r="AE47" s="27"/>
      <c r="AF47" s="6"/>
      <c r="AG47" s="6"/>
      <c r="AH47" s="6"/>
      <c r="AI47" s="6"/>
      <c r="AJ47" s="6"/>
      <c r="AK47" s="6"/>
      <c r="AL47" s="24"/>
      <c r="AM47" s="25"/>
      <c r="AN47" s="25"/>
      <c r="AO47" s="25"/>
      <c r="AP47" s="25"/>
      <c r="AQ47" s="26" t="str">
        <f>IF(AL47="","",IF(StaticData.Today=TODAY(),_xll.BDP(AL47,"LAST_PRICE"),_xll.BDH(AL47,"LAST_PRICE",StaticData.Today,StaticData.Today)))</f>
        <v/>
      </c>
      <c r="AR47" s="27"/>
      <c r="AS47" s="295"/>
      <c r="AT47" s="295"/>
      <c r="AU47" s="295"/>
      <c r="AV47" s="295"/>
      <c r="AW47" s="295"/>
    </row>
    <row r="48" spans="1:49" x14ac:dyDescent="0.25">
      <c r="A48" s="6"/>
      <c r="B48" s="6"/>
      <c r="C48" s="6"/>
      <c r="D48" s="6"/>
      <c r="E48" s="6"/>
      <c r="F48" s="6"/>
      <c r="G48" s="24"/>
      <c r="H48" s="25"/>
      <c r="I48" s="26"/>
      <c r="J48" s="27"/>
      <c r="K48" s="6"/>
      <c r="L48" s="6"/>
      <c r="M48" s="6"/>
      <c r="N48" s="6"/>
      <c r="O48" s="24"/>
      <c r="P48" s="25"/>
      <c r="Q48" s="28"/>
      <c r="R48" s="29"/>
      <c r="S48" s="29"/>
      <c r="T48" s="30" t="str">
        <f>IF(O48="","",IF(StaticData.Today=TODAY(),_xll.BDP(O48,"LAST_PRICE"),_xll.BDH(O48,"LAST_PRICE",StaticData.Today,StaticData.Today)))</f>
        <v/>
      </c>
      <c r="U48" s="27"/>
      <c r="V48" s="6"/>
      <c r="W48" s="38"/>
      <c r="X48" s="39"/>
      <c r="Y48" s="40" t="str">
        <f>IF(W48="","",IF(StaticData.Today=TODAY(),_xll.BDP(W48,"LAST_PRICE"),_xll.BDH(W48,"LAST_PRICE",StaticData.Today,StaticData.Today)))</f>
        <v/>
      </c>
      <c r="Z48" s="41"/>
      <c r="AA48" s="6"/>
      <c r="AB48" s="38"/>
      <c r="AC48" s="39"/>
      <c r="AD48" s="40" t="str">
        <f>IF(AB48="","",IF(StaticData.Today=TODAY(),_xll.BDP(AB48,"LAST_PRICE"),_xll.BDH(AB48,"LAST_PRICE",StaticData.Today,StaticData.Today)))</f>
        <v/>
      </c>
      <c r="AE48" s="41"/>
      <c r="AF48" s="6"/>
      <c r="AG48" s="6"/>
      <c r="AH48" s="6"/>
      <c r="AI48" s="6"/>
      <c r="AJ48" s="6"/>
      <c r="AK48" s="6"/>
      <c r="AL48" s="38"/>
      <c r="AM48" s="39"/>
      <c r="AN48" s="39"/>
      <c r="AO48" s="39"/>
      <c r="AP48" s="39"/>
      <c r="AQ48" s="40" t="str">
        <f>IF(AL48="","",IF(StaticData.Today=TODAY(),_xll.BDP(AL48,"LAST_PRICE"),_xll.BDH(AL48,"LAST_PRICE",StaticData.Today,StaticData.Today)))</f>
        <v/>
      </c>
      <c r="AR48" s="41"/>
      <c r="AS48" s="295"/>
      <c r="AT48" s="295"/>
      <c r="AU48" s="295"/>
      <c r="AV48" s="295"/>
      <c r="AW48" s="295"/>
    </row>
    <row r="49" spans="1:49" x14ac:dyDescent="0.25">
      <c r="A49" s="6"/>
      <c r="B49" s="6"/>
      <c r="C49" s="6"/>
      <c r="D49" s="6"/>
      <c r="E49" s="6"/>
      <c r="F49" s="6"/>
      <c r="G49" s="24"/>
      <c r="H49" s="25"/>
      <c r="I49" s="26"/>
      <c r="J49" s="27"/>
      <c r="K49" s="6"/>
      <c r="L49" s="6"/>
      <c r="M49" s="6"/>
      <c r="N49" s="6"/>
      <c r="O49" s="38"/>
      <c r="P49" s="39"/>
      <c r="Q49" s="42"/>
      <c r="R49" s="43"/>
      <c r="S49" s="43"/>
      <c r="T49" s="44" t="str">
        <f>IF(O49="","",IF(StaticData.Today=TODAY(),_xll.BDP(O49,"LAST_PRICE"),_xll.BDH(O49,"LAST_PRICE",StaticData.Today,StaticData.Today)))</f>
        <v/>
      </c>
      <c r="U49" s="41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</row>
    <row r="50" spans="1:49" x14ac:dyDescent="0.25">
      <c r="A50" s="6"/>
      <c r="B50" s="6"/>
      <c r="C50" s="6"/>
      <c r="D50" s="6"/>
      <c r="E50" s="6"/>
      <c r="F50" s="6"/>
      <c r="G50" s="24"/>
      <c r="H50" s="25"/>
      <c r="I50" s="26"/>
      <c r="J50" s="2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</row>
    <row r="51" spans="1:49" x14ac:dyDescent="0.25">
      <c r="A51" s="6"/>
      <c r="B51" s="6"/>
      <c r="C51" s="6"/>
      <c r="D51" s="6"/>
      <c r="E51" s="6"/>
      <c r="F51" s="6"/>
      <c r="G51" s="24"/>
      <c r="H51" s="25"/>
      <c r="I51" s="26"/>
      <c r="J51" s="2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</row>
    <row r="52" spans="1:49" x14ac:dyDescent="0.25">
      <c r="A52" s="6"/>
      <c r="B52" s="6"/>
      <c r="C52" s="6"/>
      <c r="D52" s="6"/>
      <c r="E52" s="6"/>
      <c r="F52" s="6"/>
      <c r="G52" s="38"/>
      <c r="H52" s="39"/>
      <c r="I52" s="40"/>
      <c r="J52" s="41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</row>
    <row r="53" spans="1:49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</row>
    <row r="54" spans="1:49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</row>
    <row r="55" spans="1:49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</row>
    <row r="56" spans="1:49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</row>
    <row r="57" spans="1:49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</row>
    <row r="58" spans="1:49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</row>
    <row r="59" spans="1:49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</row>
    <row r="60" spans="1:49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</row>
    <row r="61" spans="1:49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</row>
    <row r="62" spans="1:49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</row>
    <row r="63" spans="1:49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</row>
    <row r="64" spans="1:49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</row>
    <row r="65" spans="1:49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</row>
    <row r="66" spans="1:49" x14ac:dyDescent="0.25">
      <c r="O66" s="6"/>
      <c r="P66" s="6"/>
      <c r="Q66" s="6"/>
      <c r="R66" s="6"/>
      <c r="S66" s="6"/>
      <c r="T66" s="6"/>
      <c r="U66" s="6"/>
    </row>
  </sheetData>
  <dataValidations count="2">
    <dataValidation type="list" allowBlank="1" showInputMessage="1" showErrorMessage="1" sqref="AL2">
      <formula1>$AB$96:$AB$99</formula1>
    </dataValidation>
    <dataValidation type="list" allowBlank="1" showInputMessage="1" showErrorMessage="1" sqref="AY1">
      <formula1>$AB$90:$AB$93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'STATIC DATA'!$AB$92:$AB$95</xm:f>
          </x14:formula1>
          <xm:sqref>O1</xm:sqref>
        </x14:dataValidation>
        <x14:dataValidation type="list" allowBlank="1" showInputMessage="1" showErrorMessage="1">
          <x14:formula1>
            <xm:f>'STATIC DATA'!$AB$97:$AB$100</xm:f>
          </x14:formula1>
          <xm:sqref>O2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5" tint="0.79998168889431442"/>
  </sheetPr>
  <dimension ref="B1:AM29"/>
  <sheetViews>
    <sheetView showGridLines="0" tabSelected="1" zoomScale="75" zoomScaleNormal="75" workbookViewId="0"/>
  </sheetViews>
  <sheetFormatPr defaultRowHeight="15" x14ac:dyDescent="0.25"/>
  <cols>
    <col min="1" max="1" width="4.7109375" customWidth="1"/>
    <col min="2" max="2" width="14" style="209" customWidth="1"/>
    <col min="3" max="3" width="4.7109375" customWidth="1"/>
    <col min="4" max="4" width="15.7109375" customWidth="1"/>
    <col min="5" max="5" width="9.140625" customWidth="1"/>
    <col min="6" max="6" width="15.7109375" customWidth="1"/>
    <col min="7" max="7" width="9.140625" customWidth="1"/>
    <col min="8" max="8" width="15.7109375" customWidth="1"/>
    <col min="9" max="9" width="9.140625" customWidth="1"/>
    <col min="10" max="10" width="15.7109375" customWidth="1"/>
    <col min="11" max="11" width="9.140625" customWidth="1"/>
    <col min="12" max="12" width="15.7109375" customWidth="1"/>
    <col min="13" max="13" width="9.140625" customWidth="1"/>
    <col min="14" max="14" width="15.7109375" customWidth="1"/>
    <col min="15" max="15" width="9.140625" customWidth="1"/>
    <col min="16" max="16" width="15.85546875" customWidth="1"/>
    <col min="17" max="17" width="9.140625" customWidth="1"/>
    <col min="18" max="18" width="15.7109375" customWidth="1"/>
    <col min="19" max="19" width="9.140625" customWidth="1"/>
    <col min="20" max="20" width="15.7109375" customWidth="1"/>
    <col min="21" max="21" width="9.140625" customWidth="1"/>
    <col min="22" max="22" width="15.7109375" customWidth="1"/>
    <col min="23" max="23" width="9.140625" customWidth="1"/>
    <col min="24" max="24" width="15.7109375" customWidth="1"/>
    <col min="25" max="25" width="9.140625" customWidth="1"/>
    <col min="26" max="26" width="15.7109375" customWidth="1"/>
    <col min="27" max="27" width="9.140625" customWidth="1"/>
    <col min="28" max="28" width="15.7109375" customWidth="1"/>
    <col min="29" max="29" width="9.140625" customWidth="1"/>
    <col min="30" max="30" width="15.7109375" customWidth="1"/>
    <col min="31" max="31" width="9.140625" customWidth="1"/>
    <col min="32" max="32" width="15.7109375" customWidth="1"/>
    <col min="33" max="33" width="9.140625" customWidth="1"/>
    <col min="34" max="34" width="15.7109375" customWidth="1"/>
    <col min="35" max="35" width="9.140625" customWidth="1"/>
    <col min="36" max="36" width="15.7109375" customWidth="1"/>
    <col min="37" max="37" width="9.140625" customWidth="1"/>
    <col min="38" max="38" width="15.7109375" customWidth="1"/>
  </cols>
  <sheetData>
    <row r="1" spans="2:39" s="679" customFormat="1" x14ac:dyDescent="0.25">
      <c r="B1" s="682" t="s">
        <v>1663</v>
      </c>
      <c r="D1" s="687" t="str">
        <f>_xll.meUtilityVersion()</f>
        <v>MLIBQ_ADDIN: Version Number: 20200909.0517. Architecture: 64 bit. Last built on Sep  9 2020 at 05:17:48. License will expire on Jan 1 2021.</v>
      </c>
    </row>
    <row r="2" spans="2:39" s="694" customFormat="1" x14ac:dyDescent="0.25">
      <c r="B2" s="693"/>
      <c r="D2" s="693" t="s">
        <v>2</v>
      </c>
      <c r="E2" s="695"/>
      <c r="F2" s="693" t="s">
        <v>3</v>
      </c>
      <c r="G2" s="695"/>
      <c r="H2" s="693" t="s">
        <v>128</v>
      </c>
      <c r="I2" s="695"/>
      <c r="J2" s="693" t="s">
        <v>147</v>
      </c>
      <c r="K2" s="695"/>
      <c r="L2" s="693" t="s">
        <v>1634</v>
      </c>
      <c r="M2" s="695"/>
      <c r="N2" s="693" t="s">
        <v>96</v>
      </c>
      <c r="O2" s="695"/>
      <c r="P2" s="693" t="s">
        <v>1211</v>
      </c>
      <c r="Q2" s="695"/>
      <c r="R2" s="693" t="s">
        <v>155</v>
      </c>
      <c r="S2" s="695"/>
      <c r="T2" s="693" t="s">
        <v>1229</v>
      </c>
      <c r="U2" s="695"/>
      <c r="V2" s="693" t="s">
        <v>160</v>
      </c>
      <c r="W2" s="695"/>
      <c r="X2" s="693" t="s">
        <v>189</v>
      </c>
      <c r="Y2" s="695"/>
      <c r="Z2" s="693" t="s">
        <v>1296</v>
      </c>
      <c r="AA2" s="695"/>
      <c r="AB2" s="693" t="s">
        <v>172</v>
      </c>
      <c r="AC2" s="695"/>
      <c r="AD2" s="693" t="s">
        <v>182</v>
      </c>
      <c r="AE2" s="695"/>
      <c r="AF2" s="693" t="s">
        <v>254</v>
      </c>
      <c r="AG2" s="695"/>
      <c r="AH2" s="693" t="s">
        <v>246</v>
      </c>
      <c r="AI2" s="695"/>
      <c r="AJ2" s="693" t="s">
        <v>264</v>
      </c>
      <c r="AK2" s="695"/>
      <c r="AL2" s="693" t="s">
        <v>272</v>
      </c>
    </row>
    <row r="3" spans="2:39" s="689" customFormat="1" x14ac:dyDescent="0.25">
      <c r="B3" s="688"/>
      <c r="D3" s="690"/>
      <c r="E3" s="690"/>
      <c r="F3" s="690"/>
      <c r="G3" s="690"/>
      <c r="H3" s="690"/>
      <c r="I3" s="690"/>
      <c r="J3" s="690"/>
      <c r="K3" s="690"/>
      <c r="L3" s="690"/>
      <c r="M3" s="690"/>
      <c r="N3" s="690"/>
      <c r="O3" s="690"/>
      <c r="P3" s="690"/>
      <c r="Q3" s="690"/>
      <c r="R3" s="690"/>
      <c r="S3" s="690"/>
      <c r="T3" s="690"/>
      <c r="U3" s="690"/>
      <c r="V3" s="690"/>
      <c r="W3" s="690"/>
      <c r="X3" s="690"/>
      <c r="Y3" s="690"/>
      <c r="Z3" s="690"/>
      <c r="AA3" s="690"/>
      <c r="AB3" s="690"/>
      <c r="AC3" s="690"/>
      <c r="AD3" s="690"/>
      <c r="AE3" s="690"/>
      <c r="AF3" s="690"/>
      <c r="AG3" s="690"/>
      <c r="AH3" s="690"/>
      <c r="AI3" s="690"/>
      <c r="AJ3" s="690"/>
      <c r="AK3" s="690"/>
      <c r="AL3" s="690"/>
      <c r="AM3" s="690"/>
    </row>
    <row r="4" spans="2:39" s="6" customFormat="1" x14ac:dyDescent="0.25">
      <c r="B4" s="681" t="s">
        <v>1662</v>
      </c>
      <c r="D4" s="680" t="b">
        <v>1</v>
      </c>
      <c r="F4" s="680" t="b">
        <v>1</v>
      </c>
      <c r="H4" s="680" t="b">
        <v>1</v>
      </c>
      <c r="J4" s="680" t="b">
        <v>0</v>
      </c>
      <c r="L4" s="680" t="b">
        <v>0</v>
      </c>
      <c r="N4" s="680" t="b">
        <v>0</v>
      </c>
      <c r="P4" s="680" t="b">
        <v>0</v>
      </c>
      <c r="R4" s="680" t="b">
        <v>0</v>
      </c>
      <c r="T4" s="680" t="b">
        <v>0</v>
      </c>
      <c r="V4" s="680" t="b">
        <v>0</v>
      </c>
      <c r="X4" s="680" t="b">
        <v>0</v>
      </c>
      <c r="Z4" s="680" t="b">
        <v>0</v>
      </c>
      <c r="AB4" s="680" t="b">
        <v>0</v>
      </c>
      <c r="AD4" s="680" t="b">
        <v>0</v>
      </c>
      <c r="AF4" s="680" t="b">
        <v>0</v>
      </c>
      <c r="AH4" s="680" t="b">
        <v>0</v>
      </c>
      <c r="AJ4" s="680" t="b">
        <v>0</v>
      </c>
      <c r="AL4" s="680" t="b">
        <v>0</v>
      </c>
    </row>
    <row r="5" spans="2:39" ht="15.75" x14ac:dyDescent="0.25">
      <c r="D5" s="696" t="s">
        <v>1714</v>
      </c>
    </row>
    <row r="6" spans="2:39" s="621" customFormat="1" x14ac:dyDescent="0.25">
      <c r="B6" s="659" t="s">
        <v>998</v>
      </c>
      <c r="D6" s="621" t="s">
        <v>437</v>
      </c>
      <c r="F6" s="621" t="s">
        <v>929</v>
      </c>
      <c r="H6" s="621" t="s">
        <v>1131</v>
      </c>
      <c r="J6" s="621" t="s">
        <v>1038</v>
      </c>
      <c r="L6" s="621" t="s">
        <v>1649</v>
      </c>
      <c r="N6" s="621" t="s">
        <v>1212</v>
      </c>
      <c r="P6" s="621" t="s">
        <v>1255</v>
      </c>
      <c r="R6" s="621" t="s">
        <v>1012</v>
      </c>
      <c r="T6" s="621" t="s">
        <v>1280</v>
      </c>
      <c r="V6" s="621" t="s">
        <v>1016</v>
      </c>
      <c r="X6" s="621" t="s">
        <v>1028</v>
      </c>
      <c r="Z6" s="621" t="s">
        <v>1313</v>
      </c>
      <c r="AB6" s="621" t="s">
        <v>1020</v>
      </c>
      <c r="AD6" s="621" t="s">
        <v>1025</v>
      </c>
      <c r="AF6" s="621" t="s">
        <v>1007</v>
      </c>
      <c r="AH6" s="621" t="s">
        <v>1033</v>
      </c>
      <c r="AJ6" s="621" t="s">
        <v>999</v>
      </c>
      <c r="AL6" s="621" t="s">
        <v>992</v>
      </c>
    </row>
    <row r="7" spans="2:39" x14ac:dyDescent="0.25">
      <c r="B7" s="209" t="s">
        <v>426</v>
      </c>
      <c r="D7" s="660" t="s">
        <v>296</v>
      </c>
      <c r="E7" s="661" t="b">
        <f ca="1">_xll.meLWOExists(USDOIS,"CURVE")</f>
        <v>1</v>
      </c>
      <c r="F7" s="660" t="s">
        <v>1006</v>
      </c>
      <c r="G7" s="661" t="b">
        <f ca="1">_xll.meLWOExists(EUROIS,"CURVE")</f>
        <v>1</v>
      </c>
      <c r="H7" s="660" t="s">
        <v>1179</v>
      </c>
      <c r="I7" s="661" t="b">
        <f ca="1">_xll.meLWOExists(JPYOIS,"CURVE")</f>
        <v>1</v>
      </c>
      <c r="J7" s="660" t="s">
        <v>1039</v>
      </c>
      <c r="K7" s="661" t="b">
        <f>_xll.meLWOExists(AEDOIS,"CURVE")</f>
        <v>0</v>
      </c>
      <c r="L7" s="660" t="s">
        <v>1665</v>
      </c>
      <c r="M7" s="677"/>
      <c r="N7" s="660" t="s">
        <v>1213</v>
      </c>
      <c r="O7" s="661" t="b">
        <f>_xll.meLWOExists(CADOIS,"CURVE")</f>
        <v>0</v>
      </c>
      <c r="P7" s="660" t="s">
        <v>1260</v>
      </c>
      <c r="Q7" s="661" t="b">
        <f>_xll.meLWOExists(CNHOIS,"CURVE")</f>
        <v>0</v>
      </c>
      <c r="R7" s="660" t="s">
        <v>1013</v>
      </c>
      <c r="S7" s="661" t="b">
        <f>_xll.meLWOExists(CZKOIS,"CURVE")</f>
        <v>0</v>
      </c>
      <c r="T7" s="660" t="s">
        <v>1295</v>
      </c>
      <c r="U7" s="661" t="b">
        <f>_xll.meLWOExists(HKDOIS,"CURVE")</f>
        <v>0</v>
      </c>
      <c r="V7" s="660" t="s">
        <v>1017</v>
      </c>
      <c r="W7" s="661" t="b">
        <f>_xll.meLWOExists(HUFOIS,"CURVE")</f>
        <v>0</v>
      </c>
      <c r="X7" s="660" t="s">
        <v>1029</v>
      </c>
      <c r="Y7" s="661" t="b">
        <f>_xll.meLWOExists(ILSOIS,"CURVE")</f>
        <v>0</v>
      </c>
      <c r="Z7" s="660" t="s">
        <v>1584</v>
      </c>
      <c r="AA7" s="661" t="b">
        <f>_xll.meLWOExists(INROIS,"CURVE")</f>
        <v>0</v>
      </c>
      <c r="AB7" s="660" t="s">
        <v>1021</v>
      </c>
      <c r="AC7" s="661" t="b">
        <f>_xll.meLWOExists(PLNOIS,"CURVE")</f>
        <v>0</v>
      </c>
      <c r="AD7" s="660" t="s">
        <v>1026</v>
      </c>
      <c r="AE7" s="661" t="b">
        <f>_xll.meLWOExists(RONOIS,"CURVE")</f>
        <v>0</v>
      </c>
      <c r="AF7" s="660" t="s">
        <v>1009</v>
      </c>
      <c r="AG7" s="661" t="b">
        <f>_xll.meLWOExists(RUBOIS,"CURVE")</f>
        <v>0</v>
      </c>
      <c r="AH7" s="660" t="s">
        <v>1034</v>
      </c>
      <c r="AI7" s="661" t="b">
        <f>_xll.meLWOExists(SAROIS,"CURVE")</f>
        <v>0</v>
      </c>
      <c r="AJ7" s="660" t="s">
        <v>541</v>
      </c>
      <c r="AK7" s="661" t="b">
        <f>_xll.meLWOExists(TRYOIS,"CURVE")</f>
        <v>0</v>
      </c>
      <c r="AL7" s="660" t="s">
        <v>1008</v>
      </c>
      <c r="AM7" s="661" t="b">
        <f>_xll.meLWOExists(ZAROIS,"CURVE")</f>
        <v>0</v>
      </c>
    </row>
    <row r="8" spans="2:39" x14ac:dyDescent="0.25">
      <c r="B8" s="209" t="s">
        <v>1002</v>
      </c>
      <c r="D8" s="662" t="s">
        <v>1165</v>
      </c>
      <c r="E8" s="663" t="b">
        <f ca="1">_xll.meLWOExists(USD1M,"CURVE")</f>
        <v>1</v>
      </c>
      <c r="F8" s="662" t="s">
        <v>1167</v>
      </c>
      <c r="G8" s="663" t="b">
        <f ca="1">_xll.meLWOExists(EUR1M,"CURVE")</f>
        <v>1</v>
      </c>
      <c r="H8" s="662"/>
      <c r="I8" s="664"/>
      <c r="J8" s="662" t="s">
        <v>1040</v>
      </c>
      <c r="K8" s="664"/>
      <c r="L8" s="662"/>
      <c r="M8" s="664"/>
      <c r="N8" s="662" t="s">
        <v>1632</v>
      </c>
      <c r="O8" s="663" t="b">
        <f>_xll.meLWOExists(CAD1M,"CURVE")</f>
        <v>0</v>
      </c>
      <c r="P8" s="662"/>
      <c r="Q8" s="664"/>
      <c r="R8" s="662" t="s">
        <v>1014</v>
      </c>
      <c r="S8" s="663" t="b">
        <f>_xll.meLWOExists(CZK1M,"CURVE")</f>
        <v>0</v>
      </c>
      <c r="T8" s="662" t="s">
        <v>1287</v>
      </c>
      <c r="U8" s="663" t="b">
        <f>_xll.meLWOExists(HKD1M,"CURVE")</f>
        <v>0</v>
      </c>
      <c r="V8" s="662" t="s">
        <v>1018</v>
      </c>
      <c r="W8" s="663" t="b">
        <f>_xll.meLWOExists(HUF1M,"CURVE")</f>
        <v>0</v>
      </c>
      <c r="X8" s="662"/>
      <c r="Y8" s="664"/>
      <c r="Z8" s="662"/>
      <c r="AA8" s="664"/>
      <c r="AB8" s="662" t="s">
        <v>1022</v>
      </c>
      <c r="AC8" s="663" t="b">
        <f>_xll.meLWOExists(PLN1M,"CURVE")</f>
        <v>0</v>
      </c>
      <c r="AD8" s="662"/>
      <c r="AE8" s="664"/>
      <c r="AF8" s="662"/>
      <c r="AG8" s="664"/>
      <c r="AH8" s="662" t="s">
        <v>1035</v>
      </c>
      <c r="AI8" s="663" t="b">
        <f>_xll.meLWOExists(SAR1M,"CURVE")</f>
        <v>0</v>
      </c>
      <c r="AJ8" s="662"/>
      <c r="AK8" s="664"/>
      <c r="AL8" s="662"/>
      <c r="AM8" s="664"/>
    </row>
    <row r="9" spans="2:39" x14ac:dyDescent="0.25">
      <c r="B9" s="209" t="s">
        <v>1003</v>
      </c>
      <c r="D9" s="662" t="s">
        <v>479</v>
      </c>
      <c r="E9" s="663" t="b">
        <f ca="1">_xll.meLWOExists(USD3M,"CURVE")</f>
        <v>1</v>
      </c>
      <c r="F9" s="662" t="s">
        <v>1079</v>
      </c>
      <c r="G9" s="663" t="b">
        <f ca="1">_xll.meLWOExists(EUR3M,"CURVE")</f>
        <v>1</v>
      </c>
      <c r="H9" s="662" t="s">
        <v>1123</v>
      </c>
      <c r="I9" s="663" t="b">
        <f ca="1">_xll.meLWOExists(JPY3M,"CURVE")</f>
        <v>1</v>
      </c>
      <c r="J9" s="662" t="s">
        <v>946</v>
      </c>
      <c r="K9" s="663" t="b">
        <f>_xll.meLWOExists(AED3M,"CURVE")</f>
        <v>0</v>
      </c>
      <c r="L9" s="662" t="s">
        <v>1666</v>
      </c>
      <c r="M9" s="664"/>
      <c r="N9" s="662" t="s">
        <v>1199</v>
      </c>
      <c r="O9" s="663" t="b">
        <f>_xll.meLWOExists(CAD3M,"CURVE")</f>
        <v>0</v>
      </c>
      <c r="P9" s="662" t="s">
        <v>1250</v>
      </c>
      <c r="Q9" s="663" t="b">
        <f>_xll.meLWOExists(CNH3M,"CURVE")</f>
        <v>0</v>
      </c>
      <c r="R9" s="662" t="s">
        <v>944</v>
      </c>
      <c r="S9" s="663" t="b">
        <f>_xll.meLWOExists(CZK3M,"CURVE")</f>
        <v>0</v>
      </c>
      <c r="T9" s="662" t="s">
        <v>1272</v>
      </c>
      <c r="U9" s="663" t="b">
        <f>_xll.meLWOExists(HKD3M,"CURVE")</f>
        <v>0</v>
      </c>
      <c r="V9" s="662" t="s">
        <v>955</v>
      </c>
      <c r="W9" s="663" t="b">
        <f>_xll.meLWOExists(HUF3M,"CURVE")</f>
        <v>0</v>
      </c>
      <c r="X9" s="662" t="s">
        <v>1030</v>
      </c>
      <c r="Y9" s="663" t="b">
        <f>_xll.meLWOExists(ILS3M,"CURVE")</f>
        <v>0</v>
      </c>
      <c r="Z9" s="662" t="s">
        <v>1659</v>
      </c>
      <c r="AA9" s="661" t="b">
        <f>_xll.meLWOExists(INROIS,"CURVE")</f>
        <v>0</v>
      </c>
      <c r="AB9" s="662" t="s">
        <v>960</v>
      </c>
      <c r="AC9" s="663" t="b">
        <f>_xll.meLWOExists(PLN3M,"CURVE")</f>
        <v>0</v>
      </c>
      <c r="AD9" s="662" t="s">
        <v>978</v>
      </c>
      <c r="AE9" s="663" t="b">
        <f>_xll.meLWOExists(RON3M,"CURVE")</f>
        <v>0</v>
      </c>
      <c r="AF9" s="662" t="s">
        <v>961</v>
      </c>
      <c r="AG9" s="663" t="b">
        <f>_xll.meLWOExists(RUB3M,"CURVE")</f>
        <v>0</v>
      </c>
      <c r="AH9" s="662" t="s">
        <v>939</v>
      </c>
      <c r="AI9" s="663" t="b">
        <f>_xll.meLWOExists(SAR3M,"CURVE")</f>
        <v>0</v>
      </c>
      <c r="AJ9" s="662" t="s">
        <v>965</v>
      </c>
      <c r="AK9" s="663" t="b">
        <f>_xll.meLWOExists(TRY3M,"CURVE")</f>
        <v>0</v>
      </c>
      <c r="AL9" s="662" t="s">
        <v>971</v>
      </c>
      <c r="AM9" s="663" t="b">
        <f>_xll.meLWOExists(ZAR3M,"CURVE")</f>
        <v>0</v>
      </c>
    </row>
    <row r="10" spans="2:39" x14ac:dyDescent="0.25">
      <c r="B10" s="209" t="s">
        <v>1004</v>
      </c>
      <c r="D10" s="662" t="s">
        <v>482</v>
      </c>
      <c r="E10" s="663" t="b">
        <f ca="1">_xll.meLWOExists(USD6M,"CURVE")</f>
        <v>1</v>
      </c>
      <c r="F10" s="662" t="s">
        <v>1081</v>
      </c>
      <c r="G10" s="663" t="b">
        <f ca="1">_xll.meLWOExists(EUR6M,"CURVE")</f>
        <v>1</v>
      </c>
      <c r="H10" s="662" t="s">
        <v>1122</v>
      </c>
      <c r="I10" s="663" t="b">
        <f ca="1">_xll.meLWOExists(JPY6M,"CURVE")</f>
        <v>1</v>
      </c>
      <c r="J10" s="662" t="s">
        <v>1041</v>
      </c>
      <c r="K10" s="663" t="b">
        <f>_xll.meLWOExists(AED6M,"CURVE")</f>
        <v>0</v>
      </c>
      <c r="L10" s="662" t="s">
        <v>1667</v>
      </c>
      <c r="M10" s="664"/>
      <c r="N10" s="662" t="s">
        <v>1215</v>
      </c>
      <c r="O10" s="663" t="b">
        <f>_xll.meLWOExists(CAD6M,"CURVE")</f>
        <v>0</v>
      </c>
      <c r="P10" s="662" t="s">
        <v>1601</v>
      </c>
      <c r="Q10" s="663" t="b">
        <f>_xll.meLWOExists(CNH6M,"CURVE")</f>
        <v>0</v>
      </c>
      <c r="R10" s="662" t="s">
        <v>943</v>
      </c>
      <c r="S10" s="663" t="b">
        <f>_xll.meLWOExists(CZK6M,"CURVE")</f>
        <v>0</v>
      </c>
      <c r="T10" s="662" t="s">
        <v>1288</v>
      </c>
      <c r="U10" s="663" t="b">
        <f>_xll.meLWOExists(HKD6M,"CURVE")</f>
        <v>0</v>
      </c>
      <c r="V10" s="662" t="s">
        <v>954</v>
      </c>
      <c r="W10" s="663" t="b">
        <f>_xll.meLWOExists(HUF6M,"CURVE")</f>
        <v>0</v>
      </c>
      <c r="X10" s="662" t="s">
        <v>1031</v>
      </c>
      <c r="Y10" s="663" t="b">
        <f>_xll.meLWOExists(ILS6M,"CURVE")</f>
        <v>0</v>
      </c>
      <c r="Z10" s="662" t="s">
        <v>1660</v>
      </c>
      <c r="AA10" s="663" t="b">
        <f>_xll.meLWOExists(INROIS,"CURVE")</f>
        <v>0</v>
      </c>
      <c r="AB10" s="662" t="s">
        <v>957</v>
      </c>
      <c r="AC10" s="663" t="b">
        <f>_xll.meLWOExists(PLN6M,"CURVE")</f>
        <v>0</v>
      </c>
      <c r="AD10" s="662" t="s">
        <v>1170</v>
      </c>
      <c r="AE10" s="663" t="b">
        <f>_xll.meLWOExists(RON6M,"CURVE")</f>
        <v>0</v>
      </c>
      <c r="AF10" s="662" t="s">
        <v>1010</v>
      </c>
      <c r="AG10" s="663" t="b">
        <f>_xll.meLWOExists(RUB6M,"CURVE")</f>
        <v>0</v>
      </c>
      <c r="AH10" s="662" t="s">
        <v>1036</v>
      </c>
      <c r="AI10" s="663" t="b">
        <f>_xll.meLWOExists(SAR6M,"CURVE")</f>
        <v>0</v>
      </c>
      <c r="AJ10" s="662" t="s">
        <v>1175</v>
      </c>
      <c r="AK10" s="663" t="b">
        <f>_xll.meLWOExists(TRY6M,"CURVE")</f>
        <v>0</v>
      </c>
      <c r="AL10" s="662" t="s">
        <v>1001</v>
      </c>
      <c r="AM10" s="663" t="b">
        <f>_xll.meLWOExists(ZAR6M,"CURVE")</f>
        <v>0</v>
      </c>
    </row>
    <row r="11" spans="2:39" x14ac:dyDescent="0.25">
      <c r="B11" s="209" t="s">
        <v>1005</v>
      </c>
      <c r="D11" s="662"/>
      <c r="E11" s="664"/>
      <c r="F11" s="662"/>
      <c r="G11" s="664"/>
      <c r="H11" s="662"/>
      <c r="I11" s="664"/>
      <c r="J11" s="662"/>
      <c r="K11" s="664"/>
      <c r="L11" s="662"/>
      <c r="M11" s="664"/>
      <c r="N11" s="662"/>
      <c r="O11" s="664"/>
      <c r="P11" s="662"/>
      <c r="Q11" s="664"/>
      <c r="R11" s="662"/>
      <c r="S11" s="664"/>
      <c r="T11" s="662"/>
      <c r="U11" s="664"/>
      <c r="V11" s="662"/>
      <c r="W11" s="664"/>
      <c r="X11" s="662"/>
      <c r="Y11" s="664"/>
      <c r="Z11" s="662"/>
      <c r="AA11" s="664"/>
      <c r="AB11" s="662"/>
      <c r="AC11" s="664"/>
      <c r="AD11" s="662"/>
      <c r="AE11" s="664"/>
      <c r="AF11" s="662"/>
      <c r="AG11" s="664"/>
      <c r="AH11" s="662"/>
      <c r="AI11" s="664"/>
      <c r="AJ11" s="662"/>
      <c r="AK11" s="664"/>
      <c r="AL11" s="662"/>
      <c r="AM11" s="664"/>
    </row>
    <row r="12" spans="2:39" x14ac:dyDescent="0.25">
      <c r="B12" s="209" t="s">
        <v>1096</v>
      </c>
      <c r="D12" s="662" t="s">
        <v>1080</v>
      </c>
      <c r="E12" s="663" t="b">
        <f ca="1">_xll.meLWOExists(USDOIS,"CURVE")</f>
        <v>1</v>
      </c>
      <c r="F12" s="662" t="s">
        <v>1066</v>
      </c>
      <c r="G12" s="663" t="b">
        <f ca="1">_xll.meLWOExists(EURXCCY,"CURVE")</f>
        <v>1</v>
      </c>
      <c r="H12" s="662" t="s">
        <v>1125</v>
      </c>
      <c r="I12" s="663" t="b">
        <f ca="1">_xll.meLWOExists(JPYXCCY,"CURVE")</f>
        <v>1</v>
      </c>
      <c r="J12" s="662" t="s">
        <v>1042</v>
      </c>
      <c r="K12" s="663" t="b">
        <f>_xll.meLWOExists(AEDXCCY,"CURVE")</f>
        <v>0</v>
      </c>
      <c r="L12" s="662" t="s">
        <v>1650</v>
      </c>
      <c r="M12" s="300"/>
      <c r="N12" s="662" t="s">
        <v>1214</v>
      </c>
      <c r="O12" s="663" t="b">
        <f>_xll.meLWOExists(CADXCCY,"CURVE")</f>
        <v>0</v>
      </c>
      <c r="P12" s="662" t="s">
        <v>1259</v>
      </c>
      <c r="Q12" s="663" t="b">
        <f>_xll.meLWOExists(CNHXCCY,"CURVE")</f>
        <v>0</v>
      </c>
      <c r="R12" s="662" t="s">
        <v>1186</v>
      </c>
      <c r="S12" s="663" t="b">
        <f>_xll.meLWOExists(CZKXCCY,"CURVE")</f>
        <v>0</v>
      </c>
      <c r="T12" s="662" t="s">
        <v>1289</v>
      </c>
      <c r="U12" s="663" t="b">
        <f>_xll.meLWOExists(HKDXCCY,"CURVE")</f>
        <v>0</v>
      </c>
      <c r="V12" s="662" t="s">
        <v>1461</v>
      </c>
      <c r="W12" s="663" t="b">
        <f>_xll.meLWOExists(HUFUSDCSA,"CURVE")</f>
        <v>0</v>
      </c>
      <c r="X12" s="662" t="s">
        <v>1032</v>
      </c>
      <c r="Y12" s="663" t="b">
        <f>_xll.meLWOExists(ILSXCCY,"CURVE")</f>
        <v>0</v>
      </c>
      <c r="Z12" s="662" t="s">
        <v>1312</v>
      </c>
      <c r="AA12" s="663" t="b">
        <f>_xll.meLWOExists(INRXCCY,"CURVE")</f>
        <v>0</v>
      </c>
      <c r="AB12" s="662" t="s">
        <v>1328</v>
      </c>
      <c r="AC12" s="663" t="b">
        <f>_xll.meLWOExists(PLNXCCY,"CURVE")</f>
        <v>0</v>
      </c>
      <c r="AD12" s="662"/>
      <c r="AE12" s="664"/>
      <c r="AF12" s="662" t="s">
        <v>1011</v>
      </c>
      <c r="AG12" s="663" t="b">
        <f>_xll.meLWOExists(RUBXCCY,"CURVE")</f>
        <v>0</v>
      </c>
      <c r="AH12" s="662" t="s">
        <v>1037</v>
      </c>
      <c r="AI12" s="663" t="b">
        <f>_xll.meLWOExists(SARXCCY,"CURVE")</f>
        <v>0</v>
      </c>
      <c r="AJ12" s="662" t="s">
        <v>1000</v>
      </c>
      <c r="AK12" s="663" t="b">
        <f>_xll.meLWOExists(TRYXCCY,"CURVE")</f>
        <v>0</v>
      </c>
      <c r="AL12" s="662" t="s">
        <v>827</v>
      </c>
      <c r="AM12" s="663" t="b">
        <f>_xll.meLWOExists(ZARXCCY,"CURVE")</f>
        <v>0</v>
      </c>
    </row>
    <row r="13" spans="2:39" x14ac:dyDescent="0.25">
      <c r="B13" s="209" t="s">
        <v>1095</v>
      </c>
      <c r="D13" s="662" t="s">
        <v>1094</v>
      </c>
      <c r="E13" s="663" t="b">
        <f ca="1">_xll.meLWOExists(USDEURCSA,"CURVE")</f>
        <v>1</v>
      </c>
      <c r="F13" s="662" t="str">
        <f>F7</f>
        <v>EUROIS</v>
      </c>
      <c r="G13" s="663" t="b">
        <f ca="1">_xll.meLWOExists(EUROIS,"CURVE")</f>
        <v>1</v>
      </c>
      <c r="H13" s="662" t="s">
        <v>1326</v>
      </c>
      <c r="I13" s="663" t="b">
        <f ca="1">_xll.meLWOExists(JPYEURCSA,"CURVE")</f>
        <v>1</v>
      </c>
      <c r="J13" s="662" t="s">
        <v>1619</v>
      </c>
      <c r="K13" s="663" t="b">
        <f>_xll.meLWOExists(AEDEURCSA,"CURVE")</f>
        <v>0</v>
      </c>
      <c r="L13" s="662" t="s">
        <v>1668</v>
      </c>
      <c r="M13" s="300"/>
      <c r="N13" s="662" t="s">
        <v>1216</v>
      </c>
      <c r="O13" s="663" t="b">
        <f>_xll.meLWOExists(CADEURCSA,"CURVE")</f>
        <v>0</v>
      </c>
      <c r="P13" s="662" t="s">
        <v>1252</v>
      </c>
      <c r="Q13" s="663" t="b">
        <f>_xll.meLWOExists(CNHEURCSA,"CURVE")</f>
        <v>0</v>
      </c>
      <c r="R13" s="662" t="s">
        <v>930</v>
      </c>
      <c r="S13" s="663" t="b">
        <f>_xll.meLWOExists(CZKEURCSA,"CURVE")</f>
        <v>0</v>
      </c>
      <c r="T13" s="662" t="s">
        <v>1602</v>
      </c>
      <c r="U13" s="663" t="b">
        <f>_xll.meLWOExists(HKDEURCSA,"CURVE")</f>
        <v>0</v>
      </c>
      <c r="V13" s="662" t="s">
        <v>931</v>
      </c>
      <c r="W13" s="663" t="b">
        <f>_xll.meLWOExists(HUFXCCY,"CURVE")</f>
        <v>0</v>
      </c>
      <c r="X13" s="662" t="s">
        <v>1608</v>
      </c>
      <c r="Y13" s="663" t="b">
        <f>_xll.meLWOExists(ILSEURCSA,"CURVE")</f>
        <v>0</v>
      </c>
      <c r="Z13" s="662" t="s">
        <v>1315</v>
      </c>
      <c r="AA13" s="663" t="b">
        <f>_xll.meLWOExists(INREURCSA,"CURVE")</f>
        <v>0</v>
      </c>
      <c r="AB13" s="662" t="s">
        <v>1024</v>
      </c>
      <c r="AC13" s="663" t="b">
        <f>_xll.meLWOExists(PLNEURCSA,"CURVE")</f>
        <v>0</v>
      </c>
      <c r="AD13" s="662" t="s">
        <v>1027</v>
      </c>
      <c r="AE13" s="663" t="b">
        <f>_xll.meLWOExists(RONXCCY,"CURVE")</f>
        <v>0</v>
      </c>
      <c r="AF13" s="662" t="s">
        <v>1082</v>
      </c>
      <c r="AG13" s="663" t="b">
        <f>_xll.meLWOExists(RUBEURCSA,"CURVE")</f>
        <v>0</v>
      </c>
      <c r="AH13" s="662" t="s">
        <v>1200</v>
      </c>
      <c r="AI13" s="663" t="b">
        <f>_xll.meLWOExists(SAREURCSA,"CURVE")</f>
        <v>0</v>
      </c>
      <c r="AJ13" s="662" t="s">
        <v>1141</v>
      </c>
      <c r="AK13" s="663" t="b">
        <f>_xll.meLWOExists(TRYEURCSA,"CURVE")</f>
        <v>0</v>
      </c>
      <c r="AL13" s="662" t="s">
        <v>1136</v>
      </c>
      <c r="AM13" s="663" t="b">
        <f>_xll.meLWOExists(ZAREURCSA,"CURVE")</f>
        <v>0</v>
      </c>
    </row>
    <row r="14" spans="2:39" x14ac:dyDescent="0.25">
      <c r="B14" s="209" t="s">
        <v>1097</v>
      </c>
      <c r="D14" s="665" t="s">
        <v>1098</v>
      </c>
      <c r="E14" s="666" t="b">
        <f ca="1">_xll.meLWOExists(USDJPYCSA,"CURVE")</f>
        <v>1</v>
      </c>
      <c r="F14" s="665" t="s">
        <v>1188</v>
      </c>
      <c r="G14" s="666" t="b">
        <f ca="1">_xll.meLWOExists(EURJPYCSA,"CURVE")</f>
        <v>1</v>
      </c>
      <c r="H14" s="665" t="str">
        <f>H7</f>
        <v>JPYOIS</v>
      </c>
      <c r="I14" s="666" t="b">
        <f ca="1">_xll.meLWOExists(JPYOIS,"CURVE")</f>
        <v>1</v>
      </c>
      <c r="J14" s="665" t="s">
        <v>1618</v>
      </c>
      <c r="K14" s="666" t="b">
        <f>_xll.meLWOExists(AEDJPYCSA,"CURVE")</f>
        <v>0</v>
      </c>
      <c r="L14" s="665" t="s">
        <v>1669</v>
      </c>
      <c r="M14" s="301"/>
      <c r="N14" s="665" t="s">
        <v>1219</v>
      </c>
      <c r="O14" s="666" t="b">
        <f>_xll.meLWOExists(CADJPYCSA,"CURVE")</f>
        <v>0</v>
      </c>
      <c r="P14" s="665" t="s">
        <v>1256</v>
      </c>
      <c r="Q14" s="666" t="b">
        <f>_xll.meLWOExists(CNHJPYCSA,"CURVE")</f>
        <v>0</v>
      </c>
      <c r="R14" s="665" t="s">
        <v>1187</v>
      </c>
      <c r="S14" s="666" t="b">
        <f>_xll.meLWOExists(CZKJPYCSA,"CURVE")</f>
        <v>0</v>
      </c>
      <c r="T14" s="665" t="s">
        <v>1603</v>
      </c>
      <c r="U14" s="666" t="b">
        <f>_xll.meLWOExists(HKDJPYCSA,"CURVE")</f>
        <v>0</v>
      </c>
      <c r="V14" s="665" t="s">
        <v>1457</v>
      </c>
      <c r="W14" s="666" t="b">
        <f>_xll.meLWOExists(HUFJPYCSA,"CURVE")</f>
        <v>0</v>
      </c>
      <c r="X14" s="665" t="s">
        <v>1612</v>
      </c>
      <c r="Y14" s="666" t="b">
        <f>_xll.meLWOExists(ILSJPYCSA,"CURVE")</f>
        <v>0</v>
      </c>
      <c r="Z14" s="665" t="s">
        <v>1604</v>
      </c>
      <c r="AA14" s="666" t="b">
        <f>_xll.meLWOExists(INRJPYCSA,"CURVE")</f>
        <v>0</v>
      </c>
      <c r="AB14" s="665" t="s">
        <v>1330</v>
      </c>
      <c r="AC14" s="666" t="b">
        <f>_xll.meLWOExists(PLNJPYCSA,"CURVE")</f>
        <v>0</v>
      </c>
      <c r="AD14" s="665"/>
      <c r="AE14" s="667"/>
      <c r="AF14" s="665" t="s">
        <v>1132</v>
      </c>
      <c r="AG14" s="666" t="b">
        <f>_xll.meLWOExists(RUBJPYCSA,"CURVE")</f>
        <v>0</v>
      </c>
      <c r="AH14" s="665" t="s">
        <v>1203</v>
      </c>
      <c r="AI14" s="666" t="b">
        <f>_xll.meLWOExists(SARJPYCSA,"CURVE")</f>
        <v>0</v>
      </c>
      <c r="AJ14" s="665" t="s">
        <v>1144</v>
      </c>
      <c r="AK14" s="666" t="b">
        <f>_xll.meLWOExists(TRYJPYCSA,"CURVE")</f>
        <v>0</v>
      </c>
      <c r="AL14" s="665" t="s">
        <v>1138</v>
      </c>
      <c r="AM14" s="666" t="b">
        <f>_xll.meLWOExists(ZARJPYCSA,"CURVE")</f>
        <v>0</v>
      </c>
    </row>
    <row r="16" spans="2:39" x14ac:dyDescent="0.25">
      <c r="B16" s="209" t="s">
        <v>820</v>
      </c>
      <c r="D16" s="669"/>
      <c r="E16" s="670"/>
      <c r="F16" s="672" t="str">
        <f ca="1">EUR_CURVES!CK55</f>
        <v>FX_CURVE_EURUSD@50:3</v>
      </c>
      <c r="G16" s="674"/>
      <c r="H16" s="675" t="str">
        <f ca="1">JPY_CURVES!CK55</f>
        <v>FX_CURVE_EURUSD@51:3</v>
      </c>
      <c r="I16" s="676"/>
      <c r="J16" s="672" t="str">
        <f>AED_CURVES!BZ55</f>
        <v>FX_CURVE_USDAED@291:10</v>
      </c>
      <c r="K16" s="673"/>
      <c r="L16" s="672" t="str">
        <f>BRL_CURVES!BZ55</f>
        <v>FX_CURVE_USDBRL@39:54</v>
      </c>
      <c r="M16" s="671"/>
      <c r="N16" s="670" t="str">
        <f>CAD_CURVES!BZ55</f>
        <v>FX_CURVE_USDZAR@93:7</v>
      </c>
      <c r="O16" s="670"/>
      <c r="P16" s="669" t="str">
        <f>CNH_CURVES!BZ55</f>
        <v>FX_CURVE_USDCNH@116:7</v>
      </c>
      <c r="Q16" s="670" t="str">
        <f>CNH_CURVES!BZ55</f>
        <v>FX_CURVE_USDCNH@116:7</v>
      </c>
      <c r="R16" s="670" t="str">
        <f>CZK_CURVES!BZ55</f>
        <v>FX_CURVE_USDCZK@297:10</v>
      </c>
      <c r="S16" s="670"/>
      <c r="T16" s="672"/>
      <c r="U16" s="674"/>
      <c r="V16" s="669" t="str">
        <f>HUF_CURVES!BZ54</f>
        <v>FX_CURVE_USDHUF@277:10</v>
      </c>
      <c r="W16" s="670"/>
      <c r="X16" s="669"/>
      <c r="Y16" s="670"/>
      <c r="Z16" s="675"/>
      <c r="AA16" s="676"/>
      <c r="AB16" s="672" t="str">
        <f>PLN_CURVES!BZ55</f>
        <v>FX_CURVE_USDPLN@284:10</v>
      </c>
      <c r="AC16" s="674"/>
      <c r="AD16" s="675"/>
      <c r="AE16" s="676"/>
      <c r="AF16" s="672" t="str">
        <f>RUB_CURVES!BZ55</f>
        <v>FX_CURVE_USDRUB@279:10</v>
      </c>
      <c r="AG16" s="674"/>
      <c r="AH16" s="670" t="str">
        <f>SAR_CURVES!BZ55</f>
        <v>FX_CURVE_USDSAR@288:10</v>
      </c>
      <c r="AI16" s="670"/>
      <c r="AJ16" s="670" t="str">
        <f>TRY_CURVES!BZ55</f>
        <v>FX_CURVE_USDTRY@286:10</v>
      </c>
      <c r="AK16" s="670"/>
      <c r="AL16" s="675" t="str">
        <f>ZAR_CURVES!BZ55</f>
        <v>FX_CURVE_USDZAR@299:10</v>
      </c>
      <c r="AM16" s="676"/>
    </row>
    <row r="17" spans="2:38" x14ac:dyDescent="0.25"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</row>
    <row r="18" spans="2:38" x14ac:dyDescent="0.25">
      <c r="B18" s="681" t="s">
        <v>1664</v>
      </c>
      <c r="D18" s="688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</row>
    <row r="19" spans="2:38" x14ac:dyDescent="0.25">
      <c r="D19" s="692" t="s">
        <v>1676</v>
      </c>
      <c r="F19" s="692" t="s">
        <v>1678</v>
      </c>
      <c r="H19" s="692" t="s">
        <v>1679</v>
      </c>
      <c r="I19" s="382"/>
      <c r="J19" s="692" t="s">
        <v>1680</v>
      </c>
      <c r="K19" s="382"/>
      <c r="L19" s="692" t="s">
        <v>1685</v>
      </c>
      <c r="M19" s="382"/>
      <c r="N19" s="692" t="s">
        <v>1686</v>
      </c>
      <c r="O19" s="382"/>
      <c r="P19" s="692" t="s">
        <v>1689</v>
      </c>
      <c r="Q19" s="382"/>
      <c r="R19" s="692" t="s">
        <v>1690</v>
      </c>
      <c r="S19" s="382"/>
      <c r="T19" s="692" t="s">
        <v>1693</v>
      </c>
      <c r="V19" s="692" t="s">
        <v>1694</v>
      </c>
      <c r="X19" s="692" t="s">
        <v>1696</v>
      </c>
      <c r="Z19" s="692" t="s">
        <v>1699</v>
      </c>
      <c r="AB19" s="692" t="s">
        <v>1700</v>
      </c>
      <c r="AD19" s="692" t="s">
        <v>1703</v>
      </c>
      <c r="AF19" s="692" t="s">
        <v>1704</v>
      </c>
      <c r="AH19" s="692" t="s">
        <v>1707</v>
      </c>
      <c r="AJ19" s="692" t="s">
        <v>1708</v>
      </c>
      <c r="AL19" s="692" t="s">
        <v>1711</v>
      </c>
    </row>
    <row r="20" spans="2:38" x14ac:dyDescent="0.25">
      <c r="D20" s="691"/>
      <c r="F20" s="691"/>
      <c r="G20" s="382"/>
      <c r="H20" s="691"/>
      <c r="I20" s="382"/>
      <c r="J20" s="691"/>
      <c r="K20" s="382"/>
      <c r="L20" s="691"/>
      <c r="M20" s="382"/>
      <c r="N20" s="691"/>
      <c r="O20" s="382"/>
      <c r="P20" s="691"/>
      <c r="Q20" s="382"/>
      <c r="R20" s="691"/>
      <c r="S20" s="382"/>
      <c r="T20" s="691"/>
      <c r="V20" s="691"/>
      <c r="X20" s="691"/>
      <c r="Z20" s="691"/>
      <c r="AB20" s="691"/>
      <c r="AD20" s="691"/>
      <c r="AF20" s="691"/>
      <c r="AH20" s="691"/>
      <c r="AJ20" s="691"/>
      <c r="AL20" s="691"/>
    </row>
    <row r="21" spans="2:38" x14ac:dyDescent="0.25">
      <c r="D21" s="691"/>
      <c r="F21" s="691"/>
      <c r="G21" s="382"/>
      <c r="H21" s="691"/>
      <c r="I21" s="382"/>
      <c r="J21" s="691"/>
      <c r="K21" s="382"/>
      <c r="L21" s="691"/>
      <c r="M21" s="382"/>
      <c r="N21" s="691"/>
      <c r="O21" s="382"/>
      <c r="P21" s="691"/>
      <c r="Q21" s="382"/>
      <c r="R21" s="691"/>
      <c r="S21" s="382"/>
      <c r="T21" s="691"/>
      <c r="V21" s="691"/>
      <c r="X21" s="691"/>
      <c r="Z21" s="691"/>
      <c r="AB21" s="691"/>
      <c r="AD21" s="691"/>
      <c r="AF21" s="691"/>
      <c r="AH21" s="691"/>
      <c r="AJ21" s="691"/>
      <c r="AL21" s="691"/>
    </row>
    <row r="22" spans="2:38" ht="15.75" x14ac:dyDescent="0.25">
      <c r="D22" s="696" t="s">
        <v>1713</v>
      </c>
      <c r="F22" s="688"/>
      <c r="G22" s="382"/>
      <c r="H22" s="688"/>
      <c r="I22" s="382"/>
      <c r="J22" s="688"/>
      <c r="K22" s="382"/>
      <c r="L22" s="688"/>
      <c r="M22" s="382"/>
      <c r="N22" s="688"/>
      <c r="O22" s="382"/>
      <c r="P22" s="688"/>
      <c r="Q22" s="382"/>
      <c r="R22" s="688"/>
      <c r="S22" s="382"/>
      <c r="T22" s="688"/>
      <c r="V22" s="688"/>
      <c r="X22" s="688"/>
      <c r="Z22" s="688"/>
      <c r="AB22" s="688"/>
      <c r="AD22" s="688"/>
      <c r="AF22" s="688"/>
      <c r="AH22" s="688"/>
      <c r="AJ22" s="688"/>
      <c r="AL22" s="688"/>
    </row>
    <row r="23" spans="2:38" s="620" customFormat="1" x14ac:dyDescent="0.25">
      <c r="B23" s="209"/>
      <c r="D23" s="688"/>
      <c r="F23" s="688"/>
      <c r="G23" s="382"/>
      <c r="H23" s="688"/>
      <c r="I23" s="382"/>
      <c r="J23" s="688"/>
      <c r="K23" s="382"/>
      <c r="L23" s="688"/>
      <c r="M23" s="382"/>
      <c r="N23" s="688"/>
      <c r="O23" s="382"/>
      <c r="P23" s="688"/>
      <c r="Q23" s="382"/>
      <c r="R23" s="688"/>
      <c r="S23" s="382"/>
      <c r="T23" s="688"/>
      <c r="V23" s="688"/>
      <c r="X23" s="688"/>
      <c r="Z23" s="688"/>
      <c r="AB23" s="688"/>
      <c r="AD23" s="688"/>
      <c r="AF23" s="688"/>
      <c r="AH23" s="688"/>
      <c r="AJ23" s="688"/>
      <c r="AL23" s="688"/>
    </row>
    <row r="24" spans="2:38" x14ac:dyDescent="0.25">
      <c r="D24" s="692" t="s">
        <v>1677</v>
      </c>
      <c r="F24" s="692" t="s">
        <v>1681</v>
      </c>
      <c r="G24" s="382"/>
      <c r="H24" s="692" t="s">
        <v>1682</v>
      </c>
      <c r="I24" s="382"/>
      <c r="J24" s="692" t="s">
        <v>1683</v>
      </c>
      <c r="K24" s="382"/>
      <c r="L24" s="692" t="s">
        <v>1684</v>
      </c>
      <c r="M24" s="382"/>
      <c r="N24" s="692" t="s">
        <v>1687</v>
      </c>
      <c r="O24" s="382"/>
      <c r="P24" s="692" t="s">
        <v>1688</v>
      </c>
      <c r="Q24" s="382"/>
      <c r="R24" s="692" t="s">
        <v>1691</v>
      </c>
      <c r="S24" s="382"/>
      <c r="T24" s="692" t="s">
        <v>1692</v>
      </c>
      <c r="V24" s="692" t="s">
        <v>1695</v>
      </c>
      <c r="X24" s="692" t="s">
        <v>1697</v>
      </c>
      <c r="Z24" s="692" t="s">
        <v>1698</v>
      </c>
      <c r="AB24" s="692" t="s">
        <v>1701</v>
      </c>
      <c r="AD24" s="692" t="s">
        <v>1702</v>
      </c>
      <c r="AF24" s="692" t="s">
        <v>1705</v>
      </c>
      <c r="AH24" s="692" t="s">
        <v>1706</v>
      </c>
      <c r="AJ24" s="692" t="s">
        <v>1709</v>
      </c>
      <c r="AL24" s="692" t="s">
        <v>1710</v>
      </c>
    </row>
    <row r="25" spans="2:38" x14ac:dyDescent="0.25">
      <c r="D25" s="691"/>
      <c r="F25" s="691"/>
      <c r="G25" s="382"/>
      <c r="H25" s="691"/>
      <c r="I25" s="382"/>
      <c r="J25" s="691"/>
      <c r="K25" s="382"/>
      <c r="L25" s="691"/>
      <c r="M25" s="382"/>
      <c r="N25" s="691"/>
      <c r="O25" s="382"/>
      <c r="P25" s="691"/>
      <c r="Q25" s="382"/>
      <c r="R25" s="691"/>
      <c r="S25" s="382"/>
      <c r="T25" s="691"/>
      <c r="V25" s="691"/>
      <c r="X25" s="691"/>
      <c r="Z25" s="691"/>
      <c r="AB25" s="691"/>
      <c r="AD25" s="691"/>
      <c r="AF25" s="691"/>
      <c r="AH25" s="691"/>
      <c r="AJ25" s="691"/>
      <c r="AL25" s="691"/>
    </row>
    <row r="26" spans="2:38" x14ac:dyDescent="0.25">
      <c r="D26" s="691"/>
      <c r="F26" s="691"/>
      <c r="G26" s="382"/>
      <c r="H26" s="691"/>
      <c r="I26" s="382"/>
      <c r="J26" s="691"/>
      <c r="K26" s="382"/>
      <c r="L26" s="691"/>
      <c r="M26" s="382"/>
      <c r="N26" s="691"/>
      <c r="O26" s="382"/>
      <c r="P26" s="691"/>
      <c r="Q26" s="382"/>
      <c r="R26" s="691"/>
      <c r="S26" s="382"/>
      <c r="T26" s="691"/>
      <c r="V26" s="691"/>
      <c r="X26" s="691"/>
      <c r="Z26" s="691"/>
      <c r="AB26" s="691"/>
      <c r="AD26" s="691"/>
      <c r="AF26" s="691"/>
      <c r="AH26" s="691"/>
      <c r="AJ26" s="691"/>
      <c r="AL26" s="691"/>
    </row>
    <row r="27" spans="2:38" ht="15.75" x14ac:dyDescent="0.25">
      <c r="D27" s="696" t="s">
        <v>1712</v>
      </c>
      <c r="F27" s="688"/>
      <c r="G27" s="382"/>
      <c r="H27" s="688"/>
      <c r="I27" s="382"/>
      <c r="J27" s="688"/>
      <c r="K27" s="382"/>
      <c r="L27" s="688"/>
      <c r="M27" s="382"/>
      <c r="N27" s="688"/>
      <c r="O27" s="382"/>
      <c r="P27" s="688"/>
      <c r="Q27" s="382"/>
      <c r="R27" s="688"/>
      <c r="S27" s="382"/>
      <c r="T27" s="688"/>
      <c r="V27" s="688"/>
      <c r="X27" s="688"/>
      <c r="Z27" s="688"/>
      <c r="AB27" s="688"/>
      <c r="AD27" s="688"/>
      <c r="AF27" s="688"/>
      <c r="AH27" s="688"/>
      <c r="AJ27" s="688"/>
      <c r="AL27" s="688"/>
    </row>
    <row r="28" spans="2:38" x14ac:dyDescent="0.25"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</row>
    <row r="29" spans="2:38" x14ac:dyDescent="0.25"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</row>
  </sheetData>
  <mergeCells count="36">
    <mergeCell ref="AH19:AH21"/>
    <mergeCell ref="AH24:AH26"/>
    <mergeCell ref="AJ19:AJ21"/>
    <mergeCell ref="AJ24:AJ26"/>
    <mergeCell ref="AL19:AL21"/>
    <mergeCell ref="AL24:AL26"/>
    <mergeCell ref="AB19:AB21"/>
    <mergeCell ref="AB24:AB26"/>
    <mergeCell ref="AD19:AD21"/>
    <mergeCell ref="AD24:AD26"/>
    <mergeCell ref="AF19:AF21"/>
    <mergeCell ref="AF24:AF26"/>
    <mergeCell ref="V19:V21"/>
    <mergeCell ref="V24:V26"/>
    <mergeCell ref="X19:X21"/>
    <mergeCell ref="X24:X26"/>
    <mergeCell ref="Z19:Z21"/>
    <mergeCell ref="Z24:Z26"/>
    <mergeCell ref="P19:P21"/>
    <mergeCell ref="P24:P26"/>
    <mergeCell ref="R19:R21"/>
    <mergeCell ref="R24:R26"/>
    <mergeCell ref="T19:T21"/>
    <mergeCell ref="T24:T26"/>
    <mergeCell ref="J19:J21"/>
    <mergeCell ref="J24:J26"/>
    <mergeCell ref="L19:L21"/>
    <mergeCell ref="L24:L26"/>
    <mergeCell ref="N19:N21"/>
    <mergeCell ref="N24:N26"/>
    <mergeCell ref="D19:D21"/>
    <mergeCell ref="D24:D26"/>
    <mergeCell ref="F19:F21"/>
    <mergeCell ref="F24:F26"/>
    <mergeCell ref="H19:H21"/>
    <mergeCell ref="H24:H26"/>
  </mergeCells>
  <conditionalFormatting sqref="E7">
    <cfRule type="cellIs" dxfId="24" priority="76" operator="notEqual">
      <formula>TRUE</formula>
    </cfRule>
  </conditionalFormatting>
  <conditionalFormatting sqref="E8:E10">
    <cfRule type="cellIs" dxfId="23" priority="75" operator="notEqual">
      <formula>TRUE</formula>
    </cfRule>
  </conditionalFormatting>
  <conditionalFormatting sqref="E12:E14">
    <cfRule type="cellIs" dxfId="22" priority="74" operator="notEqual">
      <formula>TRUE</formula>
    </cfRule>
  </conditionalFormatting>
  <conditionalFormatting sqref="G7">
    <cfRule type="cellIs" dxfId="21" priority="25" operator="notEqual">
      <formula>TRUE</formula>
    </cfRule>
  </conditionalFormatting>
  <conditionalFormatting sqref="G8:G10">
    <cfRule type="cellIs" dxfId="20" priority="24" operator="notEqual">
      <formula>TRUE</formula>
    </cfRule>
  </conditionalFormatting>
  <conditionalFormatting sqref="G12:G14">
    <cfRule type="cellIs" dxfId="19" priority="23" operator="notEqual">
      <formula>TRUE</formula>
    </cfRule>
  </conditionalFormatting>
  <conditionalFormatting sqref="I7">
    <cfRule type="cellIs" dxfId="18" priority="22" operator="notEqual">
      <formula>TRUE</formula>
    </cfRule>
  </conditionalFormatting>
  <conditionalFormatting sqref="I9:I10">
    <cfRule type="cellIs" dxfId="17" priority="21" operator="notEqual">
      <formula>TRUE</formula>
    </cfRule>
  </conditionalFormatting>
  <conditionalFormatting sqref="I12:I14">
    <cfRule type="cellIs" dxfId="16" priority="20" operator="notEqual">
      <formula>TRUE</formula>
    </cfRule>
  </conditionalFormatting>
  <conditionalFormatting sqref="O7">
    <cfRule type="cellIs" dxfId="15" priority="19" operator="notEqual">
      <formula>TRUE</formula>
    </cfRule>
  </conditionalFormatting>
  <conditionalFormatting sqref="O8:O10">
    <cfRule type="cellIs" dxfId="14" priority="18" operator="notEqual">
      <formula>TRUE</formula>
    </cfRule>
  </conditionalFormatting>
  <conditionalFormatting sqref="O12:O14">
    <cfRule type="cellIs" dxfId="13" priority="17" operator="notEqual">
      <formula>TRUE</formula>
    </cfRule>
  </conditionalFormatting>
  <conditionalFormatting sqref="Q7">
    <cfRule type="cellIs" dxfId="12" priority="16" operator="notEqual">
      <formula>TRUE</formula>
    </cfRule>
  </conditionalFormatting>
  <conditionalFormatting sqref="Q9:Q10">
    <cfRule type="cellIs" dxfId="11" priority="15" operator="notEqual">
      <formula>TRUE</formula>
    </cfRule>
  </conditionalFormatting>
  <conditionalFormatting sqref="Q12:Q14">
    <cfRule type="cellIs" dxfId="10" priority="14" operator="notEqual">
      <formula>TRUE</formula>
    </cfRule>
  </conditionalFormatting>
  <conditionalFormatting sqref="U7">
    <cfRule type="cellIs" dxfId="9" priority="13" operator="notEqual">
      <formula>TRUE</formula>
    </cfRule>
  </conditionalFormatting>
  <conditionalFormatting sqref="U8:U10">
    <cfRule type="cellIs" dxfId="8" priority="12" operator="notEqual">
      <formula>TRUE</formula>
    </cfRule>
  </conditionalFormatting>
  <conditionalFormatting sqref="U12:U14">
    <cfRule type="cellIs" dxfId="7" priority="11" operator="notEqual">
      <formula>TRUE</formula>
    </cfRule>
  </conditionalFormatting>
  <conditionalFormatting sqref="AA7 S7 W7 AC7 AE7 Y7 AG7 AM7 AK7 AI7 K7">
    <cfRule type="cellIs" dxfId="6" priority="10" operator="notEqual">
      <formula>TRUE</formula>
    </cfRule>
  </conditionalFormatting>
  <conditionalFormatting sqref="S8:S10 W8:W10 AC8:AC10 AE9:AE10 Y9:Y10 AG9:AG10 AM9:AM10 AK9 AI8:AI10 K9:K10">
    <cfRule type="cellIs" dxfId="5" priority="9" operator="notEqual">
      <formula>TRUE</formula>
    </cfRule>
  </conditionalFormatting>
  <conditionalFormatting sqref="AA12:AA14 S12:S14 W12:W14 AC12:AC14 AE13 Y12:Y14 AG12:AG14 AM12:AM14 AK12:AK14 AI13:AI14 K12:K14">
    <cfRule type="cellIs" dxfId="4" priority="8" operator="notEqual">
      <formula>TRUE</formula>
    </cfRule>
  </conditionalFormatting>
  <conditionalFormatting sqref="AA9">
    <cfRule type="cellIs" dxfId="3" priority="4" operator="notEqual">
      <formula>TRUE</formula>
    </cfRule>
  </conditionalFormatting>
  <conditionalFormatting sqref="AA10">
    <cfRule type="cellIs" dxfId="2" priority="3" operator="notEqual">
      <formula>TRUE</formula>
    </cfRule>
  </conditionalFormatting>
  <conditionalFormatting sqref="AK10">
    <cfRule type="cellIs" dxfId="1" priority="2" operator="notEqual">
      <formula>TRUE</formula>
    </cfRule>
  </conditionalFormatting>
  <conditionalFormatting sqref="AI12">
    <cfRule type="cellIs" dxfId="0" priority="1" operator="notEqual">
      <formula>TRUE</formula>
    </cfRule>
  </conditionalFormatting>
  <dataValidations count="1">
    <dataValidation type="list" allowBlank="1" showInputMessage="1" showErrorMessage="1" sqref="D4 F4 R4 V4 AB4 AD4 X4 AF4 AL4 AJ4 AH4 J4 H4 N4 P4 T4 Z4 L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HideMarketData">
                <anchor moveWithCells="1" sizeWithCells="1">
                  <from>
                    <xdr:col>0</xdr:col>
                    <xdr:colOff>190500</xdr:colOff>
                    <xdr:row>18</xdr:row>
                    <xdr:rowOff>0</xdr:rowOff>
                  </from>
                  <to>
                    <xdr:col>2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owHideCurves">
                <anchor moveWithCells="1" sizeWithCells="1">
                  <from>
                    <xdr:col>0</xdr:col>
                    <xdr:colOff>219075</xdr:colOff>
                    <xdr:row>23</xdr:row>
                    <xdr:rowOff>0</xdr:rowOff>
                  </from>
                  <to>
                    <xdr:col>2</xdr:col>
                    <xdr:colOff>114300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BA101"/>
  <sheetViews>
    <sheetView showGridLines="0" zoomScale="75" zoomScaleNormal="75" workbookViewId="0"/>
  </sheetViews>
  <sheetFormatPr defaultRowHeight="15" x14ac:dyDescent="0.25"/>
  <cols>
    <col min="1" max="1" width="24" bestFit="1" customWidth="1"/>
    <col min="2" max="2" width="19" style="1" bestFit="1" customWidth="1"/>
    <col min="3" max="8" width="19" bestFit="1" customWidth="1"/>
    <col min="9" max="9" width="5.28515625" customWidth="1"/>
    <col min="10" max="12" width="19" bestFit="1" customWidth="1"/>
    <col min="13" max="13" width="4.7109375" customWidth="1"/>
    <col min="14" max="15" width="19" bestFit="1" customWidth="1"/>
    <col min="16" max="16" width="3.42578125" customWidth="1"/>
    <col min="17" max="21" width="19" bestFit="1" customWidth="1"/>
    <col min="22" max="22" width="2.7109375" customWidth="1"/>
    <col min="23" max="24" width="19" bestFit="1" customWidth="1"/>
    <col min="25" max="25" width="3.28515625" customWidth="1"/>
    <col min="26" max="28" width="19" bestFit="1" customWidth="1"/>
    <col min="29" max="29" width="13.42578125" customWidth="1"/>
    <col min="30" max="32" width="19" bestFit="1" customWidth="1"/>
    <col min="34" max="34" width="19" bestFit="1" customWidth="1"/>
    <col min="39" max="39" width="36.42578125" bestFit="1" customWidth="1"/>
    <col min="40" max="41" width="17.42578125" style="5" bestFit="1" customWidth="1"/>
    <col min="42" max="42" width="29.5703125" customWidth="1"/>
    <col min="43" max="43" width="36.42578125" bestFit="1" customWidth="1"/>
    <col min="44" max="45" width="17.42578125" bestFit="1" customWidth="1"/>
  </cols>
  <sheetData>
    <row r="1" spans="1:53" x14ac:dyDescent="0.25">
      <c r="A1" t="str">
        <f>_xll.meUtilityVersion()</f>
        <v>MLIBQ_ADDIN: Version Number: 20200909.0517. Architecture: 64 bit. Last built on Sep  9 2020 at 05:17:48. License will expire on Jan 1 2021.</v>
      </c>
      <c r="B1" s="3"/>
      <c r="C1" s="4" t="s">
        <v>195</v>
      </c>
      <c r="D1" s="4" t="s">
        <v>204</v>
      </c>
      <c r="E1" s="4" t="s">
        <v>205</v>
      </c>
      <c r="F1" s="4" t="s">
        <v>206</v>
      </c>
      <c r="G1" s="4" t="s">
        <v>207</v>
      </c>
      <c r="H1" s="4" t="s">
        <v>208</v>
      </c>
      <c r="I1" s="4"/>
      <c r="J1" s="4" t="s">
        <v>209</v>
      </c>
      <c r="K1" s="4" t="s">
        <v>216</v>
      </c>
      <c r="L1" s="4" t="s">
        <v>217</v>
      </c>
      <c r="M1" s="4"/>
      <c r="N1" s="4" t="s">
        <v>210</v>
      </c>
      <c r="O1" s="4" t="s">
        <v>211</v>
      </c>
      <c r="Q1" s="4" t="s">
        <v>153</v>
      </c>
      <c r="R1" s="4" t="s">
        <v>158</v>
      </c>
      <c r="S1" s="4" t="s">
        <v>170</v>
      </c>
      <c r="T1" s="4" t="s">
        <v>180</v>
      </c>
      <c r="U1" s="4" t="s">
        <v>187</v>
      </c>
      <c r="W1" s="4" t="s">
        <v>213</v>
      </c>
      <c r="X1" s="4" t="s">
        <v>214</v>
      </c>
      <c r="Z1" s="4" t="s">
        <v>252</v>
      </c>
      <c r="AA1" s="4" t="s">
        <v>262</v>
      </c>
      <c r="AB1" s="4" t="s">
        <v>270</v>
      </c>
      <c r="AC1" s="4"/>
      <c r="AD1" s="4" t="s">
        <v>1296</v>
      </c>
      <c r="AE1" s="4" t="s">
        <v>1223</v>
      </c>
      <c r="AF1" s="4" t="s">
        <v>1227</v>
      </c>
      <c r="AH1" s="4" t="s">
        <v>1634</v>
      </c>
      <c r="AN1" s="5" t="s">
        <v>1211</v>
      </c>
      <c r="AO1" s="5" t="s">
        <v>1211</v>
      </c>
      <c r="AP1" s="2" t="str">
        <f>_xll.meLWOSwapGeneratorCreate(AO1&amp;"_A_"&amp;AO4,AM2:AO37)</f>
        <v>CNH_A_CNH3M@17:3</v>
      </c>
    </row>
    <row r="2" spans="1:53" x14ac:dyDescent="0.25">
      <c r="A2" s="2" t="s">
        <v>0</v>
      </c>
      <c r="B2" s="201">
        <f ca="1">TODAY()</f>
        <v>44083</v>
      </c>
      <c r="C2" s="4" t="s">
        <v>196</v>
      </c>
      <c r="D2" s="4" t="s">
        <v>197</v>
      </c>
      <c r="E2" s="4" t="s">
        <v>198</v>
      </c>
      <c r="F2" s="4" t="s">
        <v>199</v>
      </c>
      <c r="G2" s="4" t="s">
        <v>200</v>
      </c>
      <c r="H2" s="4" t="s">
        <v>201</v>
      </c>
      <c r="I2" s="4"/>
      <c r="J2" s="4" t="s">
        <v>218</v>
      </c>
      <c r="K2" s="4" t="s">
        <v>219</v>
      </c>
      <c r="L2" s="4" t="s">
        <v>220</v>
      </c>
      <c r="M2" s="4"/>
      <c r="N2" s="4" t="s">
        <v>202</v>
      </c>
      <c r="O2" s="4" t="s">
        <v>203</v>
      </c>
      <c r="Q2" s="4" t="s">
        <v>154</v>
      </c>
      <c r="R2" s="4" t="s">
        <v>159</v>
      </c>
      <c r="S2" s="4" t="s">
        <v>171</v>
      </c>
      <c r="T2" s="4" t="s">
        <v>181</v>
      </c>
      <c r="U2" s="4" t="s">
        <v>188</v>
      </c>
      <c r="W2" s="4" t="s">
        <v>212</v>
      </c>
      <c r="X2" s="4" t="s">
        <v>215</v>
      </c>
      <c r="Z2" s="4" t="s">
        <v>253</v>
      </c>
      <c r="AA2" s="4" t="s">
        <v>263</v>
      </c>
      <c r="AB2" s="4" t="s">
        <v>271</v>
      </c>
      <c r="AC2" s="4"/>
      <c r="AD2" s="4" t="s">
        <v>1298</v>
      </c>
      <c r="AE2" s="4" t="s">
        <v>1224</v>
      </c>
      <c r="AF2" s="4" t="s">
        <v>1228</v>
      </c>
      <c r="AH2" s="4" t="s">
        <v>1637</v>
      </c>
      <c r="AM2" t="s">
        <v>1485</v>
      </c>
      <c r="AN2" s="5" t="s">
        <v>993</v>
      </c>
      <c r="AO2" s="5" t="s">
        <v>1567</v>
      </c>
      <c r="AQ2" s="572" t="str">
        <f t="array" ref="AQ2:AS54">_xll.meLWOSwapGeneratorDisplay("EUR_Xccy")</f>
        <v>LEGTYPE</v>
      </c>
      <c r="AR2" t="str">
        <v>Leg1:FLOAT</v>
      </c>
      <c r="AS2" t="str">
        <v>Leg2:FLOAT</v>
      </c>
      <c r="AV2" t="str">
        <f t="array" ref="AV2:AY53">_xll.meLWOSwapGeneratorDisplay("SAR_SAR6M")</f>
        <v>LEGTYPE</v>
      </c>
      <c r="AW2" t="str">
        <v>Leg1:Fixed</v>
      </c>
      <c r="AX2" t="str">
        <v>Leg2:Float</v>
      </c>
      <c r="AY2" t="e">
        <v>#N/A</v>
      </c>
      <c r="BA2" t="e">
        <f ca="1">meLWOFraGeneratorDisplay("EUR_Xccy")</f>
        <v>#NAME?</v>
      </c>
    </row>
    <row r="3" spans="1:53" x14ac:dyDescent="0.25"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W3" s="5"/>
      <c r="AM3" t="s">
        <v>1486</v>
      </c>
      <c r="AN3" s="5">
        <v>1</v>
      </c>
      <c r="AO3" s="5">
        <v>1</v>
      </c>
      <c r="AQ3" t="str">
        <v>LEVERAGE</v>
      </c>
      <c r="AR3">
        <v>1</v>
      </c>
      <c r="AS3">
        <v>1</v>
      </c>
      <c r="AV3" t="str">
        <v>LEVERAGE</v>
      </c>
      <c r="AW3">
        <v>1</v>
      </c>
      <c r="AX3">
        <v>1</v>
      </c>
      <c r="AY3" t="e">
        <v>#N/A</v>
      </c>
    </row>
    <row r="4" spans="1:53" x14ac:dyDescent="0.25">
      <c r="A4" s="2" t="s">
        <v>1</v>
      </c>
      <c r="B4" s="3"/>
      <c r="C4" s="4" t="s">
        <v>2</v>
      </c>
      <c r="D4" s="4" t="s">
        <v>3</v>
      </c>
      <c r="E4" s="4" t="s">
        <v>96</v>
      </c>
      <c r="F4" s="4" t="s">
        <v>112</v>
      </c>
      <c r="G4" s="4" t="s">
        <v>120</v>
      </c>
      <c r="H4" s="4" t="s">
        <v>128</v>
      </c>
      <c r="I4" s="4"/>
      <c r="J4" s="4" t="s">
        <v>221</v>
      </c>
      <c r="K4" s="4" t="s">
        <v>222</v>
      </c>
      <c r="L4" s="4" t="s">
        <v>223</v>
      </c>
      <c r="M4" s="4"/>
      <c r="N4" s="4" t="s">
        <v>91</v>
      </c>
      <c r="O4" s="4" t="s">
        <v>140</v>
      </c>
      <c r="Q4" s="4" t="s">
        <v>155</v>
      </c>
      <c r="R4" s="4" t="s">
        <v>160</v>
      </c>
      <c r="S4" s="4" t="s">
        <v>172</v>
      </c>
      <c r="T4" s="4" t="s">
        <v>182</v>
      </c>
      <c r="U4" s="4" t="s">
        <v>189</v>
      </c>
      <c r="W4" s="4" t="s">
        <v>147</v>
      </c>
      <c r="X4" s="4" t="s">
        <v>246</v>
      </c>
      <c r="Z4" s="4" t="s">
        <v>254</v>
      </c>
      <c r="AA4" s="4" t="s">
        <v>264</v>
      </c>
      <c r="AB4" s="4" t="s">
        <v>272</v>
      </c>
      <c r="AC4" s="4"/>
      <c r="AD4" s="4" t="s">
        <v>1296</v>
      </c>
      <c r="AE4" s="4" t="s">
        <v>1211</v>
      </c>
      <c r="AF4" s="4" t="s">
        <v>1229</v>
      </c>
      <c r="AH4" s="4" t="s">
        <v>1634</v>
      </c>
      <c r="AM4" t="s">
        <v>1487</v>
      </c>
      <c r="AN4" s="5" t="str">
        <f>INDEX(COVER!$D$2:$AG$16,$AP$10,MATCH($AN$1,COVER!$D$2:$AG$2,0))</f>
        <v>CNH3M</v>
      </c>
      <c r="AO4" s="5" t="str">
        <f>INDEX(COVER!$D$2:$AG$16,$AP$10,MATCH($AO$1,COVER!$D$2:$AG$2,0))</f>
        <v>CNH3M</v>
      </c>
      <c r="AQ4" t="str">
        <v>FORECASTCURVE</v>
      </c>
      <c r="AR4" t="str">
        <v>EUR3ML</v>
      </c>
      <c r="AS4" t="str">
        <v>USD3ML</v>
      </c>
      <c r="AV4" t="str">
        <v>FORECASTCURVE</v>
      </c>
      <c r="AW4" t="str">
        <v/>
      </c>
      <c r="AX4" t="str">
        <v>SAR6M</v>
      </c>
      <c r="AY4" t="e">
        <v>#N/A</v>
      </c>
    </row>
    <row r="5" spans="1:53" s="2" customFormat="1" x14ac:dyDescent="0.25">
      <c r="A5" s="2" t="s">
        <v>620</v>
      </c>
      <c r="B5" s="201"/>
      <c r="C5" s="201">
        <f ca="1">_xll.meDateFromTenor(StaticData.Today,"0d","FOLLOWING",C40)</f>
        <v>44083</v>
      </c>
      <c r="D5" s="201">
        <f ca="1">_xll.meDateFromTenor(StaticData.Today,"0d","FOLLOWING",D40)</f>
        <v>44083</v>
      </c>
      <c r="E5" s="201">
        <f ca="1">_xll.meDateFromTenor(StaticData.Today,"0d","FOLLOWING",E40)</f>
        <v>44083</v>
      </c>
      <c r="F5" s="201">
        <f ca="1">_xll.meDateFromTenor(StaticData.Today,"0d","FOLLOWING",F40)</f>
        <v>44083</v>
      </c>
      <c r="G5" s="201">
        <f ca="1">_xll.meDateFromTenor(StaticData.Today,"0d","FOLLOWING",G40)</f>
        <v>44083</v>
      </c>
      <c r="H5" s="201">
        <f ca="1">_xll.meDateFromTenor(StaticData.Today,"0d","FOLLOWING",H40)</f>
        <v>44083</v>
      </c>
      <c r="I5" s="201"/>
      <c r="J5" s="201">
        <f ca="1">_xll.meDateFromTenor(StaticData.Today,"0d","FOLLOWING",J40)</f>
        <v>44083</v>
      </c>
      <c r="K5" s="201">
        <f ca="1">_xll.meDateFromTenor(StaticData.Today,"0d","FOLLOWING",K40)</f>
        <v>44083</v>
      </c>
      <c r="L5" s="201">
        <f ca="1">_xll.meDateFromTenor(StaticData.Today,"0d","FOLLOWING",L40)</f>
        <v>44083</v>
      </c>
      <c r="M5" s="201"/>
      <c r="N5" s="201">
        <f ca="1">_xll.meDateFromTenor(StaticData.Today,"0d","FOLLOWING",N40)</f>
        <v>44083</v>
      </c>
      <c r="O5" s="201">
        <f ca="1">_xll.meDateFromTenor(StaticData.Today,"0d","FOLLOWING",O40)</f>
        <v>44083</v>
      </c>
      <c r="P5" s="201"/>
      <c r="Q5" s="201">
        <f ca="1">_xll.meDateFromTenor(StaticData.Today,"0d","FOLLOWING",Q40)</f>
        <v>44083</v>
      </c>
      <c r="R5" s="201">
        <f ca="1">_xll.meDateFromTenor(StaticData.Today,"0d","FOLLOWING",R40)</f>
        <v>44083</v>
      </c>
      <c r="S5" s="201">
        <f ca="1">_xll.meDateFromTenor(StaticData.Today,"0d","FOLLOWING",S40)</f>
        <v>44083</v>
      </c>
      <c r="T5" s="201">
        <f ca="1">_xll.meDateFromTenor(StaticData.Today,"0d","FOLLOWING",T40)</f>
        <v>44083</v>
      </c>
      <c r="U5" s="201">
        <f ca="1">_xll.meDateFromTenor(StaticData.Today,"0d","FOLLOWING",U40)</f>
        <v>44083</v>
      </c>
      <c r="V5" s="201"/>
      <c r="W5" s="201">
        <f ca="1">_xll.meDateFromTenor(StaticData.Today,"0d","FOLLOWING",W40)</f>
        <v>44083</v>
      </c>
      <c r="X5" s="201">
        <f ca="1">_xll.meDateFromTenor(StaticData.Today,"0d","FOLLOWING",X40)</f>
        <v>44083</v>
      </c>
      <c r="Y5" s="201"/>
      <c r="Z5" s="201">
        <f ca="1">_xll.meDateFromTenor(StaticData.Today,"0d","FOLLOWING",Z40)</f>
        <v>44083</v>
      </c>
      <c r="AA5" s="201">
        <f ca="1">_xll.meDateFromTenor(StaticData.Today,"0d","FOLLOWING",AA40)</f>
        <v>44083</v>
      </c>
      <c r="AB5" s="201">
        <f ca="1">_xll.meDateFromTenor(StaticData.Today,"0d","FOLLOWING",AB40)</f>
        <v>44083</v>
      </c>
      <c r="AC5" s="201"/>
      <c r="AD5" s="201">
        <f ca="1">_xll.meDateFromTenor(StaticData.Today,"0d","FOLLOWING",AD40)</f>
        <v>44083</v>
      </c>
      <c r="AE5" s="201">
        <f ca="1">_xll.meDateFromTenor(StaticData.Today,"0d","FOLLOWING",AE40)</f>
        <v>44083</v>
      </c>
      <c r="AF5" s="201">
        <f ca="1">_xll.meDateFromTenor(StaticData.Today,"0d","FOLLOWING",AF40)</f>
        <v>44083</v>
      </c>
      <c r="AH5" s="201">
        <f ca="1">_xll.meDateFromTenor(StaticData.Today,"0d","FOLLOWING",AH40)</f>
        <v>44083</v>
      </c>
      <c r="AM5" s="2" t="s">
        <v>1488</v>
      </c>
      <c r="AN5" s="4"/>
      <c r="AO5" s="4"/>
      <c r="AQ5" t="str">
        <v>COMPOUNDMETHOD</v>
      </c>
      <c r="AR5" t="str">
        <v/>
      </c>
      <c r="AS5" t="str">
        <v/>
      </c>
      <c r="AT5"/>
      <c r="AU5"/>
      <c r="AV5" s="2" t="str">
        <v>COMPOUNDMETHOD</v>
      </c>
      <c r="AW5" s="2" t="str">
        <v>NONE</v>
      </c>
      <c r="AX5" s="2" t="str">
        <v>NONE</v>
      </c>
      <c r="AY5" s="2" t="e">
        <v>#N/A</v>
      </c>
    </row>
    <row r="6" spans="1:53" x14ac:dyDescent="0.25"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W6" s="5"/>
      <c r="AM6" t="s">
        <v>1489</v>
      </c>
      <c r="AN6" s="5" t="s">
        <v>1561</v>
      </c>
      <c r="AO6" s="5" t="s">
        <v>1561</v>
      </c>
      <c r="AQ6" s="2" t="str">
        <v>NOTIONALEXCHANGE</v>
      </c>
      <c r="AR6" s="2" t="str">
        <v>START_AND_END</v>
      </c>
      <c r="AS6" s="2" t="str">
        <v>START_AND_END</v>
      </c>
      <c r="AT6" s="2"/>
      <c r="AU6" s="2"/>
      <c r="AV6" t="str">
        <v>NOTIONALEXCHANGE</v>
      </c>
      <c r="AW6" t="str">
        <v>NONE</v>
      </c>
      <c r="AX6" t="str">
        <v>NONE</v>
      </c>
      <c r="AY6" t="e">
        <v>#N/A</v>
      </c>
    </row>
    <row r="7" spans="1:53" x14ac:dyDescent="0.25">
      <c r="A7" s="412" t="s">
        <v>4</v>
      </c>
      <c r="B7" s="486"/>
      <c r="C7" s="439" t="s">
        <v>5</v>
      </c>
      <c r="D7" s="439" t="s">
        <v>5</v>
      </c>
      <c r="E7" s="439" t="s">
        <v>97</v>
      </c>
      <c r="F7" s="439" t="s">
        <v>5</v>
      </c>
      <c r="G7" s="439" t="s">
        <v>97</v>
      </c>
      <c r="H7" s="439" t="s">
        <v>5</v>
      </c>
      <c r="I7" s="439"/>
      <c r="J7" s="439" t="s">
        <v>5</v>
      </c>
      <c r="K7" s="439" t="s">
        <v>5</v>
      </c>
      <c r="L7" s="439" t="s">
        <v>5</v>
      </c>
      <c r="M7" s="439"/>
      <c r="N7" s="439" t="s">
        <v>28</v>
      </c>
      <c r="O7" s="439" t="s">
        <v>5</v>
      </c>
      <c r="P7" s="413"/>
      <c r="Q7" s="439" t="s">
        <v>5</v>
      </c>
      <c r="R7" s="439" t="s">
        <v>5</v>
      </c>
      <c r="S7" s="439" t="s">
        <v>5</v>
      </c>
      <c r="T7" s="439" t="s">
        <v>5</v>
      </c>
      <c r="U7" s="439" t="s">
        <v>5</v>
      </c>
      <c r="V7" s="413"/>
      <c r="W7" s="439" t="s">
        <v>5</v>
      </c>
      <c r="X7" s="439" t="s">
        <v>5</v>
      </c>
      <c r="Y7" s="413"/>
      <c r="Z7" s="439" t="s">
        <v>28</v>
      </c>
      <c r="AA7" s="439" t="s">
        <v>5</v>
      </c>
      <c r="AB7" s="439" t="s">
        <v>97</v>
      </c>
      <c r="AC7" s="439"/>
      <c r="AD7" s="439" t="s">
        <v>28</v>
      </c>
      <c r="AE7" s="439" t="s">
        <v>5</v>
      </c>
      <c r="AF7" s="487" t="s">
        <v>97</v>
      </c>
      <c r="AH7" s="375" t="s">
        <v>5</v>
      </c>
      <c r="AM7" t="s">
        <v>1490</v>
      </c>
      <c r="AN7" s="5" t="str">
        <f>INDEX(COVER!$D$2:$AG$16,6,MATCH($AN$1,COVER!$D$2:$AG$2,0))</f>
        <v>CNHOIS</v>
      </c>
      <c r="AO7" s="5" t="str">
        <f>INDEX(COVER!$D$2:$AG$16,6,MATCH($AO$1,COVER!$D$2:$AG$2,0))</f>
        <v>CNHOIS</v>
      </c>
      <c r="AQ7" t="str">
        <v>DISCOUNTCURVE</v>
      </c>
      <c r="AR7" t="str">
        <v>EURDF_USDCSA</v>
      </c>
      <c r="AS7" t="str">
        <v>USDOIS</v>
      </c>
      <c r="AV7" t="str">
        <v>DISCOUNTCURVE</v>
      </c>
      <c r="AW7" t="str">
        <v>SAROIS</v>
      </c>
      <c r="AX7" t="str">
        <v>SAROIS</v>
      </c>
      <c r="AY7" t="e">
        <v>#N/A</v>
      </c>
    </row>
    <row r="8" spans="1:53" x14ac:dyDescent="0.25">
      <c r="A8" s="415" t="s">
        <v>6</v>
      </c>
      <c r="B8" s="493"/>
      <c r="C8" s="440" t="s">
        <v>607</v>
      </c>
      <c r="D8" s="440" t="s">
        <v>612</v>
      </c>
      <c r="E8" s="440" t="s">
        <v>623</v>
      </c>
      <c r="F8" s="440" t="s">
        <v>607</v>
      </c>
      <c r="G8" s="440" t="s">
        <v>607</v>
      </c>
      <c r="H8" s="440" t="s">
        <v>622</v>
      </c>
      <c r="I8" s="440"/>
      <c r="J8" s="440" t="s">
        <v>630</v>
      </c>
      <c r="K8" s="440" t="s">
        <v>633</v>
      </c>
      <c r="L8" s="440" t="s">
        <v>636</v>
      </c>
      <c r="M8" s="440"/>
      <c r="N8" s="440" t="s">
        <v>639</v>
      </c>
      <c r="O8" s="440" t="s">
        <v>642</v>
      </c>
      <c r="P8" s="416"/>
      <c r="Q8" s="440" t="s">
        <v>646</v>
      </c>
      <c r="R8" s="440" t="s">
        <v>650</v>
      </c>
      <c r="S8" s="440" t="s">
        <v>648</v>
      </c>
      <c r="T8" s="440" t="s">
        <v>652</v>
      </c>
      <c r="U8" s="440" t="s">
        <v>606</v>
      </c>
      <c r="V8" s="416"/>
      <c r="W8" s="440" t="s">
        <v>654</v>
      </c>
      <c r="X8" s="440" t="s">
        <v>656</v>
      </c>
      <c r="Y8" s="416"/>
      <c r="Z8" s="440" t="s">
        <v>658</v>
      </c>
      <c r="AA8" s="440" t="s">
        <v>660</v>
      </c>
      <c r="AB8" s="440" t="s">
        <v>608</v>
      </c>
      <c r="AC8" s="440"/>
      <c r="AD8" s="440" t="s">
        <v>1299</v>
      </c>
      <c r="AE8" s="440" t="s">
        <v>1225</v>
      </c>
      <c r="AF8" s="494" t="s">
        <v>1230</v>
      </c>
      <c r="AH8" s="375" t="s">
        <v>1638</v>
      </c>
      <c r="AM8" t="s">
        <v>1491</v>
      </c>
      <c r="AN8" s="5" t="s">
        <v>1211</v>
      </c>
      <c r="AO8" s="5" t="s">
        <v>1211</v>
      </c>
      <c r="AQ8" t="str">
        <v>VALUATIONCURRENCY</v>
      </c>
      <c r="AR8" t="str">
        <v>EUR</v>
      </c>
      <c r="AS8" t="str">
        <v>USD</v>
      </c>
      <c r="AV8" t="str">
        <v>VALUATIONCURRENCY</v>
      </c>
      <c r="AW8" t="str">
        <v>SAR</v>
      </c>
      <c r="AX8" t="str">
        <v>SAR</v>
      </c>
      <c r="AY8" t="e">
        <v>#N/A</v>
      </c>
    </row>
    <row r="9" spans="1:53" x14ac:dyDescent="0.25">
      <c r="A9" s="488" t="s">
        <v>7</v>
      </c>
      <c r="B9" s="489"/>
      <c r="C9" s="496">
        <f ca="1">_xll.meDateFromTenor(C5,C7,"MF",C8)</f>
        <v>44085</v>
      </c>
      <c r="D9" s="496">
        <f ca="1">_xll.meDateFromTenor(D5,D7,"MF",D8)</f>
        <v>44085</v>
      </c>
      <c r="E9" s="496">
        <f ca="1">_xll.meDateFromTenor(E5,E7,"MF",E8)</f>
        <v>44083</v>
      </c>
      <c r="F9" s="496">
        <f ca="1">_xll.meDateFromTenor(F5,F7,"MF",F8)</f>
        <v>44085</v>
      </c>
      <c r="G9" s="496">
        <f ca="1">_xll.meDateFromTenor(G5,G7,"MF",G8)</f>
        <v>44083</v>
      </c>
      <c r="H9" s="496">
        <f ca="1">_xll.meDateFromTenor(H5,H7,"MF",H8)</f>
        <v>44085</v>
      </c>
      <c r="I9" s="496"/>
      <c r="J9" s="496">
        <f ca="1">_xll.meDateFromTenor(J5,J7,"MF",J8)</f>
        <v>44085</v>
      </c>
      <c r="K9" s="496">
        <f ca="1">_xll.meDateFromTenor(K5,K7,"MF",K8)</f>
        <v>44085</v>
      </c>
      <c r="L9" s="496">
        <f ca="1">_xll.meDateFromTenor(L5,L7,"MF",L8)</f>
        <v>44085</v>
      </c>
      <c r="M9" s="496"/>
      <c r="N9" s="496">
        <f ca="1">_xll.meDateFromTenor(N5,N7,"MF",N8)</f>
        <v>44084</v>
      </c>
      <c r="O9" s="496">
        <f ca="1">_xll.meDateFromTenor(O5,O7,"MF",O8)</f>
        <v>44085</v>
      </c>
      <c r="P9" s="496"/>
      <c r="Q9" s="496">
        <f ca="1">_xll.meDateFromTenor(Q5,Q7,"MF",Q8)</f>
        <v>44085</v>
      </c>
      <c r="R9" s="496">
        <f ca="1">_xll.meDateFromTenor(R5,R7,"MF",R8)</f>
        <v>44085</v>
      </c>
      <c r="S9" s="496">
        <f ca="1">_xll.meDateFromTenor(S5,S7,"MF",S8)</f>
        <v>44085</v>
      </c>
      <c r="T9" s="496">
        <f ca="1">_xll.meDateFromTenor(T5,T7,"MF",T8)</f>
        <v>44085</v>
      </c>
      <c r="U9" s="496">
        <f ca="1">_xll.meDateFromTenor(U5,U7,,U8)</f>
        <v>44085</v>
      </c>
      <c r="V9" s="496"/>
      <c r="W9" s="496">
        <f ca="1">_xll.meDateFromTenor(W5,W7,"MF",W8)</f>
        <v>44085</v>
      </c>
      <c r="X9" s="496">
        <f ca="1">_xll.meDateFromTenor(X5,X7,"MF",X8)</f>
        <v>44085</v>
      </c>
      <c r="Y9" s="496"/>
      <c r="Z9" s="496">
        <f ca="1">_xll.meDateFromTenor(Z5,Z7,"MF",Z8)</f>
        <v>44084</v>
      </c>
      <c r="AA9" s="496">
        <f ca="1">_xll.meDateFromTenor(AA5,AA7,"MF",AA8)</f>
        <v>44085</v>
      </c>
      <c r="AB9" s="496">
        <f ca="1">_xll.meDateFromTenor(AB5,AB7,"MF",AB8)</f>
        <v>44083</v>
      </c>
      <c r="AC9" s="496"/>
      <c r="AD9" s="496">
        <f ca="1">_xll.meDateFromTenor(AD5,AD7,"MF",AD8)</f>
        <v>44084</v>
      </c>
      <c r="AE9" s="496">
        <f ca="1">_xll.meDateFromTenor(AE5,AE7,"MF",AE8)</f>
        <v>44085</v>
      </c>
      <c r="AF9" s="497">
        <f ca="1">_xll.meDateFromTenor(AF5,AF7,"MF",AF8)</f>
        <v>44083</v>
      </c>
      <c r="AH9" s="497">
        <f ca="1">_xll.meDateFromTenor(AH5,AH7,"MF",AH8)</f>
        <v>44085</v>
      </c>
      <c r="AM9" t="s">
        <v>1492</v>
      </c>
      <c r="AN9" s="5" t="str">
        <f>AN1</f>
        <v>CNH</v>
      </c>
      <c r="AO9" s="5" t="str">
        <f>AO1</f>
        <v>CNH</v>
      </c>
      <c r="AQ9" t="str">
        <v>CURRENCY</v>
      </c>
      <c r="AR9" t="str">
        <v>EUR</v>
      </c>
      <c r="AS9" t="str">
        <v>USD</v>
      </c>
      <c r="AV9" t="str">
        <v>CURRENCY</v>
      </c>
      <c r="AW9" t="str">
        <v>SAR</v>
      </c>
      <c r="AX9" t="str">
        <v>SAR</v>
      </c>
      <c r="AY9" t="e">
        <v>#N/A</v>
      </c>
    </row>
    <row r="10" spans="1:53" x14ac:dyDescent="0.25"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W10" s="5"/>
      <c r="AM10" t="s">
        <v>1493</v>
      </c>
      <c r="AN10" s="5" t="s">
        <v>458</v>
      </c>
      <c r="AO10" s="5" t="s">
        <v>680</v>
      </c>
      <c r="AP10">
        <v>8</v>
      </c>
      <c r="AQ10" t="str">
        <v>ACCRUALFREQUENCY</v>
      </c>
      <c r="AR10" t="str">
        <v>QUARTERLY</v>
      </c>
      <c r="AS10" t="str">
        <v>QUARTERLY</v>
      </c>
      <c r="AV10" t="str">
        <v>ACCRUALFREQUENCY</v>
      </c>
      <c r="AW10" t="str">
        <v>ANNUAL</v>
      </c>
      <c r="AX10" t="str">
        <v>SEMI-ANNUAL</v>
      </c>
      <c r="AY10" t="e">
        <v>#N/A</v>
      </c>
    </row>
    <row r="11" spans="1:53" x14ac:dyDescent="0.25">
      <c r="A11" s="412" t="s">
        <v>9</v>
      </c>
      <c r="B11" s="486"/>
      <c r="C11" s="439"/>
      <c r="D11" s="439" t="s">
        <v>5</v>
      </c>
      <c r="E11" s="413"/>
      <c r="F11" s="439"/>
      <c r="G11" s="439"/>
      <c r="H11" s="439" t="s">
        <v>5</v>
      </c>
      <c r="I11" s="439"/>
      <c r="J11" s="439" t="s">
        <v>5</v>
      </c>
      <c r="K11" s="439" t="s">
        <v>5</v>
      </c>
      <c r="L11" s="439" t="s">
        <v>5</v>
      </c>
      <c r="M11" s="439"/>
      <c r="N11" s="439"/>
      <c r="O11" s="439"/>
      <c r="P11" s="413"/>
      <c r="Q11" s="413"/>
      <c r="R11" s="413"/>
      <c r="S11" s="413"/>
      <c r="T11" s="413"/>
      <c r="U11" s="413"/>
      <c r="V11" s="413"/>
      <c r="W11" s="439"/>
      <c r="X11" s="413"/>
      <c r="Y11" s="413"/>
      <c r="Z11" s="413"/>
      <c r="AA11" s="413"/>
      <c r="AB11" s="413"/>
      <c r="AC11" s="413"/>
      <c r="AD11" s="413"/>
      <c r="AE11" s="413"/>
      <c r="AF11" s="414"/>
      <c r="AM11" t="s">
        <v>1494</v>
      </c>
      <c r="AN11" s="5" t="s">
        <v>687</v>
      </c>
      <c r="AO11" s="5" t="s">
        <v>687</v>
      </c>
      <c r="AQ11" t="str">
        <v>ACCRUALBUSINESSDAYADJUSTMENT</v>
      </c>
      <c r="AR11" t="str">
        <v>MOD_FOLLOWING</v>
      </c>
      <c r="AS11" t="str">
        <v>MOD_FOLLOWING</v>
      </c>
      <c r="AV11" t="str">
        <v>ACCRUALBUSINESSDAYADJUSTMENT</v>
      </c>
      <c r="AW11" t="str">
        <v>MOD_FOLLOWING</v>
      </c>
      <c r="AX11" t="str">
        <v>MOD_FOLLOWING</v>
      </c>
      <c r="AY11" t="e">
        <v>#N/A</v>
      </c>
    </row>
    <row r="12" spans="1:53" x14ac:dyDescent="0.25">
      <c r="A12" s="415" t="s">
        <v>8</v>
      </c>
      <c r="B12" s="493"/>
      <c r="C12" s="440"/>
      <c r="D12" s="440" t="s">
        <v>612</v>
      </c>
      <c r="E12" s="416"/>
      <c r="F12" s="440"/>
      <c r="G12" s="440"/>
      <c r="H12" s="440" t="s">
        <v>614</v>
      </c>
      <c r="I12" s="440"/>
      <c r="J12" s="440" t="s">
        <v>630</v>
      </c>
      <c r="K12" s="440" t="s">
        <v>633</v>
      </c>
      <c r="L12" s="440" t="s">
        <v>636</v>
      </c>
      <c r="M12" s="440"/>
      <c r="N12" s="440"/>
      <c r="O12" s="440"/>
      <c r="P12" s="416"/>
      <c r="Q12" s="416"/>
      <c r="R12" s="416"/>
      <c r="S12" s="416"/>
      <c r="T12" s="416"/>
      <c r="U12" s="416"/>
      <c r="V12" s="416"/>
      <c r="W12" s="440"/>
      <c r="X12" s="416"/>
      <c r="Y12" s="416"/>
      <c r="Z12" s="416"/>
      <c r="AA12" s="416"/>
      <c r="AB12" s="416"/>
      <c r="AC12" s="416"/>
      <c r="AD12" s="416"/>
      <c r="AE12" s="416"/>
      <c r="AF12" s="417"/>
      <c r="AM12" t="s">
        <v>1495</v>
      </c>
      <c r="AN12" s="5" t="str">
        <f>INDEX($C$4:$AF$63,27,MATCH($AN$1,$C$4:$AF$4,0))</f>
        <v>BEB:NYB:LNB</v>
      </c>
      <c r="AO12" s="5" t="str">
        <f>INDEX($C$4:$AF$63,27,MATCH($AO$1,$C$4:$AF$4,0))</f>
        <v>BEB:NYB:LNB</v>
      </c>
      <c r="AQ12" t="str">
        <v>ACCRUALCALENDAR</v>
      </c>
      <c r="AR12" t="str">
        <v>LNB:NYB:TGT</v>
      </c>
      <c r="AS12" t="str">
        <v>LNB:NYB:TGT</v>
      </c>
      <c r="AV12" t="str">
        <v>ACCRUALCALENDAR</v>
      </c>
      <c r="AW12" t="str">
        <v>RIB</v>
      </c>
      <c r="AX12" t="str">
        <v>RIB</v>
      </c>
      <c r="AY12" t="e">
        <v>#N/A</v>
      </c>
    </row>
    <row r="13" spans="1:53" x14ac:dyDescent="0.25">
      <c r="A13" s="488" t="s">
        <v>10</v>
      </c>
      <c r="B13" s="489"/>
      <c r="C13" s="490"/>
      <c r="D13" s="496">
        <f ca="1">_xll.meDateFromTenor(D5,D11,"MF",D12)</f>
        <v>44085</v>
      </c>
      <c r="E13" s="490"/>
      <c r="F13" s="490"/>
      <c r="G13" s="490"/>
      <c r="H13" s="496">
        <f ca="1">_xll.meDateFromTenor(H5,H11,"MF",H12)</f>
        <v>44085</v>
      </c>
      <c r="I13" s="496"/>
      <c r="J13" s="496">
        <f ca="1">_xll.meDateFromTenor(J5,J11,"MF",J12)</f>
        <v>44085</v>
      </c>
      <c r="K13" s="496">
        <f ca="1">_xll.meDateFromTenor(K5,K11,"MF",K12)</f>
        <v>44085</v>
      </c>
      <c r="L13" s="496">
        <f ca="1">_xll.meDateFromTenor(L5,L11,"MF",L12)</f>
        <v>44085</v>
      </c>
      <c r="M13" s="490"/>
      <c r="N13" s="490"/>
      <c r="O13" s="490"/>
      <c r="P13" s="491"/>
      <c r="Q13" s="491"/>
      <c r="R13" s="491"/>
      <c r="S13" s="491"/>
      <c r="T13" s="491"/>
      <c r="U13" s="491"/>
      <c r="V13" s="491"/>
      <c r="W13" s="490"/>
      <c r="X13" s="491"/>
      <c r="Y13" s="491"/>
      <c r="Z13" s="491"/>
      <c r="AA13" s="491"/>
      <c r="AB13" s="491"/>
      <c r="AC13" s="491"/>
      <c r="AD13" s="491"/>
      <c r="AE13" s="491"/>
      <c r="AF13" s="495"/>
      <c r="AM13" t="s">
        <v>1496</v>
      </c>
      <c r="AN13" s="5" t="str">
        <f>INDEX($C$4:$AF$63,52,MATCH($AN$1,$C$4:$AF$4,0))</f>
        <v>ACT/360</v>
      </c>
      <c r="AO13" s="5" t="str">
        <f>INDEX($C$4:$AF$63,52,MATCH($AN$1,$C$4:$AF$4,0))</f>
        <v>ACT/360</v>
      </c>
      <c r="AQ13" t="str">
        <v>ACCRUALDAYCOUNT</v>
      </c>
      <c r="AR13" t="str">
        <v>ACT/360</v>
      </c>
      <c r="AS13" t="str">
        <v>ACT/360</v>
      </c>
      <c r="AV13" t="str">
        <v>ACCRUALDAYCOUNT</v>
      </c>
      <c r="AW13" t="str">
        <v>ACT/360</v>
      </c>
      <c r="AX13" t="str">
        <v>ACT/360</v>
      </c>
      <c r="AY13" t="e">
        <v>#N/A</v>
      </c>
    </row>
    <row r="14" spans="1:53" x14ac:dyDescent="0.25"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W14" s="5"/>
      <c r="AM14" t="s">
        <v>1497</v>
      </c>
      <c r="AN14" s="5" t="str">
        <f>AN10</f>
        <v>QUARTERLY</v>
      </c>
      <c r="AO14" s="5" t="str">
        <f>AO10</f>
        <v>ANNUAL</v>
      </c>
      <c r="AQ14" t="str">
        <v>PAYMENTFREQUENCY</v>
      </c>
      <c r="AR14" t="str">
        <v/>
      </c>
      <c r="AS14" t="str">
        <v/>
      </c>
      <c r="AV14" t="str">
        <v>PAYMENTFREQUENCY</v>
      </c>
      <c r="AW14" t="str">
        <v/>
      </c>
      <c r="AX14" t="str">
        <v/>
      </c>
      <c r="AY14" t="e">
        <v>#N/A</v>
      </c>
    </row>
    <row r="15" spans="1:53" x14ac:dyDescent="0.25">
      <c r="A15" s="412" t="s">
        <v>11</v>
      </c>
      <c r="B15" s="486"/>
      <c r="C15" s="439" t="s">
        <v>621</v>
      </c>
      <c r="D15" s="439" t="s">
        <v>5</v>
      </c>
      <c r="E15" s="439" t="s">
        <v>97</v>
      </c>
      <c r="F15" s="439" t="s">
        <v>5</v>
      </c>
      <c r="G15" s="439" t="s">
        <v>97</v>
      </c>
      <c r="H15" s="439" t="s">
        <v>5</v>
      </c>
      <c r="I15" s="439"/>
      <c r="J15" s="439"/>
      <c r="K15" s="439"/>
      <c r="L15" s="439"/>
      <c r="M15" s="439"/>
      <c r="N15" s="439" t="s">
        <v>28</v>
      </c>
      <c r="O15" s="439" t="s">
        <v>643</v>
      </c>
      <c r="P15" s="413"/>
      <c r="Q15" s="439" t="s">
        <v>643</v>
      </c>
      <c r="R15" s="439" t="s">
        <v>643</v>
      </c>
      <c r="S15" s="439" t="s">
        <v>643</v>
      </c>
      <c r="T15" s="413"/>
      <c r="U15" s="439" t="s">
        <v>643</v>
      </c>
      <c r="V15" s="413"/>
      <c r="W15" s="439" t="s">
        <v>5</v>
      </c>
      <c r="X15" s="439" t="s">
        <v>5</v>
      </c>
      <c r="Y15" s="413"/>
      <c r="Z15" s="413" t="s">
        <v>28</v>
      </c>
      <c r="AA15" s="413"/>
      <c r="AB15" s="439" t="s">
        <v>97</v>
      </c>
      <c r="AC15" s="439"/>
      <c r="AD15" s="413" t="s">
        <v>28</v>
      </c>
      <c r="AE15" s="413"/>
      <c r="AF15" s="414" t="s">
        <v>97</v>
      </c>
      <c r="AM15" t="s">
        <v>1498</v>
      </c>
      <c r="AN15" s="5" t="s">
        <v>687</v>
      </c>
      <c r="AO15" s="5" t="s">
        <v>687</v>
      </c>
      <c r="AQ15" t="str">
        <v>PAYMENTBUSINESSDAYADJUSTMENT</v>
      </c>
      <c r="AR15" t="str">
        <v>MOD_FOLLOWING</v>
      </c>
      <c r="AS15" t="str">
        <v>MOD_FOLLOWING</v>
      </c>
      <c r="AV15" t="str">
        <v>PAYMENTBUSINESSDAYADJUSTMENT</v>
      </c>
      <c r="AW15" t="str">
        <v>MOD_FOLLOWING</v>
      </c>
      <c r="AX15" t="str">
        <v>MOD_FOLLOWING</v>
      </c>
      <c r="AY15" t="e">
        <v>#N/A</v>
      </c>
    </row>
    <row r="16" spans="1:53" x14ac:dyDescent="0.25">
      <c r="A16" s="415" t="s">
        <v>12</v>
      </c>
      <c r="B16" s="493"/>
      <c r="C16" s="440" t="s">
        <v>606</v>
      </c>
      <c r="D16" s="440" t="s">
        <v>612</v>
      </c>
      <c r="E16" s="440" t="s">
        <v>623</v>
      </c>
      <c r="F16" s="440" t="s">
        <v>626</v>
      </c>
      <c r="G16" s="440" t="s">
        <v>607</v>
      </c>
      <c r="H16" s="440" t="s">
        <v>614</v>
      </c>
      <c r="I16" s="440"/>
      <c r="J16" s="440"/>
      <c r="K16" s="440"/>
      <c r="L16" s="440"/>
      <c r="M16" s="440"/>
      <c r="N16" s="440" t="s">
        <v>639</v>
      </c>
      <c r="O16" s="440" t="s">
        <v>642</v>
      </c>
      <c r="P16" s="416"/>
      <c r="Q16" s="440" t="s">
        <v>646</v>
      </c>
      <c r="R16" s="440" t="s">
        <v>650</v>
      </c>
      <c r="S16" s="440" t="s">
        <v>648</v>
      </c>
      <c r="T16" s="416"/>
      <c r="U16" s="440" t="s">
        <v>606</v>
      </c>
      <c r="V16" s="416"/>
      <c r="W16" s="440" t="s">
        <v>655</v>
      </c>
      <c r="X16" s="440" t="s">
        <v>657</v>
      </c>
      <c r="Y16" s="416"/>
      <c r="Z16" s="416" t="s">
        <v>658</v>
      </c>
      <c r="AA16" s="416"/>
      <c r="AB16" s="440" t="s">
        <v>608</v>
      </c>
      <c r="AC16" s="440"/>
      <c r="AD16" s="416" t="s">
        <v>1299</v>
      </c>
      <c r="AE16" s="416"/>
      <c r="AF16" s="417" t="s">
        <v>1230</v>
      </c>
      <c r="AM16" t="s">
        <v>1499</v>
      </c>
      <c r="AN16" s="5" t="str">
        <f>INDEX($C$4:$AF$63,5,MATCH($AN$1,$C$4:$AF$4,0))</f>
        <v>BEB:HKB</v>
      </c>
      <c r="AO16" s="5" t="str">
        <f>INDEX($C$4:$AF$63,27,MATCH($AO$1,$C$4:$AF$4,0))</f>
        <v>BEB:NYB:LNB</v>
      </c>
      <c r="AQ16" t="str">
        <v>PAYMENTCALENDAR</v>
      </c>
      <c r="AR16" t="str">
        <v>LNB:NYB:TGT</v>
      </c>
      <c r="AS16" t="str">
        <v>LNB:NYB:TGT</v>
      </c>
      <c r="AV16" t="str">
        <v>PAYMENTCALENDAR</v>
      </c>
      <c r="AW16" t="str">
        <v>RIB</v>
      </c>
      <c r="AX16" t="str">
        <v>RIB</v>
      </c>
      <c r="AY16" t="e">
        <v>#N/A</v>
      </c>
    </row>
    <row r="17" spans="1:51" x14ac:dyDescent="0.25">
      <c r="A17" s="488" t="s">
        <v>13</v>
      </c>
      <c r="B17" s="489"/>
      <c r="C17" s="496">
        <f ca="1">_xll.meDateFromTenor(C5,C15,,C16)</f>
        <v>44085</v>
      </c>
      <c r="D17" s="496">
        <f ca="1">_xll.meDateFromTenor(D5,D15,"MF",D16)</f>
        <v>44085</v>
      </c>
      <c r="E17" s="496">
        <f ca="1">_xll.meDateFromTenor(E5,E15,,E16)</f>
        <v>44083</v>
      </c>
      <c r="F17" s="496">
        <f ca="1">_xll.meDateFromTenor(F5,F15,,F16)</f>
        <v>44085</v>
      </c>
      <c r="G17" s="496">
        <f ca="1">_xll.meDateFromTenor(G5,G15,,G16)</f>
        <v>44083</v>
      </c>
      <c r="H17" s="496">
        <f ca="1">_xll.meDateFromTenor(H5,H15,,H16)</f>
        <v>44085</v>
      </c>
      <c r="I17" s="496"/>
      <c r="J17" s="496"/>
      <c r="K17" s="496"/>
      <c r="L17" s="496"/>
      <c r="M17" s="496"/>
      <c r="N17" s="496">
        <f ca="1">_xll.meDateFromTenor(N5,N15,,N16)</f>
        <v>44084</v>
      </c>
      <c r="O17" s="496">
        <f ca="1">_xll.meDateFromTenor(O5,O15,,O16)</f>
        <v>44084</v>
      </c>
      <c r="P17" s="496"/>
      <c r="Q17" s="496">
        <f ca="1">_xll.meDateFromTenor(Q5,Q15,"MF",Q16)</f>
        <v>44084</v>
      </c>
      <c r="R17" s="496">
        <f ca="1">_xll.meDateFromTenor(R5,R15,,R16)</f>
        <v>44084</v>
      </c>
      <c r="S17" s="496">
        <f ca="1">_xll.meDateFromTenor(S5,S15,,S16)</f>
        <v>44084</v>
      </c>
      <c r="T17" s="496"/>
      <c r="U17" s="496"/>
      <c r="V17" s="496"/>
      <c r="W17" s="496">
        <f ca="1">_xll.meDateFromTenor(W5,W19,,W20)</f>
        <v>44085</v>
      </c>
      <c r="X17" s="496">
        <f ca="1">_xll.meDateFromTenor(X5,X19,,X20)</f>
        <v>44085</v>
      </c>
      <c r="Y17" s="496"/>
      <c r="Z17" s="496">
        <f ca="1">_xll.meDateFromTenor(Z5,Z15,"MF",Z16)</f>
        <v>44084</v>
      </c>
      <c r="AA17" s="496"/>
      <c r="AB17" s="496">
        <f ca="1">_xll.meDateFromTenor($AB$5,AB15,,AB16)</f>
        <v>44083</v>
      </c>
      <c r="AC17" s="496"/>
      <c r="AD17" s="496">
        <f ca="1">_xll.meDateFromTenor(AD5,AD15,"MF",AD16)</f>
        <v>44084</v>
      </c>
      <c r="AE17" s="491"/>
      <c r="AF17" s="497">
        <f ca="1">_xll.meDateFromTenor(AF5,AF15,"MF",AF16)</f>
        <v>44083</v>
      </c>
      <c r="AM17" t="s">
        <v>1500</v>
      </c>
      <c r="AN17" s="5" t="s">
        <v>997</v>
      </c>
      <c r="AO17" s="5" t="s">
        <v>997</v>
      </c>
      <c r="AQ17" t="str">
        <v>PAYMENTLAG</v>
      </c>
      <c r="AR17" t="str">
        <v>0D</v>
      </c>
      <c r="AS17" t="str">
        <v>0D</v>
      </c>
      <c r="AV17" t="str">
        <v>PAYMENTLAG</v>
      </c>
      <c r="AW17" t="str">
        <v>0D</v>
      </c>
      <c r="AX17" t="str">
        <v>0D</v>
      </c>
      <c r="AY17" t="e">
        <v>#N/A</v>
      </c>
    </row>
    <row r="18" spans="1:51" x14ac:dyDescent="0.25"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W18" s="5"/>
      <c r="AM18" t="s">
        <v>1501</v>
      </c>
      <c r="AN18" s="5" t="s">
        <v>713</v>
      </c>
      <c r="AO18" s="5" t="s">
        <v>713</v>
      </c>
      <c r="AQ18" t="str">
        <v>FIRSTSTUBDATE</v>
      </c>
      <c r="AR18" t="str">
        <v/>
      </c>
      <c r="AS18" t="str">
        <v/>
      </c>
      <c r="AV18" t="str">
        <v>FIRSTSTUBDATE</v>
      </c>
      <c r="AW18" t="str">
        <v/>
      </c>
      <c r="AX18" t="str">
        <v/>
      </c>
      <c r="AY18" t="e">
        <v>#N/A</v>
      </c>
    </row>
    <row r="19" spans="1:51" x14ac:dyDescent="0.25">
      <c r="A19" s="412" t="s">
        <v>14</v>
      </c>
      <c r="B19" s="486"/>
      <c r="C19" s="439" t="s">
        <v>5</v>
      </c>
      <c r="D19" s="439" t="s">
        <v>5</v>
      </c>
      <c r="E19" s="439" t="s">
        <v>28</v>
      </c>
      <c r="F19" s="439" t="s">
        <v>5</v>
      </c>
      <c r="G19" s="439" t="s">
        <v>5</v>
      </c>
      <c r="H19" s="439" t="s">
        <v>5</v>
      </c>
      <c r="I19" s="439"/>
      <c r="J19" s="439" t="s">
        <v>5</v>
      </c>
      <c r="K19" s="439" t="s">
        <v>5</v>
      </c>
      <c r="L19" s="439" t="s">
        <v>5</v>
      </c>
      <c r="M19" s="439"/>
      <c r="N19" s="439" t="s">
        <v>5</v>
      </c>
      <c r="O19" s="439" t="s">
        <v>621</v>
      </c>
      <c r="P19" s="413"/>
      <c r="Q19" s="439" t="s">
        <v>621</v>
      </c>
      <c r="R19" s="439" t="s">
        <v>621</v>
      </c>
      <c r="S19" s="439" t="s">
        <v>621</v>
      </c>
      <c r="T19" s="439" t="s">
        <v>621</v>
      </c>
      <c r="U19" s="439" t="s">
        <v>5</v>
      </c>
      <c r="V19" s="413"/>
      <c r="W19" s="439" t="s">
        <v>5</v>
      </c>
      <c r="X19" s="439" t="s">
        <v>5</v>
      </c>
      <c r="Y19" s="413"/>
      <c r="Z19" s="439" t="s">
        <v>28</v>
      </c>
      <c r="AA19" s="439" t="s">
        <v>28</v>
      </c>
      <c r="AB19" s="439" t="s">
        <v>5</v>
      </c>
      <c r="AC19" s="439"/>
      <c r="AD19" s="439" t="s">
        <v>5</v>
      </c>
      <c r="AE19" s="439" t="s">
        <v>5</v>
      </c>
      <c r="AF19" s="487" t="s">
        <v>5</v>
      </c>
      <c r="AH19" t="s">
        <v>5</v>
      </c>
      <c r="AM19" t="s">
        <v>1502</v>
      </c>
      <c r="AN19" s="5" t="s">
        <v>713</v>
      </c>
      <c r="AO19" s="5" t="s">
        <v>713</v>
      </c>
      <c r="AQ19" t="str">
        <v>LASTSTUBDATE</v>
      </c>
      <c r="AR19" t="str">
        <v/>
      </c>
      <c r="AS19" t="str">
        <v/>
      </c>
      <c r="AV19" t="str">
        <v>LASTSTUBDATE</v>
      </c>
      <c r="AW19" t="str">
        <v/>
      </c>
      <c r="AX19" t="str">
        <v/>
      </c>
      <c r="AY19" t="e">
        <v>#N/A</v>
      </c>
    </row>
    <row r="20" spans="1:51" x14ac:dyDescent="0.25">
      <c r="A20" s="415" t="s">
        <v>15</v>
      </c>
      <c r="B20" s="493"/>
      <c r="C20" s="440" t="s">
        <v>609</v>
      </c>
      <c r="D20" s="440" t="s">
        <v>613</v>
      </c>
      <c r="E20" s="440" t="s">
        <v>624</v>
      </c>
      <c r="F20" s="440" t="s">
        <v>627</v>
      </c>
      <c r="G20" s="440" t="s">
        <v>616</v>
      </c>
      <c r="H20" s="440" t="s">
        <v>615</v>
      </c>
      <c r="I20" s="440"/>
      <c r="J20" s="440" t="s">
        <v>631</v>
      </c>
      <c r="K20" s="440" t="s">
        <v>634</v>
      </c>
      <c r="L20" s="440" t="s">
        <v>637</v>
      </c>
      <c r="M20" s="440"/>
      <c r="N20" s="440" t="s">
        <v>640</v>
      </c>
      <c r="O20" s="440" t="s">
        <v>644</v>
      </c>
      <c r="P20" s="416"/>
      <c r="Q20" s="440" t="s">
        <v>647</v>
      </c>
      <c r="R20" s="440" t="s">
        <v>651</v>
      </c>
      <c r="S20" s="440" t="s">
        <v>649</v>
      </c>
      <c r="T20" s="440" t="s">
        <v>653</v>
      </c>
      <c r="U20" s="440" t="s">
        <v>606</v>
      </c>
      <c r="V20" s="416"/>
      <c r="W20" s="440" t="s">
        <v>655</v>
      </c>
      <c r="X20" s="440" t="s">
        <v>657</v>
      </c>
      <c r="Y20" s="416"/>
      <c r="Z20" s="440" t="s">
        <v>659</v>
      </c>
      <c r="AA20" s="440" t="s">
        <v>661</v>
      </c>
      <c r="AB20" s="440" t="s">
        <v>610</v>
      </c>
      <c r="AC20" s="440"/>
      <c r="AD20" s="440" t="s">
        <v>1300</v>
      </c>
      <c r="AE20" s="440" t="s">
        <v>1231</v>
      </c>
      <c r="AF20" s="494" t="s">
        <v>1232</v>
      </c>
      <c r="AH20" t="s">
        <v>1639</v>
      </c>
      <c r="AM20" t="s">
        <v>1503</v>
      </c>
      <c r="AN20" s="5" t="s">
        <v>996</v>
      </c>
      <c r="AO20" s="5" t="s">
        <v>996</v>
      </c>
      <c r="AQ20" t="str">
        <v>ROLLDAY</v>
      </c>
      <c r="AR20" t="str">
        <v>NORMAL</v>
      </c>
      <c r="AS20" t="str">
        <v>NORMAL</v>
      </c>
      <c r="AV20" t="str">
        <v>ROLLDAY</v>
      </c>
      <c r="AW20" t="str">
        <v>NORMAL</v>
      </c>
      <c r="AX20" t="str">
        <v>NORMAL</v>
      </c>
      <c r="AY20" t="e">
        <v>#N/A</v>
      </c>
    </row>
    <row r="21" spans="1:51" x14ac:dyDescent="0.25">
      <c r="A21" s="415" t="s">
        <v>17</v>
      </c>
      <c r="B21" s="493"/>
      <c r="C21" s="440"/>
      <c r="D21" s="498">
        <f ca="1">_xll.meDateFromTenor(D5,D19,"MF",D20)</f>
        <v>44085</v>
      </c>
      <c r="E21" s="498">
        <f ca="1">_xll.meDateFromTenor(E5,E19,"MF",E20)</f>
        <v>44084</v>
      </c>
      <c r="F21" s="498">
        <f ca="1">_xll.meDateFromTenor(F5,F19,"MF",F20)</f>
        <v>44085</v>
      </c>
      <c r="G21" s="498">
        <f ca="1">_xll.meDateFromTenor(G5,G19,"MF",G20)</f>
        <v>44085</v>
      </c>
      <c r="H21" s="498">
        <f ca="1">_xll.meDateFromTenor(H5,H19,"MF",H20)</f>
        <v>44085</v>
      </c>
      <c r="I21" s="498"/>
      <c r="J21" s="498">
        <f ca="1">_xll.meDateFromTenor(J5,J19,"MF",J20)</f>
        <v>44085</v>
      </c>
      <c r="K21" s="498">
        <f ca="1">_xll.meDateFromTenor(K5,K19,"MF",K20)</f>
        <v>44085</v>
      </c>
      <c r="L21" s="498">
        <f ca="1">_xll.meDateFromTenor(L5,L19,"MF",L20)</f>
        <v>44085</v>
      </c>
      <c r="M21" s="498"/>
      <c r="N21" s="498">
        <f ca="1">_xll.meDateFromTenor(N5,N19,"MF",N20)</f>
        <v>44085</v>
      </c>
      <c r="O21" s="498">
        <f ca="1">_xll.meDateFromTenor(O5,O19,"MF",O20)</f>
        <v>44085</v>
      </c>
      <c r="P21" s="498"/>
      <c r="Q21" s="498">
        <f ca="1">_xll.meDateFromTenor(Q5,Q19,"MF",Q20)</f>
        <v>44085</v>
      </c>
      <c r="R21" s="498">
        <f ca="1">_xll.meDateFromTenor(R5,R19,"MF",R20)</f>
        <v>44085</v>
      </c>
      <c r="S21" s="498">
        <f ca="1">_xll.meDateFromTenor(S5,S19,"MF",S20)</f>
        <v>44085</v>
      </c>
      <c r="T21" s="498">
        <f ca="1">_xll.meDateFromTenor(T5,T19,"MF",T20)</f>
        <v>44085</v>
      </c>
      <c r="U21" s="498">
        <f ca="1">_xll.meDateFromTenor(U5,U19,"MF",U20)</f>
        <v>44085</v>
      </c>
      <c r="V21" s="498"/>
      <c r="W21" s="498">
        <f ca="1">_xll.meDateFromTenor(W5,W19,"MF",W20)</f>
        <v>44085</v>
      </c>
      <c r="X21" s="498">
        <f ca="1">_xll.meDateFromTenor(X5,X19,"MF",X20)</f>
        <v>44085</v>
      </c>
      <c r="Y21" s="498"/>
      <c r="Z21" s="498">
        <f ca="1">_xll.meDateFromTenor(Z5,Z19,"MF",Z20)</f>
        <v>44084</v>
      </c>
      <c r="AA21" s="498">
        <f ca="1">_xll.meDateFromTenor(AA5,AA19,"MF",AA20)</f>
        <v>44084</v>
      </c>
      <c r="AB21" s="498">
        <f ca="1">_xll.meDateFromTenor(AB5,AB19,"MF",AB20)</f>
        <v>44085</v>
      </c>
      <c r="AC21" s="498"/>
      <c r="AD21" s="498">
        <f ca="1">_xll.meDateFromTenor(AD5,AD19,"MF",AD20)</f>
        <v>44085</v>
      </c>
      <c r="AE21" s="498">
        <f ca="1">_xll.meDateFromTenor(AE5,AE19,"MF",AE20)</f>
        <v>44085</v>
      </c>
      <c r="AF21" s="499">
        <f ca="1">_xll.meDateFromTenor(AF5,AF19,"MF",AF20)</f>
        <v>44085</v>
      </c>
      <c r="AH21" s="499">
        <f ca="1">_xll.meDateFromTenor(AH5,AH19,"MF",AH20)</f>
        <v>44085</v>
      </c>
      <c r="AM21" t="s">
        <v>1504</v>
      </c>
      <c r="AN21" s="5" t="s">
        <v>1484</v>
      </c>
      <c r="AO21" s="5" t="s">
        <v>1484</v>
      </c>
      <c r="AQ21" t="str">
        <v>STUBTYPE</v>
      </c>
      <c r="AR21" t="str">
        <v>ShortStart</v>
      </c>
      <c r="AS21" t="str">
        <v>ShortStart</v>
      </c>
      <c r="AV21" t="str">
        <v>STUBTYPE</v>
      </c>
      <c r="AW21" t="str">
        <v>ShortStart</v>
      </c>
      <c r="AX21" t="str">
        <v>ShortStart</v>
      </c>
      <c r="AY21" t="e">
        <v>#N/A</v>
      </c>
    </row>
    <row r="22" spans="1:51" x14ac:dyDescent="0.25">
      <c r="A22" s="488" t="s">
        <v>16</v>
      </c>
      <c r="B22" s="489"/>
      <c r="C22" s="490"/>
      <c r="D22" s="496">
        <f ca="1">_xll.meDateFromTenor(D5,D19,"MF",D20)</f>
        <v>44085</v>
      </c>
      <c r="E22" s="496">
        <f ca="1">_xll.meDateFromTenor(E5,E19,"MF",E20)</f>
        <v>44084</v>
      </c>
      <c r="F22" s="496">
        <f ca="1">_xll.meDateFromTenor(F5,F19,"MF",F20)</f>
        <v>44085</v>
      </c>
      <c r="G22" s="496">
        <f ca="1">_xll.meDateFromTenor(G5,G19,"MF",G20)</f>
        <v>44085</v>
      </c>
      <c r="H22" s="496">
        <f ca="1">_xll.meDateFromTenor(H5,H19,"MF",H20)</f>
        <v>44085</v>
      </c>
      <c r="I22" s="496"/>
      <c r="J22" s="496">
        <f ca="1">_xll.meDateFromTenor(J5,J19,"MF",J20)</f>
        <v>44085</v>
      </c>
      <c r="K22" s="496">
        <f ca="1">_xll.meDateFromTenor(K5,K19,"MF",K20)</f>
        <v>44085</v>
      </c>
      <c r="L22" s="496">
        <f ca="1">_xll.meDateFromTenor(L5,L19,"MF",L20)</f>
        <v>44085</v>
      </c>
      <c r="M22" s="496"/>
      <c r="N22" s="496">
        <f ca="1">_xll.meDateFromTenor(N5,N19,"MF",N20)</f>
        <v>44085</v>
      </c>
      <c r="O22" s="496">
        <f ca="1">_xll.meDateFromTenor(O5,O19,"MF",O20)</f>
        <v>44085</v>
      </c>
      <c r="P22" s="496"/>
      <c r="Q22" s="496">
        <f ca="1">_xll.meDateFromTenor(Q5,Q19,"MF",Q20)</f>
        <v>44085</v>
      </c>
      <c r="R22" s="496">
        <f ca="1">_xll.meDateFromTenor(R5,R19,"MF",R20)</f>
        <v>44085</v>
      </c>
      <c r="S22" s="496">
        <f ca="1">_xll.meDateFromTenor(S5,S19,"MF",S20)</f>
        <v>44085</v>
      </c>
      <c r="T22" s="496">
        <f ca="1">_xll.meDateFromTenor(T5,T19,"MF",T20)</f>
        <v>44085</v>
      </c>
      <c r="U22" s="496">
        <f ca="1">_xll.meDateFromTenor(U5,U19,"MF",U20)</f>
        <v>44085</v>
      </c>
      <c r="V22" s="496"/>
      <c r="W22" s="496">
        <f ca="1">_xll.meDateFromTenor(W5,W19,"MF",W20)</f>
        <v>44085</v>
      </c>
      <c r="X22" s="496">
        <f ca="1">_xll.meDateFromTenor(X5,X19,"MF",X20)</f>
        <v>44085</v>
      </c>
      <c r="Y22" s="496"/>
      <c r="Z22" s="496">
        <f ca="1">_xll.meDateFromTenor(Z5,Z19,"MF",Z20)</f>
        <v>44084</v>
      </c>
      <c r="AA22" s="496">
        <f ca="1">_xll.meDateFromTenor(AA5,AA19,"MF",AA20)</f>
        <v>44084</v>
      </c>
      <c r="AB22" s="496">
        <f ca="1">_xll.meDateFromTenor(AB5,AB19,"MF",AB20)</f>
        <v>44085</v>
      </c>
      <c r="AC22" s="496"/>
      <c r="AD22" s="496">
        <f ca="1">_xll.meDateFromTenor(AD5,AD19,"MF",AD20)</f>
        <v>44085</v>
      </c>
      <c r="AE22" s="496">
        <f ca="1">_xll.meDateFromTenor(AE5,AE19,"MF",AE20)</f>
        <v>44085</v>
      </c>
      <c r="AF22" s="497">
        <f ca="1">_xll.meDateFromTenor(AF5,AF19,"MF",AF20)</f>
        <v>44085</v>
      </c>
      <c r="AH22" s="497">
        <f ca="1">_xll.meDateFromTenor(AH5,AH19,"MF",AH20)</f>
        <v>44085</v>
      </c>
      <c r="AM22" t="s">
        <v>1505</v>
      </c>
      <c r="AN22" s="5" t="s">
        <v>687</v>
      </c>
      <c r="AO22" s="5" t="s">
        <v>687</v>
      </c>
      <c r="AQ22" t="str">
        <v>FIXINGBUSINESSDAYADJUSTMENT</v>
      </c>
      <c r="AR22" t="str">
        <v>MOD_FOLLOWING</v>
      </c>
      <c r="AS22" t="str">
        <v>MOD_FOLLOWING</v>
      </c>
      <c r="AV22" t="str">
        <v>FIXINGBUSINESSDAYADJUSTMENT</v>
      </c>
      <c r="AW22" t="str">
        <v/>
      </c>
      <c r="AX22" t="str">
        <v>MOD_FOLLOWING</v>
      </c>
      <c r="AY22" t="e">
        <v>#N/A</v>
      </c>
    </row>
    <row r="23" spans="1:5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W23" s="5"/>
      <c r="AM23" t="s">
        <v>1506</v>
      </c>
      <c r="AN23" s="5" t="str">
        <f>INDEX($C$4:$AF$63,27,MATCH($AN$1,$C$4:$AF$4,0))</f>
        <v>BEB:NYB:LNB</v>
      </c>
      <c r="AO23" s="5" t="str">
        <f>AO12</f>
        <v>BEB:NYB:LNB</v>
      </c>
      <c r="AQ23" t="str">
        <v>FIXINGCALENDAR</v>
      </c>
      <c r="AR23" t="str">
        <v>LNB:NYB:TGT</v>
      </c>
      <c r="AS23" t="str">
        <v>LNB:NYB:TGT</v>
      </c>
      <c r="AV23" t="str">
        <v>FIXINGCALENDAR</v>
      </c>
      <c r="AW23" t="str">
        <v/>
      </c>
      <c r="AX23" t="str">
        <v>RIB</v>
      </c>
      <c r="AY23" t="e">
        <v>#N/A</v>
      </c>
    </row>
    <row r="24" spans="1:51" x14ac:dyDescent="0.25">
      <c r="A24" s="412" t="s">
        <v>18</v>
      </c>
      <c r="B24" s="486"/>
      <c r="C24" s="439"/>
      <c r="D24" s="439"/>
      <c r="E24" s="439"/>
      <c r="F24" s="439"/>
      <c r="G24" s="439"/>
      <c r="H24" s="439"/>
      <c r="I24" s="439"/>
      <c r="J24" s="439"/>
      <c r="K24" s="439"/>
      <c r="L24" s="439"/>
      <c r="M24" s="439"/>
      <c r="N24" s="439"/>
      <c r="O24" s="439"/>
      <c r="P24" s="413"/>
      <c r="Q24" s="413"/>
      <c r="R24" s="413"/>
      <c r="S24" s="413"/>
      <c r="T24" s="413"/>
      <c r="U24" s="413"/>
      <c r="V24" s="413"/>
      <c r="W24" s="439"/>
      <c r="X24" s="413"/>
      <c r="Y24" s="413"/>
      <c r="Z24" s="439" t="s">
        <v>28</v>
      </c>
      <c r="AA24" s="413"/>
      <c r="AB24" s="413"/>
      <c r="AC24" s="413"/>
      <c r="AD24" s="413"/>
      <c r="AE24" s="413"/>
      <c r="AF24" s="414"/>
      <c r="AM24" t="s">
        <v>1507</v>
      </c>
      <c r="AN24" s="5" t="str">
        <f>AN17</f>
        <v>0d</v>
      </c>
      <c r="AO24" s="5" t="str">
        <f>AO17</f>
        <v>0d</v>
      </c>
      <c r="AQ24" t="str">
        <v>FIXINGLAG</v>
      </c>
      <c r="AR24" t="str">
        <v>0D</v>
      </c>
      <c r="AS24" t="str">
        <v>0D</v>
      </c>
      <c r="AV24" t="str">
        <v>FIXINGLAG</v>
      </c>
      <c r="AW24" t="str">
        <v/>
      </c>
      <c r="AX24" t="str">
        <v>0D</v>
      </c>
      <c r="AY24" t="e">
        <v>#N/A</v>
      </c>
    </row>
    <row r="25" spans="1:51" x14ac:dyDescent="0.25">
      <c r="A25" s="415" t="s">
        <v>19</v>
      </c>
      <c r="B25" s="493"/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16"/>
      <c r="Q25" s="416"/>
      <c r="R25" s="416"/>
      <c r="S25" s="416"/>
      <c r="T25" s="416"/>
      <c r="U25" s="416"/>
      <c r="V25" s="416"/>
      <c r="W25" s="440"/>
      <c r="X25" s="416"/>
      <c r="Y25" s="416"/>
      <c r="Z25" s="440" t="s">
        <v>659</v>
      </c>
      <c r="AA25" s="416"/>
      <c r="AB25" s="416"/>
      <c r="AC25" s="416"/>
      <c r="AD25" s="416"/>
      <c r="AE25" s="416"/>
      <c r="AF25" s="417"/>
      <c r="AM25" t="s">
        <v>1508</v>
      </c>
      <c r="AN25" s="5" t="s">
        <v>713</v>
      </c>
      <c r="AO25" s="5" t="s">
        <v>713</v>
      </c>
      <c r="AQ25" t="str">
        <v>FIXINGADVANCEORARREAR</v>
      </c>
      <c r="AR25" t="str">
        <v/>
      </c>
      <c r="AS25" t="str">
        <v/>
      </c>
      <c r="AV25" t="str">
        <v>FIXINGADVANCEORARREAR</v>
      </c>
      <c r="AW25" t="str">
        <v/>
      </c>
      <c r="AX25" t="str">
        <v/>
      </c>
      <c r="AY25" t="e">
        <v>#N/A</v>
      </c>
    </row>
    <row r="26" spans="1:51" x14ac:dyDescent="0.25">
      <c r="A26" s="415" t="s">
        <v>20</v>
      </c>
      <c r="B26" s="493"/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16"/>
      <c r="Q26" s="416"/>
      <c r="R26" s="416"/>
      <c r="S26" s="416"/>
      <c r="T26" s="416"/>
      <c r="U26" s="416"/>
      <c r="V26" s="416"/>
      <c r="W26" s="440"/>
      <c r="X26" s="416"/>
      <c r="Y26" s="416"/>
      <c r="Z26" s="416"/>
      <c r="AA26" s="416"/>
      <c r="AB26" s="416"/>
      <c r="AC26" s="416"/>
      <c r="AD26" s="416"/>
      <c r="AE26" s="416"/>
      <c r="AF26" s="417"/>
      <c r="AM26" t="s">
        <v>1509</v>
      </c>
      <c r="AN26" s="5" t="b">
        <v>0</v>
      </c>
      <c r="AO26" s="5" t="b">
        <v>0</v>
      </c>
      <c r="AQ26" t="str">
        <v>ISFWDINTER</v>
      </c>
      <c r="AR26" t="str">
        <v>FALSE</v>
      </c>
      <c r="AS26" t="str">
        <v>FALSE</v>
      </c>
      <c r="AV26" t="str">
        <v>ISFWDINTER</v>
      </c>
      <c r="AW26" t="str">
        <v/>
      </c>
      <c r="AX26" t="str">
        <v/>
      </c>
      <c r="AY26" t="e">
        <v>#N/A</v>
      </c>
    </row>
    <row r="27" spans="1:51" x14ac:dyDescent="0.25">
      <c r="A27" s="488" t="s">
        <v>21</v>
      </c>
      <c r="B27" s="489"/>
      <c r="C27" s="490"/>
      <c r="D27" s="490"/>
      <c r="E27" s="490"/>
      <c r="F27" s="490"/>
      <c r="G27" s="490"/>
      <c r="H27" s="490"/>
      <c r="I27" s="490"/>
      <c r="J27" s="490"/>
      <c r="K27" s="490"/>
      <c r="L27" s="490"/>
      <c r="M27" s="490"/>
      <c r="N27" s="490"/>
      <c r="O27" s="490"/>
      <c r="P27" s="491"/>
      <c r="Q27" s="491"/>
      <c r="R27" s="491"/>
      <c r="S27" s="491"/>
      <c r="T27" s="491"/>
      <c r="U27" s="491"/>
      <c r="V27" s="491"/>
      <c r="W27" s="490"/>
      <c r="X27" s="491"/>
      <c r="Y27" s="491"/>
      <c r="Z27" s="491"/>
      <c r="AA27" s="491"/>
      <c r="AB27" s="491"/>
      <c r="AC27" s="491"/>
      <c r="AD27" s="491"/>
      <c r="AE27" s="491"/>
      <c r="AF27" s="495"/>
      <c r="AM27" t="s">
        <v>1510</v>
      </c>
      <c r="AN27" s="5" t="s">
        <v>995</v>
      </c>
      <c r="AO27" s="5" t="s">
        <v>995</v>
      </c>
      <c r="AQ27" t="str">
        <v>FIRSTSTUBCURVEINDEX</v>
      </c>
      <c r="AR27" t="str">
        <v>NATURAL</v>
      </c>
      <c r="AS27" t="str">
        <v>NATURAL</v>
      </c>
      <c r="AV27" t="str">
        <v>FIRSTSTUBCURVEINDEX</v>
      </c>
      <c r="AW27" t="str">
        <v/>
      </c>
      <c r="AX27" t="str">
        <v>NATURAL</v>
      </c>
      <c r="AY27" t="e">
        <v>#N/A</v>
      </c>
    </row>
    <row r="28" spans="1:51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W28" s="5"/>
      <c r="AM28" t="s">
        <v>1511</v>
      </c>
      <c r="AN28" s="5" t="s">
        <v>995</v>
      </c>
      <c r="AO28" s="5" t="s">
        <v>995</v>
      </c>
      <c r="AQ28" t="str">
        <v>LASTSTUBCURVEINDEX</v>
      </c>
      <c r="AR28" t="str">
        <v>NATURAL</v>
      </c>
      <c r="AS28" t="str">
        <v>NATURAL</v>
      </c>
      <c r="AV28" t="str">
        <v>LASTSTUBCURVEINDEX</v>
      </c>
      <c r="AW28" t="str">
        <v/>
      </c>
      <c r="AX28" t="str">
        <v>NATURAL</v>
      </c>
      <c r="AY28" t="e">
        <v>#N/A</v>
      </c>
    </row>
    <row r="29" spans="1:51" x14ac:dyDescent="0.25">
      <c r="A29" s="412" t="s">
        <v>22</v>
      </c>
      <c r="B29" s="486"/>
      <c r="C29" s="439" t="s">
        <v>5</v>
      </c>
      <c r="D29" s="439" t="s">
        <v>5</v>
      </c>
      <c r="E29" s="439" t="s">
        <v>5</v>
      </c>
      <c r="F29" s="439" t="s">
        <v>5</v>
      </c>
      <c r="G29" s="439" t="s">
        <v>5</v>
      </c>
      <c r="H29" s="439" t="s">
        <v>5</v>
      </c>
      <c r="I29" s="439"/>
      <c r="J29" s="439" t="s">
        <v>5</v>
      </c>
      <c r="K29" s="439" t="s">
        <v>5</v>
      </c>
      <c r="L29" s="439" t="s">
        <v>5</v>
      </c>
      <c r="M29" s="439"/>
      <c r="N29" s="439" t="s">
        <v>621</v>
      </c>
      <c r="O29" s="439" t="s">
        <v>621</v>
      </c>
      <c r="P29" s="413"/>
      <c r="Q29" s="439" t="s">
        <v>621</v>
      </c>
      <c r="R29" s="439" t="s">
        <v>621</v>
      </c>
      <c r="S29" s="439" t="s">
        <v>621</v>
      </c>
      <c r="T29" s="439" t="s">
        <v>621</v>
      </c>
      <c r="U29" s="439"/>
      <c r="V29" s="413"/>
      <c r="W29" s="439" t="s">
        <v>5</v>
      </c>
      <c r="X29" s="439" t="s">
        <v>5</v>
      </c>
      <c r="Y29" s="413"/>
      <c r="Z29" s="439" t="s">
        <v>5</v>
      </c>
      <c r="AA29" s="439" t="s">
        <v>5</v>
      </c>
      <c r="AB29" s="439" t="s">
        <v>5</v>
      </c>
      <c r="AC29" s="439"/>
      <c r="AD29" s="439" t="s">
        <v>5</v>
      </c>
      <c r="AE29" s="439" t="s">
        <v>5</v>
      </c>
      <c r="AF29" s="487" t="s">
        <v>5</v>
      </c>
      <c r="AH29" s="375" t="s">
        <v>5</v>
      </c>
      <c r="AM29" t="s">
        <v>1512</v>
      </c>
      <c r="AN29" s="5" t="s">
        <v>713</v>
      </c>
      <c r="AO29" s="5" t="s">
        <v>713</v>
      </c>
      <c r="AQ29" t="str">
        <v>CMSGENERATOR1</v>
      </c>
      <c r="AR29" t="str">
        <v/>
      </c>
      <c r="AS29" t="str">
        <v/>
      </c>
      <c r="AV29" t="str">
        <v>CMSGENERATOR1</v>
      </c>
      <c r="AW29" t="str">
        <v/>
      </c>
      <c r="AX29" t="str">
        <v/>
      </c>
      <c r="AY29" t="e">
        <v>#N/A</v>
      </c>
    </row>
    <row r="30" spans="1:51" x14ac:dyDescent="0.25">
      <c r="A30" s="415" t="s">
        <v>23</v>
      </c>
      <c r="B30" s="493"/>
      <c r="C30" s="440" t="s">
        <v>607</v>
      </c>
      <c r="D30" s="440" t="s">
        <v>618</v>
      </c>
      <c r="E30" s="440" t="s">
        <v>625</v>
      </c>
      <c r="F30" s="440" t="s">
        <v>629</v>
      </c>
      <c r="G30" s="440" t="s">
        <v>616</v>
      </c>
      <c r="H30" s="440" t="s">
        <v>617</v>
      </c>
      <c r="I30" s="440"/>
      <c r="J30" s="440" t="s">
        <v>632</v>
      </c>
      <c r="K30" s="440" t="s">
        <v>635</v>
      </c>
      <c r="L30" s="440" t="s">
        <v>638</v>
      </c>
      <c r="M30" s="440"/>
      <c r="N30" s="440" t="s">
        <v>641</v>
      </c>
      <c r="O30" s="440" t="s">
        <v>645</v>
      </c>
      <c r="P30" s="416"/>
      <c r="Q30" s="440" t="s">
        <v>1443</v>
      </c>
      <c r="R30" s="440" t="s">
        <v>1444</v>
      </c>
      <c r="S30" s="440" t="s">
        <v>1445</v>
      </c>
      <c r="T30" s="440" t="s">
        <v>653</v>
      </c>
      <c r="U30" s="440"/>
      <c r="V30" s="416"/>
      <c r="W30" s="440" t="s">
        <v>655</v>
      </c>
      <c r="X30" s="440" t="s">
        <v>657</v>
      </c>
      <c r="Y30" s="416"/>
      <c r="Z30" s="440" t="s">
        <v>838</v>
      </c>
      <c r="AA30" s="440" t="s">
        <v>661</v>
      </c>
      <c r="AB30" s="440" t="s">
        <v>808</v>
      </c>
      <c r="AC30" s="440"/>
      <c r="AD30" s="440" t="s">
        <v>1301</v>
      </c>
      <c r="AE30" s="440" t="s">
        <v>1233</v>
      </c>
      <c r="AF30" s="494" t="s">
        <v>1234</v>
      </c>
      <c r="AH30" s="375" t="s">
        <v>1639</v>
      </c>
      <c r="AM30" t="s">
        <v>1513</v>
      </c>
      <c r="AN30" s="5" t="s">
        <v>713</v>
      </c>
      <c r="AO30" s="5" t="s">
        <v>713</v>
      </c>
      <c r="AQ30" t="str">
        <v>CMSINDEXMATURITY1</v>
      </c>
      <c r="AR30" t="str">
        <v/>
      </c>
      <c r="AS30" t="str">
        <v/>
      </c>
      <c r="AV30" t="str">
        <v>CMSINDEXMATURITY1</v>
      </c>
      <c r="AW30" t="str">
        <v/>
      </c>
      <c r="AX30" t="str">
        <v/>
      </c>
      <c r="AY30" t="e">
        <v>#N/A</v>
      </c>
    </row>
    <row r="31" spans="1:51" x14ac:dyDescent="0.25">
      <c r="A31" s="488" t="s">
        <v>24</v>
      </c>
      <c r="B31" s="489"/>
      <c r="C31" s="496">
        <f ca="1">_xll.meDateFromTenor(C5,C29,"MF",C30)</f>
        <v>44085</v>
      </c>
      <c r="D31" s="496">
        <f ca="1">_xll.meDateFromTenor(D5,D29,"MF",D30)</f>
        <v>44085</v>
      </c>
      <c r="E31" s="496">
        <f ca="1">_xll.meDateFromTenor(E5,E29,"MF",E30)</f>
        <v>44085</v>
      </c>
      <c r="F31" s="496">
        <f ca="1">_xll.meDateFromTenor(F5,F29,"MF",F30)</f>
        <v>44085</v>
      </c>
      <c r="G31" s="496">
        <f ca="1">_xll.meDateFromTenor(G5,G29,"MF",G30)</f>
        <v>44085</v>
      </c>
      <c r="H31" s="496">
        <f ca="1">_xll.meDateFromTenor(H5,H29,"MF",H30)</f>
        <v>44085</v>
      </c>
      <c r="I31" s="496"/>
      <c r="J31" s="496">
        <f ca="1">_xll.meDateFromTenor(J5,J29,"MF",J30)</f>
        <v>44085</v>
      </c>
      <c r="K31" s="496">
        <f ca="1">_xll.meDateFromTenor(K5,K29,"MF",K30)</f>
        <v>44085</v>
      </c>
      <c r="L31" s="496">
        <f ca="1">_xll.meDateFromTenor(L5,L29,"MF",L30)</f>
        <v>44085</v>
      </c>
      <c r="M31" s="496"/>
      <c r="N31" s="496">
        <f ca="1">_xll.meDateFromTenor(N5,N29,"MF",N30)</f>
        <v>44085</v>
      </c>
      <c r="O31" s="496">
        <f ca="1">_xll.meDateFromTenor(O5,O29,"MF",O30)</f>
        <v>44085</v>
      </c>
      <c r="P31" s="496"/>
      <c r="Q31" s="496">
        <f ca="1">_xll.meDateFromTenor(Q5,Q29,"MF",Q30)</f>
        <v>44085</v>
      </c>
      <c r="R31" s="496">
        <f ca="1">_xll.meDateFromTenor(R5,R29,"MF",R30)</f>
        <v>44085</v>
      </c>
      <c r="S31" s="496">
        <f ca="1">_xll.meDateFromTenor(S5,S29,"MF",S30)</f>
        <v>44085</v>
      </c>
      <c r="T31" s="496">
        <f ca="1">_xll.meDateFromTenor(T5,T29,"MF",T30)</f>
        <v>44085</v>
      </c>
      <c r="U31" s="496"/>
      <c r="V31" s="496"/>
      <c r="W31" s="496">
        <f ca="1">_xll.meDateFromTenor(W5,W29,"MF",W30)</f>
        <v>44085</v>
      </c>
      <c r="X31" s="496">
        <f ca="1">_xll.meDateFromTenor(X5,X29,"MF",X30)</f>
        <v>44085</v>
      </c>
      <c r="Y31" s="496"/>
      <c r="Z31" s="496">
        <f ca="1">_xll.meDateFromTenor(Z5,Z29,"MF",Z30)</f>
        <v>44085</v>
      </c>
      <c r="AA31" s="496">
        <f ca="1">_xll.meDateFromTenor(AA5,AA29,"MF",AA30)</f>
        <v>44085</v>
      </c>
      <c r="AB31" s="496">
        <f ca="1">_xll.meDateFromTenor(AB5,AB29,"MF",AB30)</f>
        <v>44085</v>
      </c>
      <c r="AC31" s="496"/>
      <c r="AD31" s="496">
        <f ca="1">_xll.meDateFromTenor(AD5,AD29,"MF",AD30)</f>
        <v>44085</v>
      </c>
      <c r="AE31" s="496">
        <f ca="1">_xll.meDateFromTenor(AE5,AE29,"MF",AE30)</f>
        <v>44085</v>
      </c>
      <c r="AF31" s="497">
        <f ca="1">_xll.meDateFromTenor(AF5,AF29,"MF",AF30)</f>
        <v>44085</v>
      </c>
      <c r="AH31" s="497">
        <f ca="1">_xll.meDateFromTenor(AH5,AH29,"MF",AH30)</f>
        <v>44085</v>
      </c>
      <c r="AM31" t="s">
        <v>1514</v>
      </c>
      <c r="AN31" s="5" t="s">
        <v>713</v>
      </c>
      <c r="AO31" s="5" t="s">
        <v>713</v>
      </c>
      <c r="AQ31" t="str">
        <v>CMSGENERATOR2</v>
      </c>
      <c r="AR31" t="str">
        <v/>
      </c>
      <c r="AS31" t="str">
        <v/>
      </c>
      <c r="AV31" t="str">
        <v>CMSGENERATOR2</v>
      </c>
      <c r="AW31" t="str">
        <v/>
      </c>
      <c r="AX31" t="str">
        <v/>
      </c>
      <c r="AY31" t="e">
        <v>#N/A</v>
      </c>
    </row>
    <row r="32" spans="1:51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W32" s="5"/>
      <c r="AM32" t="s">
        <v>1515</v>
      </c>
      <c r="AN32" s="5" t="s">
        <v>713</v>
      </c>
      <c r="AO32" s="5" t="s">
        <v>713</v>
      </c>
      <c r="AQ32" t="str">
        <v>CMSINDEXMATURITY2</v>
      </c>
      <c r="AR32" t="str">
        <v/>
      </c>
      <c r="AS32" t="str">
        <v/>
      </c>
      <c r="AV32" t="str">
        <v>CMSINDEXMATURITY2</v>
      </c>
      <c r="AW32" t="str">
        <v/>
      </c>
      <c r="AX32" t="str">
        <v/>
      </c>
      <c r="AY32" t="e">
        <v>#N/A</v>
      </c>
    </row>
    <row r="33" spans="1:51" x14ac:dyDescent="0.25">
      <c r="A33" s="412" t="s">
        <v>25</v>
      </c>
      <c r="B33" s="486"/>
      <c r="C33" s="439" t="s">
        <v>28</v>
      </c>
      <c r="D33" s="439" t="s">
        <v>5</v>
      </c>
      <c r="E33" s="439" t="s">
        <v>98</v>
      </c>
      <c r="F33" s="439"/>
      <c r="G33" s="439" t="s">
        <v>5</v>
      </c>
      <c r="H33" s="439"/>
      <c r="I33" s="439"/>
      <c r="J33" s="439"/>
      <c r="K33" s="439"/>
      <c r="L33" s="439" t="s">
        <v>5</v>
      </c>
      <c r="M33" s="439"/>
      <c r="N33" s="439"/>
      <c r="O33" s="439"/>
      <c r="P33" s="413"/>
      <c r="Q33" s="413"/>
      <c r="R33" s="413"/>
      <c r="S33" s="413"/>
      <c r="T33" s="413"/>
      <c r="U33" s="413"/>
      <c r="V33" s="413"/>
      <c r="W33" s="439"/>
      <c r="X33" s="413"/>
      <c r="Y33" s="413"/>
      <c r="Z33" s="439" t="s">
        <v>621</v>
      </c>
      <c r="AA33" s="413"/>
      <c r="AB33" s="413"/>
      <c r="AC33" s="413"/>
      <c r="AD33" s="413"/>
      <c r="AE33" s="413"/>
      <c r="AF33" s="414"/>
      <c r="AM33" t="s">
        <v>1516</v>
      </c>
      <c r="AN33" s="5" t="s">
        <v>713</v>
      </c>
      <c r="AO33" s="5" t="s">
        <v>713</v>
      </c>
      <c r="AQ33" t="str">
        <v>PAYMENTTRIGGER</v>
      </c>
      <c r="AR33" t="str">
        <v/>
      </c>
      <c r="AS33" t="str">
        <v/>
      </c>
      <c r="AV33" t="str">
        <v>PAYMENTTRIGGER</v>
      </c>
      <c r="AW33" t="str">
        <v/>
      </c>
      <c r="AX33" t="str">
        <v/>
      </c>
      <c r="AY33" t="e">
        <v>#N/A</v>
      </c>
    </row>
    <row r="34" spans="1:51" x14ac:dyDescent="0.25">
      <c r="A34" s="415" t="s">
        <v>26</v>
      </c>
      <c r="B34" s="493"/>
      <c r="C34" s="440" t="s">
        <v>606</v>
      </c>
      <c r="D34" s="440" t="s">
        <v>612</v>
      </c>
      <c r="E34" s="440" t="s">
        <v>623</v>
      </c>
      <c r="F34" s="440"/>
      <c r="G34" s="440" t="s">
        <v>607</v>
      </c>
      <c r="H34" s="440"/>
      <c r="I34" s="440"/>
      <c r="J34" s="440"/>
      <c r="K34" s="440"/>
      <c r="L34" s="440" t="s">
        <v>636</v>
      </c>
      <c r="M34" s="440"/>
      <c r="N34" s="440"/>
      <c r="O34" s="440"/>
      <c r="P34" s="416"/>
      <c r="Q34" s="416"/>
      <c r="R34" s="416"/>
      <c r="S34" s="416"/>
      <c r="T34" s="416"/>
      <c r="U34" s="416"/>
      <c r="V34" s="416"/>
      <c r="W34" s="440"/>
      <c r="X34" s="416"/>
      <c r="Y34" s="416"/>
      <c r="Z34" s="440" t="s">
        <v>658</v>
      </c>
      <c r="AA34" s="416"/>
      <c r="AB34" s="416"/>
      <c r="AC34" s="416"/>
      <c r="AD34" s="416"/>
      <c r="AE34" s="416"/>
      <c r="AF34" s="417"/>
      <c r="AM34" t="s">
        <v>1517</v>
      </c>
      <c r="AN34" s="5" t="s">
        <v>713</v>
      </c>
      <c r="AO34" s="5" t="s">
        <v>713</v>
      </c>
      <c r="AQ34" t="str">
        <v>CALCULATIONTYPE</v>
      </c>
      <c r="AR34" t="str">
        <v/>
      </c>
      <c r="AS34" t="str">
        <v/>
      </c>
      <c r="AV34" t="str">
        <v>INFLATIONRESETTYPE</v>
      </c>
      <c r="AW34" t="str">
        <v/>
      </c>
      <c r="AX34" t="str">
        <v/>
      </c>
      <c r="AY34" t="e">
        <v>#N/A</v>
      </c>
    </row>
    <row r="35" spans="1:51" x14ac:dyDescent="0.25">
      <c r="A35" s="488" t="s">
        <v>27</v>
      </c>
      <c r="B35" s="489"/>
      <c r="C35" s="496">
        <f ca="1">_xll.meDateFromTenor(C5,C33,"MF",C34)</f>
        <v>44084</v>
      </c>
      <c r="D35" s="496">
        <f ca="1">_xll.meDateFromTenor(D5,D33,"MF",D34)</f>
        <v>44085</v>
      </c>
      <c r="E35" s="496">
        <f ca="1">_xll.meDateFromTenor(E5,E33,"MF",E34)</f>
        <v>44088</v>
      </c>
      <c r="F35" s="496"/>
      <c r="G35" s="496">
        <f ca="1">_xll.meDateFromTenor(G5,G33,"MF",G34)</f>
        <v>44085</v>
      </c>
      <c r="H35" s="496"/>
      <c r="I35" s="496"/>
      <c r="J35" s="496"/>
      <c r="K35" s="496"/>
      <c r="L35" s="496">
        <f ca="1">_xll.meDateFromTenor(L5,L33,"MF",L34)</f>
        <v>44085</v>
      </c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96"/>
      <c r="Y35" s="496"/>
      <c r="Z35" s="496">
        <f ca="1">_xll.meDateFromTenor(Z5,Z33,"MF",Z34)</f>
        <v>44085</v>
      </c>
      <c r="AA35" s="496"/>
      <c r="AB35" s="496"/>
      <c r="AC35" s="496"/>
      <c r="AD35" s="491"/>
      <c r="AE35" s="491"/>
      <c r="AF35" s="495"/>
      <c r="AM35" t="s">
        <v>1518</v>
      </c>
      <c r="AN35" s="5" t="s">
        <v>713</v>
      </c>
      <c r="AO35" s="5" t="s">
        <v>713</v>
      </c>
      <c r="AQ35" t="str">
        <v>EXDIVIDENDTENOR</v>
      </c>
      <c r="AR35" t="str">
        <v/>
      </c>
      <c r="AS35" t="str">
        <v/>
      </c>
      <c r="AV35" t="str">
        <v>CALCULATIONTYPE</v>
      </c>
      <c r="AW35" t="str">
        <v/>
      </c>
      <c r="AX35" t="str">
        <v/>
      </c>
      <c r="AY35" t="e">
        <v>#N/A</v>
      </c>
    </row>
    <row r="36" spans="1:51" x14ac:dyDescent="0.25">
      <c r="B36" s="3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W36" s="5"/>
      <c r="AM36" t="s">
        <v>1519</v>
      </c>
      <c r="AN36" s="5" t="s">
        <v>713</v>
      </c>
      <c r="AO36" s="5" t="s">
        <v>713</v>
      </c>
      <c r="AQ36" t="str">
        <v>EXDIVIDENDBUSINESSDAYADJUSTMENT</v>
      </c>
      <c r="AR36" t="str">
        <v/>
      </c>
      <c r="AS36" t="str">
        <v/>
      </c>
      <c r="AV36" t="str">
        <v>EXDIVIDENDTENOR</v>
      </c>
      <c r="AW36" t="str">
        <v/>
      </c>
      <c r="AX36" t="str">
        <v/>
      </c>
      <c r="AY36" t="e">
        <v>#N/A</v>
      </c>
    </row>
    <row r="37" spans="1:51" x14ac:dyDescent="0.25">
      <c r="B37" s="3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W37" s="5"/>
      <c r="AM37" t="s">
        <v>1520</v>
      </c>
      <c r="AN37" s="5" t="s">
        <v>713</v>
      </c>
      <c r="AO37" s="5" t="s">
        <v>713</v>
      </c>
      <c r="AQ37" t="e">
        <v>#N/A</v>
      </c>
      <c r="AR37" t="e">
        <v>#N/A</v>
      </c>
      <c r="AS37" t="e">
        <v>#N/A</v>
      </c>
      <c r="AV37" t="str">
        <v>EXDIVIDENDBUSINESSDAYADJUSTMENT</v>
      </c>
      <c r="AW37" t="str">
        <v/>
      </c>
      <c r="AX37" t="str">
        <v/>
      </c>
      <c r="AY37" t="e">
        <v>#N/A</v>
      </c>
    </row>
    <row r="38" spans="1:51" x14ac:dyDescent="0.25">
      <c r="A38" s="2" t="s">
        <v>29</v>
      </c>
      <c r="B38" s="3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W38" s="5"/>
      <c r="AQ38" t="e">
        <v>#N/A</v>
      </c>
      <c r="AR38" t="e">
        <v>#N/A</v>
      </c>
      <c r="AS38" t="e">
        <v>#N/A</v>
      </c>
      <c r="AV38" t="e">
        <v>#N/A</v>
      </c>
      <c r="AW38" t="e">
        <v>#N/A</v>
      </c>
      <c r="AX38" t="e">
        <v>#N/A</v>
      </c>
      <c r="AY38" t="e">
        <v>#N/A</v>
      </c>
    </row>
    <row r="39" spans="1:51" x14ac:dyDescent="0.25">
      <c r="A39" s="412" t="s">
        <v>30</v>
      </c>
      <c r="B39" s="486"/>
      <c r="C39" s="439" t="s">
        <v>607</v>
      </c>
      <c r="D39" s="439" t="s">
        <v>612</v>
      </c>
      <c r="E39" s="439" t="s">
        <v>623</v>
      </c>
      <c r="F39" s="439" t="s">
        <v>607</v>
      </c>
      <c r="G39" s="439" t="s">
        <v>607</v>
      </c>
      <c r="H39" s="439" t="s">
        <v>607</v>
      </c>
      <c r="I39" s="439"/>
      <c r="J39" s="439" t="s">
        <v>630</v>
      </c>
      <c r="K39" s="439" t="s">
        <v>633</v>
      </c>
      <c r="L39" s="439" t="s">
        <v>636</v>
      </c>
      <c r="M39" s="439"/>
      <c r="N39" s="439" t="s">
        <v>639</v>
      </c>
      <c r="O39" s="439" t="s">
        <v>642</v>
      </c>
      <c r="P39" s="413"/>
      <c r="Q39" s="439" t="s">
        <v>646</v>
      </c>
      <c r="R39" s="439" t="s">
        <v>650</v>
      </c>
      <c r="S39" s="439" t="s">
        <v>648</v>
      </c>
      <c r="T39" s="439" t="s">
        <v>652</v>
      </c>
      <c r="U39" s="439" t="s">
        <v>606</v>
      </c>
      <c r="V39" s="413"/>
      <c r="W39" s="439" t="s">
        <v>654</v>
      </c>
      <c r="X39" s="439" t="s">
        <v>656</v>
      </c>
      <c r="Y39" s="413"/>
      <c r="Z39" s="439" t="s">
        <v>658</v>
      </c>
      <c r="AA39" s="439" t="s">
        <v>660</v>
      </c>
      <c r="AB39" s="439" t="s">
        <v>608</v>
      </c>
      <c r="AC39" s="439"/>
      <c r="AD39" s="413" t="s">
        <v>1299</v>
      </c>
      <c r="AE39" s="439" t="s">
        <v>1226</v>
      </c>
      <c r="AF39" s="487" t="s">
        <v>1230</v>
      </c>
      <c r="AH39" s="375" t="s">
        <v>1638</v>
      </c>
      <c r="AQ39" t="e">
        <v>#N/A</v>
      </c>
      <c r="AR39" t="e">
        <v>#N/A</v>
      </c>
      <c r="AS39" t="e">
        <v>#N/A</v>
      </c>
      <c r="AV39" t="e">
        <v>#N/A</v>
      </c>
      <c r="AW39" t="e">
        <v>#N/A</v>
      </c>
      <c r="AX39" t="e">
        <v>#N/A</v>
      </c>
      <c r="AY39" t="e">
        <v>#N/A</v>
      </c>
    </row>
    <row r="40" spans="1:51" x14ac:dyDescent="0.25">
      <c r="A40" s="488" t="s">
        <v>31</v>
      </c>
      <c r="B40" s="489"/>
      <c r="C40" s="490" t="s">
        <v>609</v>
      </c>
      <c r="D40" s="490" t="s">
        <v>612</v>
      </c>
      <c r="E40" s="490" t="s">
        <v>623</v>
      </c>
      <c r="F40" s="490" t="s">
        <v>628</v>
      </c>
      <c r="G40" s="490" t="s">
        <v>607</v>
      </c>
      <c r="H40" s="490" t="s">
        <v>619</v>
      </c>
      <c r="I40" s="490"/>
      <c r="J40" s="490" t="s">
        <v>630</v>
      </c>
      <c r="K40" s="490" t="s">
        <v>633</v>
      </c>
      <c r="L40" s="490" t="s">
        <v>636</v>
      </c>
      <c r="M40" s="490"/>
      <c r="N40" s="490" t="s">
        <v>639</v>
      </c>
      <c r="O40" s="490" t="s">
        <v>642</v>
      </c>
      <c r="P40" s="491"/>
      <c r="Q40" s="490" t="s">
        <v>646</v>
      </c>
      <c r="R40" s="490" t="s">
        <v>650</v>
      </c>
      <c r="S40" s="490" t="s">
        <v>648</v>
      </c>
      <c r="T40" s="490" t="s">
        <v>652</v>
      </c>
      <c r="U40" s="490" t="s">
        <v>606</v>
      </c>
      <c r="V40" s="491"/>
      <c r="W40" s="490" t="s">
        <v>654</v>
      </c>
      <c r="X40" s="490" t="s">
        <v>656</v>
      </c>
      <c r="Y40" s="491"/>
      <c r="Z40" s="490" t="s">
        <v>658</v>
      </c>
      <c r="AA40" s="490" t="s">
        <v>660</v>
      </c>
      <c r="AB40" s="490" t="s">
        <v>608</v>
      </c>
      <c r="AC40" s="490"/>
      <c r="AD40" s="491" t="s">
        <v>1299</v>
      </c>
      <c r="AE40" s="490" t="s">
        <v>1226</v>
      </c>
      <c r="AF40" s="492" t="s">
        <v>1230</v>
      </c>
      <c r="AH40" s="375" t="s">
        <v>1638</v>
      </c>
      <c r="AQ40" t="e">
        <v>#N/A</v>
      </c>
      <c r="AR40" t="e">
        <v>#N/A</v>
      </c>
      <c r="AS40" t="e">
        <v>#N/A</v>
      </c>
      <c r="AV40" t="e">
        <v>#N/A</v>
      </c>
      <c r="AW40" t="e">
        <v>#N/A</v>
      </c>
      <c r="AX40" t="e">
        <v>#N/A</v>
      </c>
      <c r="AY40" t="e">
        <v>#N/A</v>
      </c>
    </row>
    <row r="41" spans="1:51" x14ac:dyDescent="0.25">
      <c r="B41" s="3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W41" s="5"/>
      <c r="AQ41" t="e">
        <v>#N/A</v>
      </c>
      <c r="AR41" t="e">
        <v>#N/A</v>
      </c>
      <c r="AS41" t="e">
        <v>#N/A</v>
      </c>
      <c r="AV41" t="e">
        <v>#N/A</v>
      </c>
      <c r="AW41" t="e">
        <v>#N/A</v>
      </c>
      <c r="AX41" t="e">
        <v>#N/A</v>
      </c>
      <c r="AY41" t="e">
        <v>#N/A</v>
      </c>
    </row>
    <row r="42" spans="1:51" x14ac:dyDescent="0.25">
      <c r="A42" s="2" t="s">
        <v>32</v>
      </c>
      <c r="B42" s="3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W42" s="5"/>
      <c r="AQ42" t="e">
        <v>#N/A</v>
      </c>
      <c r="AR42" t="e">
        <v>#N/A</v>
      </c>
      <c r="AS42" t="e">
        <v>#N/A</v>
      </c>
      <c r="AV42" t="e">
        <v>#N/A</v>
      </c>
      <c r="AW42" t="e">
        <v>#N/A</v>
      </c>
      <c r="AX42" t="e">
        <v>#N/A</v>
      </c>
      <c r="AY42" t="e">
        <v>#N/A</v>
      </c>
    </row>
    <row r="43" spans="1:51" x14ac:dyDescent="0.25">
      <c r="A43" s="412" t="s">
        <v>33</v>
      </c>
      <c r="B43" s="486"/>
      <c r="C43" s="439" t="s">
        <v>606</v>
      </c>
      <c r="D43" s="439" t="s">
        <v>612</v>
      </c>
      <c r="E43" s="439" t="s">
        <v>623</v>
      </c>
      <c r="F43" s="439" t="s">
        <v>628</v>
      </c>
      <c r="G43" s="439" t="s">
        <v>607</v>
      </c>
      <c r="H43" s="439" t="s">
        <v>614</v>
      </c>
      <c r="I43" s="439"/>
      <c r="J43" s="439" t="s">
        <v>224</v>
      </c>
      <c r="K43" s="439" t="s">
        <v>225</v>
      </c>
      <c r="L43" s="439" t="s">
        <v>226</v>
      </c>
      <c r="M43" s="439"/>
      <c r="N43" s="439" t="s">
        <v>92</v>
      </c>
      <c r="O43" s="439" t="s">
        <v>642</v>
      </c>
      <c r="P43" s="413"/>
      <c r="Q43" s="439" t="s">
        <v>646</v>
      </c>
      <c r="R43" s="439" t="s">
        <v>650</v>
      </c>
      <c r="S43" s="439" t="s">
        <v>648</v>
      </c>
      <c r="T43" s="439" t="s">
        <v>652</v>
      </c>
      <c r="U43" s="439" t="s">
        <v>606</v>
      </c>
      <c r="V43" s="413"/>
      <c r="W43" s="439" t="s">
        <v>654</v>
      </c>
      <c r="X43" s="439" t="s">
        <v>656</v>
      </c>
      <c r="Y43" s="413"/>
      <c r="Z43" s="413" t="s">
        <v>658</v>
      </c>
      <c r="AA43" s="413" t="s">
        <v>660</v>
      </c>
      <c r="AB43" s="413" t="s">
        <v>608</v>
      </c>
      <c r="AC43" s="413"/>
      <c r="AD43" s="413" t="s">
        <v>1299</v>
      </c>
      <c r="AE43" s="439" t="s">
        <v>1226</v>
      </c>
      <c r="AF43" s="487" t="s">
        <v>1230</v>
      </c>
      <c r="AM43" t="str">
        <f>_xll.meUtilityVersion()</f>
        <v>MLIBQ_ADDIN: Version Number: 20200909.0517. Architecture: 64 bit. Last built on Sep  9 2020 at 05:17:48. License will expire on Jan 1 2021.</v>
      </c>
      <c r="AQ43" t="e">
        <v>#N/A</v>
      </c>
      <c r="AR43" t="e">
        <v>#N/A</v>
      </c>
      <c r="AS43" t="e">
        <v>#N/A</v>
      </c>
      <c r="AV43" t="e">
        <v>#N/A</v>
      </c>
      <c r="AW43" t="e">
        <v>#N/A</v>
      </c>
      <c r="AX43" t="e">
        <v>#N/A</v>
      </c>
      <c r="AY43" t="e">
        <v>#N/A</v>
      </c>
    </row>
    <row r="44" spans="1:51" x14ac:dyDescent="0.25">
      <c r="A44" s="488" t="s">
        <v>34</v>
      </c>
      <c r="B44" s="489"/>
      <c r="C44" s="490" t="s">
        <v>606</v>
      </c>
      <c r="D44" s="490" t="s">
        <v>612</v>
      </c>
      <c r="E44" s="490" t="s">
        <v>623</v>
      </c>
      <c r="F44" s="490" t="s">
        <v>628</v>
      </c>
      <c r="G44" s="490" t="s">
        <v>607</v>
      </c>
      <c r="H44" s="490" t="s">
        <v>614</v>
      </c>
      <c r="I44" s="490"/>
      <c r="J44" s="490" t="s">
        <v>224</v>
      </c>
      <c r="K44" s="490" t="s">
        <v>225</v>
      </c>
      <c r="L44" s="490" t="s">
        <v>226</v>
      </c>
      <c r="M44" s="490"/>
      <c r="N44" s="490" t="s">
        <v>92</v>
      </c>
      <c r="O44" s="490" t="s">
        <v>642</v>
      </c>
      <c r="P44" s="491"/>
      <c r="Q44" s="490" t="s">
        <v>646</v>
      </c>
      <c r="R44" s="490" t="s">
        <v>650</v>
      </c>
      <c r="S44" s="490" t="s">
        <v>648</v>
      </c>
      <c r="T44" s="490" t="s">
        <v>652</v>
      </c>
      <c r="U44" s="490"/>
      <c r="V44" s="491"/>
      <c r="W44" s="490" t="s">
        <v>654</v>
      </c>
      <c r="X44" s="490" t="s">
        <v>656</v>
      </c>
      <c r="Y44" s="491"/>
      <c r="Z44" s="491" t="s">
        <v>658</v>
      </c>
      <c r="AA44" s="491" t="s">
        <v>660</v>
      </c>
      <c r="AB44" s="491" t="s">
        <v>608</v>
      </c>
      <c r="AC44" s="491"/>
      <c r="AD44" s="491" t="s">
        <v>1299</v>
      </c>
      <c r="AE44" s="490" t="s">
        <v>1226</v>
      </c>
      <c r="AF44" s="492" t="s">
        <v>1230</v>
      </c>
      <c r="AQ44" t="e">
        <v>#N/A</v>
      </c>
      <c r="AR44" t="e">
        <v>#N/A</v>
      </c>
      <c r="AS44" t="e">
        <v>#N/A</v>
      </c>
      <c r="AV44" t="e">
        <v>#N/A</v>
      </c>
      <c r="AW44" t="e">
        <v>#N/A</v>
      </c>
      <c r="AX44" t="e">
        <v>#N/A</v>
      </c>
      <c r="AY44" t="e">
        <v>#N/A</v>
      </c>
    </row>
    <row r="45" spans="1:51" x14ac:dyDescent="0.25">
      <c r="B45" s="3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W45" s="5"/>
      <c r="AQ45" t="e">
        <v>#N/A</v>
      </c>
      <c r="AR45" t="e">
        <v>#N/A</v>
      </c>
      <c r="AS45" t="e">
        <v>#N/A</v>
      </c>
      <c r="AV45" t="e">
        <v>#N/A</v>
      </c>
      <c r="AW45" t="e">
        <v>#N/A</v>
      </c>
      <c r="AX45" t="e">
        <v>#N/A</v>
      </c>
      <c r="AY45" t="e">
        <v>#N/A</v>
      </c>
    </row>
    <row r="46" spans="1:51" x14ac:dyDescent="0.25">
      <c r="A46" s="2" t="s">
        <v>39</v>
      </c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W46" s="5"/>
      <c r="AQ46" t="e">
        <v>#N/A</v>
      </c>
      <c r="AR46" t="e">
        <v>#N/A</v>
      </c>
      <c r="AS46" t="e">
        <v>#N/A</v>
      </c>
      <c r="AV46" t="e">
        <v>#N/A</v>
      </c>
      <c r="AW46" t="e">
        <v>#N/A</v>
      </c>
      <c r="AX46" t="e">
        <v>#N/A</v>
      </c>
      <c r="AY46" t="e">
        <v>#N/A</v>
      </c>
    </row>
    <row r="47" spans="1:51" x14ac:dyDescent="0.25">
      <c r="A47" s="412" t="s">
        <v>35</v>
      </c>
      <c r="B47" s="486"/>
      <c r="C47" s="439" t="b">
        <v>1</v>
      </c>
      <c r="D47" s="439" t="b">
        <v>1</v>
      </c>
      <c r="E47" s="439" t="b">
        <v>0</v>
      </c>
      <c r="F47" s="439" t="b">
        <v>0</v>
      </c>
      <c r="G47" s="439" t="b">
        <v>1</v>
      </c>
      <c r="H47" s="439" t="b">
        <v>0</v>
      </c>
      <c r="I47" s="439"/>
      <c r="J47" s="439" t="b">
        <v>0</v>
      </c>
      <c r="K47" s="439" t="b">
        <v>0</v>
      </c>
      <c r="L47" s="439" t="b">
        <v>0</v>
      </c>
      <c r="M47" s="439"/>
      <c r="N47" s="439" t="b">
        <v>1</v>
      </c>
      <c r="O47" s="439" t="b">
        <v>1</v>
      </c>
      <c r="P47" s="413"/>
      <c r="Q47" s="439" t="b">
        <v>0</v>
      </c>
      <c r="R47" s="439" t="b">
        <v>0</v>
      </c>
      <c r="S47" s="439" t="b">
        <v>0</v>
      </c>
      <c r="T47" s="439" t="b">
        <v>0</v>
      </c>
      <c r="U47" s="439" t="b">
        <v>0</v>
      </c>
      <c r="V47" s="413"/>
      <c r="W47" s="439" t="b">
        <v>0</v>
      </c>
      <c r="X47" s="439" t="b">
        <v>0</v>
      </c>
      <c r="Y47" s="413"/>
      <c r="Z47" s="439" t="b">
        <v>0</v>
      </c>
      <c r="AA47" s="439" t="b">
        <v>0</v>
      </c>
      <c r="AB47" s="413" t="b">
        <v>0</v>
      </c>
      <c r="AC47" s="413"/>
      <c r="AD47" s="413" t="b">
        <v>0</v>
      </c>
      <c r="AE47" s="413" t="b">
        <v>0</v>
      </c>
      <c r="AF47" s="414" t="b">
        <v>0</v>
      </c>
      <c r="AH47" t="b">
        <v>0</v>
      </c>
      <c r="AQ47" t="e">
        <v>#N/A</v>
      </c>
      <c r="AR47" t="e">
        <v>#N/A</v>
      </c>
      <c r="AS47" t="e">
        <v>#N/A</v>
      </c>
      <c r="AV47" t="e">
        <v>#N/A</v>
      </c>
      <c r="AW47" t="e">
        <v>#N/A</v>
      </c>
      <c r="AX47" t="e">
        <v>#N/A</v>
      </c>
      <c r="AY47" t="e">
        <v>#N/A</v>
      </c>
    </row>
    <row r="48" spans="1:51" x14ac:dyDescent="0.25">
      <c r="A48" s="415" t="s">
        <v>36</v>
      </c>
      <c r="B48" s="493"/>
      <c r="C48" s="440" t="b">
        <v>1</v>
      </c>
      <c r="D48" s="440" t="b">
        <v>1</v>
      </c>
      <c r="E48" s="440" t="b">
        <v>1</v>
      </c>
      <c r="F48" s="440" t="b">
        <v>1</v>
      </c>
      <c r="G48" s="440" t="b">
        <v>1</v>
      </c>
      <c r="H48" s="440" t="b">
        <v>1</v>
      </c>
      <c r="I48" s="440"/>
      <c r="J48" s="440" t="b">
        <v>1</v>
      </c>
      <c r="K48" s="440" t="b">
        <v>1</v>
      </c>
      <c r="L48" s="440" t="b">
        <v>1</v>
      </c>
      <c r="M48" s="440"/>
      <c r="N48" s="440" t="b">
        <v>1</v>
      </c>
      <c r="O48" s="440" t="b">
        <v>1</v>
      </c>
      <c r="P48" s="416"/>
      <c r="Q48" s="440" t="b">
        <v>1</v>
      </c>
      <c r="R48" s="440" t="b">
        <v>1</v>
      </c>
      <c r="S48" s="440" t="b">
        <v>1</v>
      </c>
      <c r="T48" s="440" t="b">
        <v>1</v>
      </c>
      <c r="U48" s="440" t="b">
        <v>1</v>
      </c>
      <c r="V48" s="416"/>
      <c r="W48" s="440" t="b">
        <v>1</v>
      </c>
      <c r="X48" s="440" t="b">
        <v>1</v>
      </c>
      <c r="Y48" s="416"/>
      <c r="Z48" s="440" t="b">
        <v>1</v>
      </c>
      <c r="AA48" s="440" t="b">
        <v>1</v>
      </c>
      <c r="AB48" s="440" t="b">
        <v>1</v>
      </c>
      <c r="AC48" s="440"/>
      <c r="AD48" s="440" t="b">
        <v>0</v>
      </c>
      <c r="AE48" s="440" t="b">
        <v>1</v>
      </c>
      <c r="AF48" s="494" t="b">
        <v>1</v>
      </c>
      <c r="AH48" s="375" t="b">
        <v>0</v>
      </c>
      <c r="AQ48" t="e">
        <v>#N/A</v>
      </c>
      <c r="AR48" t="e">
        <v>#N/A</v>
      </c>
      <c r="AS48" t="e">
        <v>#N/A</v>
      </c>
      <c r="AV48" t="e">
        <v>#N/A</v>
      </c>
      <c r="AW48" t="e">
        <v>#N/A</v>
      </c>
      <c r="AX48" t="e">
        <v>#N/A</v>
      </c>
      <c r="AY48" t="e">
        <v>#N/A</v>
      </c>
    </row>
    <row r="49" spans="1:51" x14ac:dyDescent="0.25">
      <c r="A49" s="415" t="s">
        <v>37</v>
      </c>
      <c r="B49" s="493"/>
      <c r="C49" s="440">
        <v>4</v>
      </c>
      <c r="D49" s="440">
        <v>4</v>
      </c>
      <c r="E49" s="440">
        <v>4</v>
      </c>
      <c r="F49" s="440">
        <v>4</v>
      </c>
      <c r="G49" s="440">
        <v>4</v>
      </c>
      <c r="H49" s="440">
        <v>2</v>
      </c>
      <c r="I49" s="440"/>
      <c r="J49" s="440">
        <v>4</v>
      </c>
      <c r="K49" s="440">
        <v>4</v>
      </c>
      <c r="L49" s="440">
        <v>4</v>
      </c>
      <c r="M49" s="440"/>
      <c r="N49" s="440">
        <v>4</v>
      </c>
      <c r="O49" s="440">
        <v>4</v>
      </c>
      <c r="P49" s="416"/>
      <c r="Q49" s="440">
        <v>3</v>
      </c>
      <c r="R49" s="440">
        <v>2</v>
      </c>
      <c r="S49" s="440">
        <v>4</v>
      </c>
      <c r="T49" s="440">
        <v>4</v>
      </c>
      <c r="U49" s="440">
        <v>4</v>
      </c>
      <c r="V49" s="416"/>
      <c r="W49" s="440">
        <v>4</v>
      </c>
      <c r="X49" s="440">
        <v>4</v>
      </c>
      <c r="Y49" s="416"/>
      <c r="Z49" s="440">
        <v>4</v>
      </c>
      <c r="AA49" s="440">
        <v>4</v>
      </c>
      <c r="AB49" s="440">
        <v>4</v>
      </c>
      <c r="AC49" s="440"/>
      <c r="AD49" s="440">
        <v>2</v>
      </c>
      <c r="AE49" s="440">
        <v>4</v>
      </c>
      <c r="AF49" s="494">
        <v>4</v>
      </c>
      <c r="AH49" s="375">
        <v>4</v>
      </c>
      <c r="AQ49" t="e">
        <v>#N/A</v>
      </c>
      <c r="AR49" t="e">
        <v>#N/A</v>
      </c>
      <c r="AS49" t="e">
        <v>#N/A</v>
      </c>
      <c r="AV49" t="e">
        <v>#N/A</v>
      </c>
      <c r="AW49" t="e">
        <v>#N/A</v>
      </c>
      <c r="AX49" t="e">
        <v>#N/A</v>
      </c>
      <c r="AY49" t="e">
        <v>#N/A</v>
      </c>
    </row>
    <row r="50" spans="1:51" x14ac:dyDescent="0.25">
      <c r="A50" s="488" t="s">
        <v>38</v>
      </c>
      <c r="B50" s="489"/>
      <c r="C50" s="490">
        <v>4</v>
      </c>
      <c r="D50" s="490">
        <v>4</v>
      </c>
      <c r="E50" s="490">
        <v>4</v>
      </c>
      <c r="F50" s="490">
        <v>4</v>
      </c>
      <c r="G50" s="490">
        <v>4</v>
      </c>
      <c r="H50" s="490">
        <v>2</v>
      </c>
      <c r="I50" s="490"/>
      <c r="J50" s="490">
        <v>4</v>
      </c>
      <c r="K50" s="490">
        <v>4</v>
      </c>
      <c r="L50" s="490">
        <v>4</v>
      </c>
      <c r="M50" s="490"/>
      <c r="N50" s="490">
        <v>4</v>
      </c>
      <c r="O50" s="490">
        <v>4</v>
      </c>
      <c r="P50" s="491"/>
      <c r="Q50" s="490">
        <v>3</v>
      </c>
      <c r="R50" s="490">
        <v>2</v>
      </c>
      <c r="S50" s="490">
        <v>4</v>
      </c>
      <c r="T50" s="490">
        <v>4</v>
      </c>
      <c r="U50" s="490">
        <v>4</v>
      </c>
      <c r="V50" s="491"/>
      <c r="W50" s="490">
        <v>4</v>
      </c>
      <c r="X50" s="490">
        <v>4</v>
      </c>
      <c r="Y50" s="491"/>
      <c r="Z50" s="490">
        <v>4</v>
      </c>
      <c r="AA50" s="490">
        <v>4</v>
      </c>
      <c r="AB50" s="490">
        <v>4</v>
      </c>
      <c r="AC50" s="490"/>
      <c r="AD50" s="490">
        <v>4</v>
      </c>
      <c r="AE50" s="490">
        <v>4</v>
      </c>
      <c r="AF50" s="492">
        <v>4</v>
      </c>
      <c r="AH50" s="375">
        <v>4</v>
      </c>
      <c r="AQ50" t="e">
        <v>#N/A</v>
      </c>
      <c r="AR50" t="e">
        <v>#N/A</v>
      </c>
      <c r="AS50" t="e">
        <v>#N/A</v>
      </c>
      <c r="AV50" t="e">
        <v>#N/A</v>
      </c>
      <c r="AW50" t="e">
        <v>#N/A</v>
      </c>
      <c r="AX50" t="e">
        <v>#N/A</v>
      </c>
      <c r="AY50" t="e">
        <v>#N/A</v>
      </c>
    </row>
    <row r="51" spans="1:51" x14ac:dyDescent="0.25"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W51" s="5"/>
      <c r="AQ51" t="e">
        <v>#N/A</v>
      </c>
      <c r="AR51" t="e">
        <v>#N/A</v>
      </c>
      <c r="AS51" t="e">
        <v>#N/A</v>
      </c>
      <c r="AV51" t="e">
        <v>#N/A</v>
      </c>
      <c r="AW51" t="e">
        <v>#N/A</v>
      </c>
      <c r="AX51" t="e">
        <v>#N/A</v>
      </c>
      <c r="AY51" t="e">
        <v>#N/A</v>
      </c>
    </row>
    <row r="52" spans="1:51" x14ac:dyDescent="0.25">
      <c r="A52" s="2" t="s">
        <v>40</v>
      </c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W52" s="5"/>
      <c r="AQ52" t="e">
        <v>#N/A</v>
      </c>
      <c r="AR52" t="e">
        <v>#N/A</v>
      </c>
      <c r="AS52" t="e">
        <v>#N/A</v>
      </c>
      <c r="AV52" t="e">
        <v>#N/A</v>
      </c>
      <c r="AW52" t="e">
        <v>#N/A</v>
      </c>
      <c r="AX52" t="e">
        <v>#N/A</v>
      </c>
      <c r="AY52" t="e">
        <v>#N/A</v>
      </c>
    </row>
    <row r="53" spans="1:51" x14ac:dyDescent="0.25">
      <c r="A53" s="412" t="s">
        <v>41</v>
      </c>
      <c r="B53" s="486"/>
      <c r="C53" s="439" t="s">
        <v>45</v>
      </c>
      <c r="D53" s="439" t="s">
        <v>45</v>
      </c>
      <c r="E53" s="439" t="s">
        <v>727</v>
      </c>
      <c r="F53" s="439" t="s">
        <v>45</v>
      </c>
      <c r="G53" s="439" t="s">
        <v>93</v>
      </c>
      <c r="H53" s="439" t="s">
        <v>727</v>
      </c>
      <c r="I53" s="439"/>
      <c r="J53" s="439" t="s">
        <v>45</v>
      </c>
      <c r="K53" s="439" t="s">
        <v>45</v>
      </c>
      <c r="L53" s="439" t="s">
        <v>45</v>
      </c>
      <c r="M53" s="439"/>
      <c r="N53" s="439" t="s">
        <v>93</v>
      </c>
      <c r="O53" s="439" t="s">
        <v>93</v>
      </c>
      <c r="P53" s="413"/>
      <c r="Q53" s="439" t="s">
        <v>48</v>
      </c>
      <c r="R53" s="439" t="s">
        <v>727</v>
      </c>
      <c r="S53" s="439" t="s">
        <v>173</v>
      </c>
      <c r="T53" s="439" t="s">
        <v>48</v>
      </c>
      <c r="U53" s="439" t="s">
        <v>727</v>
      </c>
      <c r="V53" s="413"/>
      <c r="W53" s="439" t="s">
        <v>48</v>
      </c>
      <c r="X53" s="439" t="s">
        <v>48</v>
      </c>
      <c r="Y53" s="413"/>
      <c r="Z53" s="439" t="s">
        <v>173</v>
      </c>
      <c r="AA53" s="439" t="s">
        <v>48</v>
      </c>
      <c r="AB53" s="439" t="s">
        <v>727</v>
      </c>
      <c r="AC53" s="439"/>
      <c r="AD53" s="439" t="s">
        <v>727</v>
      </c>
      <c r="AE53" s="439" t="s">
        <v>48</v>
      </c>
      <c r="AF53" s="487" t="s">
        <v>727</v>
      </c>
      <c r="AQ53" t="e">
        <v>#N/A</v>
      </c>
      <c r="AR53" t="e">
        <v>#N/A</v>
      </c>
      <c r="AS53" t="e">
        <v>#N/A</v>
      </c>
      <c r="AV53" t="e">
        <v>#N/A</v>
      </c>
      <c r="AW53" t="e">
        <v>#N/A</v>
      </c>
      <c r="AX53" t="e">
        <v>#N/A</v>
      </c>
      <c r="AY53" t="e">
        <v>#N/A</v>
      </c>
    </row>
    <row r="54" spans="1:51" x14ac:dyDescent="0.25">
      <c r="A54" s="415" t="s">
        <v>42</v>
      </c>
      <c r="B54" s="493"/>
      <c r="C54" s="440" t="s">
        <v>46</v>
      </c>
      <c r="D54" s="440" t="s">
        <v>47</v>
      </c>
      <c r="E54" s="440" t="s">
        <v>46</v>
      </c>
      <c r="F54" s="440" t="s">
        <v>47</v>
      </c>
      <c r="G54" s="440" t="s">
        <v>46</v>
      </c>
      <c r="H54" s="440" t="s">
        <v>46</v>
      </c>
      <c r="I54" s="440"/>
      <c r="J54" s="440" t="s">
        <v>47</v>
      </c>
      <c r="K54" s="440" t="s">
        <v>47</v>
      </c>
      <c r="L54" s="440" t="s">
        <v>47</v>
      </c>
      <c r="M54" s="440"/>
      <c r="N54" s="440" t="s">
        <v>46</v>
      </c>
      <c r="O54" s="440" t="s">
        <v>46</v>
      </c>
      <c r="P54" s="416"/>
      <c r="Q54" s="440" t="s">
        <v>47</v>
      </c>
      <c r="R54" s="440" t="s">
        <v>47</v>
      </c>
      <c r="S54" s="440" t="s">
        <v>47</v>
      </c>
      <c r="T54" s="440" t="s">
        <v>47</v>
      </c>
      <c r="U54" s="440" t="s">
        <v>47</v>
      </c>
      <c r="V54" s="416"/>
      <c r="W54" s="440" t="s">
        <v>47</v>
      </c>
      <c r="X54" s="440" t="s">
        <v>47</v>
      </c>
      <c r="Y54" s="416"/>
      <c r="Z54" s="440" t="s">
        <v>47</v>
      </c>
      <c r="AA54" s="440" t="s">
        <v>47</v>
      </c>
      <c r="AB54" s="440" t="s">
        <v>49</v>
      </c>
      <c r="AC54" s="440"/>
      <c r="AD54" s="440" t="s">
        <v>46</v>
      </c>
      <c r="AE54" s="440" t="s">
        <v>49</v>
      </c>
      <c r="AF54" s="494" t="s">
        <v>49</v>
      </c>
      <c r="AQ54" t="e">
        <v>#N/A</v>
      </c>
      <c r="AR54" t="e">
        <v>#N/A</v>
      </c>
      <c r="AS54" t="e">
        <v>#N/A</v>
      </c>
    </row>
    <row r="55" spans="1:51" x14ac:dyDescent="0.25">
      <c r="A55" s="415" t="s">
        <v>43</v>
      </c>
      <c r="B55" s="493"/>
      <c r="C55" s="440" t="s">
        <v>48</v>
      </c>
      <c r="D55" s="440" t="s">
        <v>48</v>
      </c>
      <c r="E55" s="440" t="s">
        <v>727</v>
      </c>
      <c r="F55" s="440" t="s">
        <v>48</v>
      </c>
      <c r="G55" s="440" t="s">
        <v>93</v>
      </c>
      <c r="H55" s="440" t="s">
        <v>48</v>
      </c>
      <c r="I55" s="440"/>
      <c r="J55" s="440" t="s">
        <v>48</v>
      </c>
      <c r="K55" s="440" t="s">
        <v>48</v>
      </c>
      <c r="L55" s="440" t="s">
        <v>48</v>
      </c>
      <c r="M55" s="440"/>
      <c r="N55" s="440" t="s">
        <v>93</v>
      </c>
      <c r="O55" s="440" t="s">
        <v>93</v>
      </c>
      <c r="P55" s="416"/>
      <c r="Q55" s="440" t="s">
        <v>48</v>
      </c>
      <c r="R55" s="440" t="s">
        <v>48</v>
      </c>
      <c r="S55" s="440" t="s">
        <v>727</v>
      </c>
      <c r="T55" s="440" t="s">
        <v>48</v>
      </c>
      <c r="U55" s="440" t="s">
        <v>727</v>
      </c>
      <c r="V55" s="416"/>
      <c r="W55" s="440" t="s">
        <v>48</v>
      </c>
      <c r="X55" s="440" t="s">
        <v>48</v>
      </c>
      <c r="Y55" s="416"/>
      <c r="Z55" s="440" t="s">
        <v>173</v>
      </c>
      <c r="AA55" s="440" t="s">
        <v>48</v>
      </c>
      <c r="AB55" s="440" t="s">
        <v>727</v>
      </c>
      <c r="AC55" s="440"/>
      <c r="AD55" s="440" t="s">
        <v>727</v>
      </c>
      <c r="AE55" s="440" t="s">
        <v>48</v>
      </c>
      <c r="AF55" s="494" t="s">
        <v>727</v>
      </c>
    </row>
    <row r="56" spans="1:51" x14ac:dyDescent="0.25">
      <c r="A56" s="488" t="s">
        <v>44</v>
      </c>
      <c r="B56" s="489"/>
      <c r="C56" s="490" t="s">
        <v>49</v>
      </c>
      <c r="D56" s="490" t="s">
        <v>46</v>
      </c>
      <c r="E56" s="490" t="s">
        <v>49</v>
      </c>
      <c r="F56" s="490" t="s">
        <v>46</v>
      </c>
      <c r="G56" s="490" t="s">
        <v>46</v>
      </c>
      <c r="H56" s="490" t="s">
        <v>46</v>
      </c>
      <c r="I56" s="490"/>
      <c r="J56" s="490" t="s">
        <v>46</v>
      </c>
      <c r="K56" s="490" t="s">
        <v>46</v>
      </c>
      <c r="L56" s="490" t="s">
        <v>49</v>
      </c>
      <c r="M56" s="490"/>
      <c r="N56" s="490" t="s">
        <v>46</v>
      </c>
      <c r="O56" s="490" t="s">
        <v>49</v>
      </c>
      <c r="P56" s="491"/>
      <c r="Q56" s="490" t="s">
        <v>46</v>
      </c>
      <c r="R56" s="490" t="s">
        <v>46</v>
      </c>
      <c r="S56" s="490" t="s">
        <v>46</v>
      </c>
      <c r="T56" s="490" t="s">
        <v>49</v>
      </c>
      <c r="U56" s="490" t="s">
        <v>49</v>
      </c>
      <c r="V56" s="491"/>
      <c r="W56" s="490" t="s">
        <v>49</v>
      </c>
      <c r="X56" s="490" t="s">
        <v>49</v>
      </c>
      <c r="Y56" s="491"/>
      <c r="Z56" s="490" t="s">
        <v>49</v>
      </c>
      <c r="AA56" s="490" t="s">
        <v>49</v>
      </c>
      <c r="AB56" s="490" t="s">
        <v>49</v>
      </c>
      <c r="AC56" s="490"/>
      <c r="AD56" s="490" t="s">
        <v>28</v>
      </c>
      <c r="AE56" s="490" t="s">
        <v>49</v>
      </c>
      <c r="AF56" s="492" t="s">
        <v>49</v>
      </c>
    </row>
    <row r="57" spans="1:51" x14ac:dyDescent="0.25">
      <c r="A57" s="412" t="s">
        <v>50</v>
      </c>
      <c r="B57" s="486"/>
      <c r="C57" s="439" t="s">
        <v>48</v>
      </c>
      <c r="D57" s="439" t="s">
        <v>48</v>
      </c>
      <c r="E57" s="439" t="s">
        <v>727</v>
      </c>
      <c r="F57" s="439" t="s">
        <v>48</v>
      </c>
      <c r="G57" s="439" t="s">
        <v>93</v>
      </c>
      <c r="H57" s="439" t="s">
        <v>727</v>
      </c>
      <c r="I57" s="439"/>
      <c r="J57" s="439" t="s">
        <v>48</v>
      </c>
      <c r="K57" s="439"/>
      <c r="L57" s="439" t="s">
        <v>48</v>
      </c>
      <c r="M57" s="439"/>
      <c r="N57" s="439" t="s">
        <v>93</v>
      </c>
      <c r="O57" s="439" t="s">
        <v>93</v>
      </c>
      <c r="P57" s="413"/>
      <c r="Q57" s="439" t="s">
        <v>48</v>
      </c>
      <c r="R57" s="439" t="s">
        <v>727</v>
      </c>
      <c r="S57" s="439" t="s">
        <v>727</v>
      </c>
      <c r="T57" s="413"/>
      <c r="U57" s="439" t="s">
        <v>727</v>
      </c>
      <c r="V57" s="413"/>
      <c r="W57" s="439" t="s">
        <v>48</v>
      </c>
      <c r="X57" s="439" t="s">
        <v>48</v>
      </c>
      <c r="Y57" s="413"/>
      <c r="Z57" s="439" t="s">
        <v>173</v>
      </c>
      <c r="AA57" s="439" t="s">
        <v>727</v>
      </c>
      <c r="AB57" s="439" t="s">
        <v>727</v>
      </c>
      <c r="AC57" s="439"/>
      <c r="AD57" s="439" t="s">
        <v>727</v>
      </c>
      <c r="AE57" s="413"/>
      <c r="AF57" s="487" t="s">
        <v>727</v>
      </c>
    </row>
    <row r="58" spans="1:51" x14ac:dyDescent="0.25">
      <c r="A58" s="415" t="s">
        <v>51</v>
      </c>
      <c r="B58" s="493"/>
      <c r="C58" s="440" t="s">
        <v>47</v>
      </c>
      <c r="D58" s="440" t="s">
        <v>47</v>
      </c>
      <c r="E58" s="440" t="s">
        <v>47</v>
      </c>
      <c r="F58" s="440" t="s">
        <v>47</v>
      </c>
      <c r="G58" s="440" t="s">
        <v>47</v>
      </c>
      <c r="H58" s="440" t="s">
        <v>47</v>
      </c>
      <c r="I58" s="440"/>
      <c r="J58" s="440" t="s">
        <v>47</v>
      </c>
      <c r="K58" s="440"/>
      <c r="L58" s="440" t="s">
        <v>47</v>
      </c>
      <c r="M58" s="440"/>
      <c r="N58" s="440" t="s">
        <v>47</v>
      </c>
      <c r="O58" s="440" t="s">
        <v>47</v>
      </c>
      <c r="P58" s="416"/>
      <c r="Q58" s="440" t="s">
        <v>47</v>
      </c>
      <c r="R58" s="440" t="s">
        <v>47</v>
      </c>
      <c r="S58" s="440" t="s">
        <v>47</v>
      </c>
      <c r="T58" s="416"/>
      <c r="U58" s="440" t="s">
        <v>47</v>
      </c>
      <c r="V58" s="416"/>
      <c r="W58" s="440" t="s">
        <v>47</v>
      </c>
      <c r="X58" s="440" t="s">
        <v>47</v>
      </c>
      <c r="Y58" s="416"/>
      <c r="Z58" s="440" t="s">
        <v>47</v>
      </c>
      <c r="AA58" s="440" t="s">
        <v>49</v>
      </c>
      <c r="AB58" s="440" t="s">
        <v>47</v>
      </c>
      <c r="AC58" s="440"/>
      <c r="AD58" s="375" t="s">
        <v>46</v>
      </c>
      <c r="AE58" s="416"/>
      <c r="AF58" s="494" t="s">
        <v>49</v>
      </c>
    </row>
    <row r="59" spans="1:51" x14ac:dyDescent="0.25">
      <c r="A59" s="415" t="s">
        <v>52</v>
      </c>
      <c r="B59" s="493"/>
      <c r="C59" s="440" t="s">
        <v>48</v>
      </c>
      <c r="D59" s="440" t="s">
        <v>48</v>
      </c>
      <c r="E59" s="440" t="s">
        <v>99</v>
      </c>
      <c r="F59" s="440" t="s">
        <v>48</v>
      </c>
      <c r="G59" s="440" t="s">
        <v>93</v>
      </c>
      <c r="H59" s="440" t="s">
        <v>727</v>
      </c>
      <c r="I59" s="440"/>
      <c r="J59" s="440" t="s">
        <v>48</v>
      </c>
      <c r="K59" s="440"/>
      <c r="L59" s="440" t="s">
        <v>48</v>
      </c>
      <c r="M59" s="440"/>
      <c r="N59" s="440" t="s">
        <v>93</v>
      </c>
      <c r="O59" s="440" t="s">
        <v>93</v>
      </c>
      <c r="P59" s="416"/>
      <c r="Q59" s="440" t="s">
        <v>48</v>
      </c>
      <c r="R59" s="440" t="s">
        <v>48</v>
      </c>
      <c r="S59" s="440" t="s">
        <v>727</v>
      </c>
      <c r="T59" s="416"/>
      <c r="U59" s="416" t="s">
        <v>727</v>
      </c>
      <c r="V59" s="416"/>
      <c r="W59" s="440" t="s">
        <v>48</v>
      </c>
      <c r="X59" s="440" t="s">
        <v>48</v>
      </c>
      <c r="Y59" s="416"/>
      <c r="Z59" s="440" t="s">
        <v>173</v>
      </c>
      <c r="AA59" s="440" t="s">
        <v>727</v>
      </c>
      <c r="AB59" s="440" t="s">
        <v>727</v>
      </c>
      <c r="AC59" s="440"/>
      <c r="AD59" s="375" t="s">
        <v>727</v>
      </c>
      <c r="AE59" s="416"/>
      <c r="AF59" s="494" t="s">
        <v>727</v>
      </c>
    </row>
    <row r="60" spans="1:51" x14ac:dyDescent="0.25">
      <c r="A60" s="488" t="s">
        <v>53</v>
      </c>
      <c r="B60" s="489"/>
      <c r="C60" s="490" t="s">
        <v>28</v>
      </c>
      <c r="D60" s="490" t="s">
        <v>28</v>
      </c>
      <c r="E60" s="490" t="s">
        <v>28</v>
      </c>
      <c r="F60" s="490" t="s">
        <v>28</v>
      </c>
      <c r="G60" s="490" t="s">
        <v>28</v>
      </c>
      <c r="H60" s="490" t="s">
        <v>28</v>
      </c>
      <c r="I60" s="490"/>
      <c r="J60" s="490" t="s">
        <v>28</v>
      </c>
      <c r="K60" s="490"/>
      <c r="L60" s="490" t="s">
        <v>28</v>
      </c>
      <c r="M60" s="490"/>
      <c r="N60" s="490" t="s">
        <v>28</v>
      </c>
      <c r="O60" s="490" t="s">
        <v>28</v>
      </c>
      <c r="P60" s="491"/>
      <c r="Q60" s="490" t="s">
        <v>28</v>
      </c>
      <c r="R60" s="490" t="s">
        <v>28</v>
      </c>
      <c r="S60" s="490" t="s">
        <v>28</v>
      </c>
      <c r="T60" s="491"/>
      <c r="U60" s="490" t="s">
        <v>643</v>
      </c>
      <c r="V60" s="491"/>
      <c r="W60" s="490" t="s">
        <v>28</v>
      </c>
      <c r="X60" s="490" t="s">
        <v>28</v>
      </c>
      <c r="Y60" s="491"/>
      <c r="Z60" s="490" t="s">
        <v>28</v>
      </c>
      <c r="AA60" s="490" t="s">
        <v>28</v>
      </c>
      <c r="AB60" s="490" t="s">
        <v>28</v>
      </c>
      <c r="AC60" s="490"/>
      <c r="AD60" s="491" t="s">
        <v>28</v>
      </c>
      <c r="AE60" s="491" t="s">
        <v>28</v>
      </c>
      <c r="AF60" s="492" t="s">
        <v>28</v>
      </c>
    </row>
    <row r="61" spans="1:51" x14ac:dyDescent="0.25">
      <c r="A61" s="412" t="s">
        <v>54</v>
      </c>
      <c r="B61" s="486"/>
      <c r="C61" s="439" t="s">
        <v>48</v>
      </c>
      <c r="D61" s="439"/>
      <c r="E61" s="439"/>
      <c r="F61" s="439"/>
      <c r="G61" s="439"/>
      <c r="H61" s="439" t="s">
        <v>48</v>
      </c>
      <c r="I61" s="439"/>
      <c r="J61" s="439"/>
      <c r="K61" s="439"/>
      <c r="L61" s="439"/>
      <c r="M61" s="439"/>
      <c r="N61" s="439"/>
      <c r="O61" s="439"/>
      <c r="P61" s="413"/>
      <c r="Q61" s="413"/>
      <c r="R61" s="413"/>
      <c r="S61" s="413"/>
      <c r="T61" s="413"/>
      <c r="U61" s="413"/>
      <c r="V61" s="413"/>
      <c r="W61" s="439"/>
      <c r="X61" s="413"/>
      <c r="Y61" s="413"/>
      <c r="Z61" s="413"/>
      <c r="AA61" s="413"/>
      <c r="AB61" s="413"/>
      <c r="AC61" s="413"/>
      <c r="AD61" s="413"/>
      <c r="AE61" s="413"/>
      <c r="AF61" s="414"/>
    </row>
    <row r="62" spans="1:51" x14ac:dyDescent="0.25">
      <c r="A62" s="488" t="s">
        <v>55</v>
      </c>
      <c r="B62" s="489"/>
      <c r="C62" s="490" t="s">
        <v>47</v>
      </c>
      <c r="D62" s="490"/>
      <c r="E62" s="490"/>
      <c r="F62" s="490"/>
      <c r="G62" s="490"/>
      <c r="H62" s="490"/>
      <c r="I62" s="490"/>
      <c r="J62" s="490"/>
      <c r="K62" s="490"/>
      <c r="L62" s="490"/>
      <c r="M62" s="490"/>
      <c r="N62" s="490"/>
      <c r="O62" s="490"/>
      <c r="P62" s="491"/>
      <c r="Q62" s="491"/>
      <c r="R62" s="491"/>
      <c r="S62" s="491"/>
      <c r="T62" s="491"/>
      <c r="U62" s="491"/>
      <c r="V62" s="491"/>
      <c r="W62" s="490"/>
      <c r="X62" s="491"/>
      <c r="Y62" s="491"/>
      <c r="Z62" s="491"/>
      <c r="AA62" s="491"/>
      <c r="AB62" s="491"/>
      <c r="AC62" s="491"/>
      <c r="AD62" s="491"/>
      <c r="AE62" s="491"/>
      <c r="AF62" s="495"/>
    </row>
    <row r="63" spans="1:51" x14ac:dyDescent="0.25">
      <c r="A63" s="412" t="s">
        <v>56</v>
      </c>
      <c r="B63" s="486"/>
      <c r="C63" s="439"/>
      <c r="D63" s="439"/>
      <c r="E63" s="439"/>
      <c r="F63" s="439"/>
      <c r="G63" s="439"/>
      <c r="H63" s="439"/>
      <c r="I63" s="439"/>
      <c r="J63" s="439"/>
      <c r="K63" s="439"/>
      <c r="L63" s="439"/>
      <c r="M63" s="439"/>
      <c r="N63" s="439"/>
      <c r="O63" s="439"/>
      <c r="P63" s="413"/>
      <c r="Q63" s="413"/>
      <c r="R63" s="413"/>
      <c r="S63" s="413"/>
      <c r="T63" s="413" t="s">
        <v>48</v>
      </c>
      <c r="U63" s="413"/>
      <c r="V63" s="413"/>
      <c r="W63" s="439"/>
      <c r="X63" s="413"/>
      <c r="Y63" s="413"/>
      <c r="Z63" s="439" t="s">
        <v>173</v>
      </c>
      <c r="AA63" s="413"/>
      <c r="AB63" s="413"/>
      <c r="AC63" s="413"/>
      <c r="AD63" s="413" t="s">
        <v>727</v>
      </c>
      <c r="AE63" s="413" t="s">
        <v>48</v>
      </c>
      <c r="AF63" s="414" t="s">
        <v>727</v>
      </c>
    </row>
    <row r="64" spans="1:51" x14ac:dyDescent="0.25">
      <c r="A64" s="488" t="s">
        <v>57</v>
      </c>
      <c r="B64" s="489"/>
      <c r="C64" s="490"/>
      <c r="D64" s="490"/>
      <c r="E64" s="490"/>
      <c r="F64" s="490"/>
      <c r="G64" s="490"/>
      <c r="H64" s="490"/>
      <c r="I64" s="490"/>
      <c r="J64" s="490"/>
      <c r="K64" s="490"/>
      <c r="L64" s="490"/>
      <c r="M64" s="490"/>
      <c r="N64" s="490"/>
      <c r="O64" s="490"/>
      <c r="P64" s="491"/>
      <c r="Q64" s="491"/>
      <c r="R64" s="491"/>
      <c r="S64" s="491"/>
      <c r="T64" s="491" t="s">
        <v>47</v>
      </c>
      <c r="U64" s="491"/>
      <c r="V64" s="491"/>
      <c r="W64" s="490"/>
      <c r="X64" s="491"/>
      <c r="Y64" s="491"/>
      <c r="Z64" s="490" t="s">
        <v>47</v>
      </c>
      <c r="AA64" s="491"/>
      <c r="AB64" s="491"/>
      <c r="AC64" s="491"/>
      <c r="AD64" s="491" t="s">
        <v>46</v>
      </c>
      <c r="AE64" s="491" t="s">
        <v>49</v>
      </c>
      <c r="AF64" s="495" t="s">
        <v>49</v>
      </c>
    </row>
    <row r="65" spans="1:34" x14ac:dyDescent="0.25"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W65" s="5"/>
    </row>
    <row r="66" spans="1:34" x14ac:dyDescent="0.25">
      <c r="A66" s="2" t="s">
        <v>58</v>
      </c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W66" s="5"/>
    </row>
    <row r="67" spans="1:34" x14ac:dyDescent="0.25">
      <c r="A67" s="412" t="s">
        <v>59</v>
      </c>
      <c r="B67" s="486"/>
      <c r="C67" s="439" t="s">
        <v>60</v>
      </c>
      <c r="D67" s="439" t="s">
        <v>61</v>
      </c>
      <c r="E67" s="439" t="s">
        <v>100</v>
      </c>
      <c r="F67" s="439" t="s">
        <v>113</v>
      </c>
      <c r="G67" s="439" t="s">
        <v>121</v>
      </c>
      <c r="H67" s="439" t="s">
        <v>129</v>
      </c>
      <c r="I67" s="439"/>
      <c r="J67" s="439" t="s">
        <v>227</v>
      </c>
      <c r="K67" s="439" t="s">
        <v>228</v>
      </c>
      <c r="L67" s="439" t="s">
        <v>229</v>
      </c>
      <c r="M67" s="439"/>
      <c r="N67" s="439" t="s">
        <v>94</v>
      </c>
      <c r="O67" s="439" t="s">
        <v>141</v>
      </c>
      <c r="P67" s="413"/>
      <c r="Q67" s="439" t="s">
        <v>60</v>
      </c>
      <c r="R67" s="439" t="s">
        <v>60</v>
      </c>
      <c r="S67" s="439" t="s">
        <v>60</v>
      </c>
      <c r="T67" s="439" t="s">
        <v>61</v>
      </c>
      <c r="U67" s="439" t="s">
        <v>60</v>
      </c>
      <c r="V67" s="413"/>
      <c r="W67" s="439" t="s">
        <v>60</v>
      </c>
      <c r="X67" s="439" t="s">
        <v>60</v>
      </c>
      <c r="Y67" s="413"/>
      <c r="Z67" s="439" t="s">
        <v>60</v>
      </c>
      <c r="AA67" s="439" t="s">
        <v>60</v>
      </c>
      <c r="AB67" s="439" t="s">
        <v>60</v>
      </c>
      <c r="AC67" s="439"/>
      <c r="AD67" s="413"/>
      <c r="AE67" s="439" t="s">
        <v>60</v>
      </c>
      <c r="AF67" s="487" t="s">
        <v>60</v>
      </c>
      <c r="AH67" t="s">
        <v>60</v>
      </c>
    </row>
    <row r="68" spans="1:34" x14ac:dyDescent="0.25">
      <c r="A68" s="415" t="s">
        <v>62</v>
      </c>
      <c r="B68" s="493"/>
      <c r="C68" s="440"/>
      <c r="D68" s="440"/>
      <c r="E68" s="440"/>
      <c r="F68" s="440"/>
      <c r="G68" s="440"/>
      <c r="H68" s="440"/>
      <c r="I68" s="440"/>
      <c r="J68" s="440"/>
      <c r="K68" s="440"/>
      <c r="L68" s="440"/>
      <c r="M68" s="440"/>
      <c r="N68" s="440"/>
      <c r="O68" s="440"/>
      <c r="P68" s="416"/>
      <c r="Q68" s="416"/>
      <c r="R68" s="416"/>
      <c r="S68" s="416"/>
      <c r="T68" s="416"/>
      <c r="U68" s="416"/>
      <c r="V68" s="416"/>
      <c r="W68" s="440"/>
      <c r="X68" s="440"/>
      <c r="Y68" s="416"/>
      <c r="Z68" s="416"/>
      <c r="AA68" s="416"/>
      <c r="AB68" s="416"/>
      <c r="AC68" s="416"/>
      <c r="AD68" s="416" t="s">
        <v>60</v>
      </c>
      <c r="AE68" s="416"/>
      <c r="AF68" s="417" t="s">
        <v>60</v>
      </c>
    </row>
    <row r="69" spans="1:34" x14ac:dyDescent="0.25">
      <c r="A69" s="415" t="s">
        <v>63</v>
      </c>
      <c r="B69" s="493"/>
      <c r="C69" s="440" t="s">
        <v>60</v>
      </c>
      <c r="D69" s="440" t="s">
        <v>61</v>
      </c>
      <c r="E69" s="440" t="s">
        <v>100</v>
      </c>
      <c r="F69" s="440" t="s">
        <v>113</v>
      </c>
      <c r="G69" s="440" t="s">
        <v>121</v>
      </c>
      <c r="H69" s="440" t="s">
        <v>129</v>
      </c>
      <c r="I69" s="440"/>
      <c r="J69" s="440" t="s">
        <v>227</v>
      </c>
      <c r="K69" s="440"/>
      <c r="L69" s="440" t="s">
        <v>229</v>
      </c>
      <c r="M69" s="440"/>
      <c r="N69" s="440" t="s">
        <v>94</v>
      </c>
      <c r="O69" s="440" t="s">
        <v>141</v>
      </c>
      <c r="P69" s="416"/>
      <c r="Q69" s="440" t="s">
        <v>157</v>
      </c>
      <c r="R69" s="416"/>
      <c r="S69" s="416"/>
      <c r="T69" s="416"/>
      <c r="U69" s="416"/>
      <c r="V69" s="416"/>
      <c r="W69" s="416" t="s">
        <v>60</v>
      </c>
      <c r="X69" s="416" t="s">
        <v>60</v>
      </c>
      <c r="Y69" s="416"/>
      <c r="Z69" s="416" t="s">
        <v>255</v>
      </c>
      <c r="AA69" s="416"/>
      <c r="AB69" s="416"/>
      <c r="AC69" s="416"/>
      <c r="AD69" s="416"/>
      <c r="AE69" s="416"/>
      <c r="AF69" s="417"/>
    </row>
    <row r="70" spans="1:34" x14ac:dyDescent="0.25">
      <c r="A70" s="415" t="s">
        <v>64</v>
      </c>
      <c r="B70" s="493"/>
      <c r="C70" s="440" t="s">
        <v>60</v>
      </c>
      <c r="D70" s="440" t="s">
        <v>60</v>
      </c>
      <c r="E70" s="440" t="s">
        <v>60</v>
      </c>
      <c r="F70" s="440" t="s">
        <v>60</v>
      </c>
      <c r="G70" s="440" t="s">
        <v>60</v>
      </c>
      <c r="H70" s="440" t="s">
        <v>60</v>
      </c>
      <c r="I70" s="440"/>
      <c r="J70" s="440" t="s">
        <v>60</v>
      </c>
      <c r="K70" s="440" t="s">
        <v>60</v>
      </c>
      <c r="L70" s="440" t="s">
        <v>60</v>
      </c>
      <c r="M70" s="440"/>
      <c r="N70" s="440" t="s">
        <v>60</v>
      </c>
      <c r="O70" s="440" t="s">
        <v>60</v>
      </c>
      <c r="P70" s="416"/>
      <c r="Q70" s="440" t="s">
        <v>61</v>
      </c>
      <c r="R70" s="440" t="s">
        <v>61</v>
      </c>
      <c r="S70" s="440" t="s">
        <v>61</v>
      </c>
      <c r="T70" s="440" t="s">
        <v>61</v>
      </c>
      <c r="U70" s="440" t="s">
        <v>60</v>
      </c>
      <c r="V70" s="416"/>
      <c r="W70" s="440" t="s">
        <v>60</v>
      </c>
      <c r="X70" s="440" t="s">
        <v>60</v>
      </c>
      <c r="Y70" s="416"/>
      <c r="Z70" s="440" t="s">
        <v>60</v>
      </c>
      <c r="AA70" s="440" t="s">
        <v>60</v>
      </c>
      <c r="AB70" s="440" t="s">
        <v>60</v>
      </c>
      <c r="AC70" s="440"/>
      <c r="AD70" s="440" t="s">
        <v>60</v>
      </c>
      <c r="AE70" s="416"/>
      <c r="AF70" s="494" t="s">
        <v>60</v>
      </c>
      <c r="AH70" t="s">
        <v>60</v>
      </c>
    </row>
    <row r="71" spans="1:34" x14ac:dyDescent="0.25">
      <c r="A71" s="488" t="s">
        <v>65</v>
      </c>
      <c r="B71" s="489"/>
      <c r="C71" s="490" t="s">
        <v>66</v>
      </c>
      <c r="D71" s="490" t="s">
        <v>67</v>
      </c>
      <c r="E71" s="490" t="s">
        <v>101</v>
      </c>
      <c r="F71" s="490" t="s">
        <v>114</v>
      </c>
      <c r="G71" s="490" t="s">
        <v>122</v>
      </c>
      <c r="H71" s="490" t="s">
        <v>130</v>
      </c>
      <c r="I71" s="490"/>
      <c r="J71" s="490" t="s">
        <v>230</v>
      </c>
      <c r="K71" s="490" t="s">
        <v>228</v>
      </c>
      <c r="L71" s="490" t="s">
        <v>231</v>
      </c>
      <c r="M71" s="490"/>
      <c r="N71" s="490" t="s">
        <v>95</v>
      </c>
      <c r="O71" s="490" t="s">
        <v>142</v>
      </c>
      <c r="P71" s="491"/>
      <c r="Q71" s="490" t="s">
        <v>156</v>
      </c>
      <c r="R71" s="490" t="s">
        <v>161</v>
      </c>
      <c r="S71" s="490" t="s">
        <v>174</v>
      </c>
      <c r="T71" s="491"/>
      <c r="U71" s="490" t="s">
        <v>190</v>
      </c>
      <c r="V71" s="491"/>
      <c r="W71" s="490" t="s">
        <v>148</v>
      </c>
      <c r="X71" s="491" t="s">
        <v>247</v>
      </c>
      <c r="Y71" s="491"/>
      <c r="Z71" s="491" t="s">
        <v>256</v>
      </c>
      <c r="AA71" s="491" t="s">
        <v>265</v>
      </c>
      <c r="AB71" s="491" t="s">
        <v>273</v>
      </c>
      <c r="AC71" s="491"/>
      <c r="AD71" s="491"/>
      <c r="AE71" s="491"/>
      <c r="AF71" s="495" t="s">
        <v>1235</v>
      </c>
    </row>
    <row r="72" spans="1:34" x14ac:dyDescent="0.25"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W72" s="5"/>
    </row>
    <row r="73" spans="1:34" x14ac:dyDescent="0.25">
      <c r="A73" s="2" t="s">
        <v>68</v>
      </c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S73" t="e">
        <f>INDEX('STATIC DATA'!C59:AB59,1,MATCH($A$1,'STATIC DATA'!C4,0))</f>
        <v>#N/A</v>
      </c>
      <c r="W73" s="5"/>
    </row>
    <row r="74" spans="1:34" x14ac:dyDescent="0.25">
      <c r="A74" s="412" t="s">
        <v>69</v>
      </c>
      <c r="B74" s="486"/>
      <c r="C74" s="439" t="s">
        <v>79</v>
      </c>
      <c r="D74" s="439" t="s">
        <v>80</v>
      </c>
      <c r="E74" s="439" t="s">
        <v>100</v>
      </c>
      <c r="F74" s="439" t="s">
        <v>115</v>
      </c>
      <c r="G74" s="439" t="s">
        <v>123</v>
      </c>
      <c r="H74" s="439" t="s">
        <v>131</v>
      </c>
      <c r="I74" s="439"/>
      <c r="J74" s="439" t="s">
        <v>232</v>
      </c>
      <c r="K74" s="439"/>
      <c r="L74" s="439" t="s">
        <v>233</v>
      </c>
      <c r="M74" s="439"/>
      <c r="N74" s="439"/>
      <c r="O74" s="439" t="s">
        <v>141</v>
      </c>
      <c r="P74" s="413"/>
      <c r="Q74" s="413"/>
      <c r="R74" s="413"/>
      <c r="S74" s="413" t="s">
        <v>175</v>
      </c>
      <c r="T74" s="413"/>
      <c r="U74" s="413"/>
      <c r="V74" s="413"/>
      <c r="W74" s="413"/>
      <c r="X74" s="413"/>
      <c r="Y74" s="413"/>
      <c r="Z74" s="413" t="s">
        <v>257</v>
      </c>
      <c r="AA74" s="413"/>
      <c r="AB74" s="413"/>
      <c r="AC74" s="413"/>
      <c r="AD74" s="413" t="s">
        <v>1302</v>
      </c>
      <c r="AE74" s="413"/>
      <c r="AF74" s="414" t="s">
        <v>1236</v>
      </c>
      <c r="AH74" t="s">
        <v>1640</v>
      </c>
    </row>
    <row r="75" spans="1:34" x14ac:dyDescent="0.25">
      <c r="A75" s="415" t="s">
        <v>70</v>
      </c>
      <c r="B75" s="493"/>
      <c r="C75" s="440" t="s">
        <v>81</v>
      </c>
      <c r="D75" s="440" t="s">
        <v>85</v>
      </c>
      <c r="E75" s="440" t="s">
        <v>102</v>
      </c>
      <c r="F75" s="440" t="s">
        <v>116</v>
      </c>
      <c r="G75" s="440" t="s">
        <v>124</v>
      </c>
      <c r="H75" s="440" t="s">
        <v>132</v>
      </c>
      <c r="I75" s="440"/>
      <c r="J75" s="440" t="s">
        <v>234</v>
      </c>
      <c r="K75" s="440" t="s">
        <v>238</v>
      </c>
      <c r="L75" s="440" t="s">
        <v>242</v>
      </c>
      <c r="M75" s="440"/>
      <c r="N75" s="440"/>
      <c r="O75" s="440" t="s">
        <v>143</v>
      </c>
      <c r="P75" s="416"/>
      <c r="Q75" s="440" t="s">
        <v>166</v>
      </c>
      <c r="R75" s="440" t="s">
        <v>162</v>
      </c>
      <c r="S75" s="440" t="s">
        <v>176</v>
      </c>
      <c r="T75" s="440" t="s">
        <v>183</v>
      </c>
      <c r="U75" s="440" t="s">
        <v>191</v>
      </c>
      <c r="V75" s="416"/>
      <c r="W75" s="440" t="s">
        <v>149</v>
      </c>
      <c r="X75" s="440" t="s">
        <v>248</v>
      </c>
      <c r="Y75" s="416"/>
      <c r="Z75" s="440" t="s">
        <v>258</v>
      </c>
      <c r="AA75" s="440" t="s">
        <v>266</v>
      </c>
      <c r="AB75" s="440" t="s">
        <v>274</v>
      </c>
      <c r="AC75" s="440"/>
      <c r="AD75" s="440" t="s">
        <v>1303</v>
      </c>
      <c r="AE75" s="440" t="s">
        <v>1237</v>
      </c>
      <c r="AF75" s="417" t="s">
        <v>1240</v>
      </c>
      <c r="AH75" s="375" t="s">
        <v>1641</v>
      </c>
    </row>
    <row r="76" spans="1:34" x14ac:dyDescent="0.25">
      <c r="A76" s="415" t="s">
        <v>71</v>
      </c>
      <c r="B76" s="493"/>
      <c r="C76" s="440" t="s">
        <v>82</v>
      </c>
      <c r="D76" s="440" t="s">
        <v>86</v>
      </c>
      <c r="E76" s="440" t="s">
        <v>103</v>
      </c>
      <c r="F76" s="440" t="s">
        <v>117</v>
      </c>
      <c r="G76" s="440" t="s">
        <v>125</v>
      </c>
      <c r="H76" s="440" t="s">
        <v>133</v>
      </c>
      <c r="I76" s="440"/>
      <c r="J76" s="440" t="s">
        <v>235</v>
      </c>
      <c r="K76" s="440" t="s">
        <v>239</v>
      </c>
      <c r="L76" s="440" t="s">
        <v>243</v>
      </c>
      <c r="M76" s="440"/>
      <c r="N76" s="440"/>
      <c r="O76" s="440" t="s">
        <v>144</v>
      </c>
      <c r="P76" s="416"/>
      <c r="Q76" s="440" t="s">
        <v>167</v>
      </c>
      <c r="R76" s="440" t="s">
        <v>163</v>
      </c>
      <c r="S76" s="440" t="s">
        <v>177</v>
      </c>
      <c r="T76" s="440" t="s">
        <v>184</v>
      </c>
      <c r="U76" s="440" t="s">
        <v>192</v>
      </c>
      <c r="V76" s="416"/>
      <c r="W76" s="440" t="s">
        <v>150</v>
      </c>
      <c r="X76" s="440" t="s">
        <v>249</v>
      </c>
      <c r="Y76" s="416"/>
      <c r="Z76" s="440" t="s">
        <v>259</v>
      </c>
      <c r="AA76" s="440" t="s">
        <v>267</v>
      </c>
      <c r="AB76" s="440" t="s">
        <v>275</v>
      </c>
      <c r="AC76" s="440"/>
      <c r="AD76" s="440" t="s">
        <v>1304</v>
      </c>
      <c r="AE76" s="440" t="s">
        <v>1238</v>
      </c>
      <c r="AF76" s="417" t="s">
        <v>1241</v>
      </c>
      <c r="AH76" s="375" t="s">
        <v>1642</v>
      </c>
    </row>
    <row r="77" spans="1:34" x14ac:dyDescent="0.25">
      <c r="A77" s="415" t="s">
        <v>72</v>
      </c>
      <c r="B77" s="493"/>
      <c r="C77" s="440" t="s">
        <v>83</v>
      </c>
      <c r="D77" s="440" t="s">
        <v>87</v>
      </c>
      <c r="E77" s="440" t="s">
        <v>104</v>
      </c>
      <c r="F77" s="440" t="s">
        <v>118</v>
      </c>
      <c r="G77" s="440" t="s">
        <v>126</v>
      </c>
      <c r="H77" s="440" t="s">
        <v>134</v>
      </c>
      <c r="I77" s="440"/>
      <c r="J77" s="440" t="s">
        <v>236</v>
      </c>
      <c r="K77" s="440" t="s">
        <v>240</v>
      </c>
      <c r="L77" s="440" t="s">
        <v>244</v>
      </c>
      <c r="M77" s="440"/>
      <c r="N77" s="440"/>
      <c r="O77" s="440" t="s">
        <v>145</v>
      </c>
      <c r="P77" s="416"/>
      <c r="Q77" s="440" t="s">
        <v>168</v>
      </c>
      <c r="R77" s="440" t="s">
        <v>164</v>
      </c>
      <c r="S77" s="440" t="s">
        <v>178</v>
      </c>
      <c r="T77" s="440" t="s">
        <v>185</v>
      </c>
      <c r="U77" s="440" t="s">
        <v>193</v>
      </c>
      <c r="V77" s="416"/>
      <c r="W77" s="440" t="s">
        <v>151</v>
      </c>
      <c r="X77" s="440" t="s">
        <v>250</v>
      </c>
      <c r="Y77" s="416"/>
      <c r="Z77" s="440" t="s">
        <v>260</v>
      </c>
      <c r="AA77" s="440" t="s">
        <v>268</v>
      </c>
      <c r="AB77" s="440" t="s">
        <v>276</v>
      </c>
      <c r="AC77" s="440"/>
      <c r="AD77" s="440" t="s">
        <v>1305</v>
      </c>
      <c r="AE77" s="440" t="s">
        <v>1239</v>
      </c>
      <c r="AF77" s="417" t="s">
        <v>1242</v>
      </c>
      <c r="AH77" s="375" t="s">
        <v>1643</v>
      </c>
    </row>
    <row r="78" spans="1:34" x14ac:dyDescent="0.25">
      <c r="A78" s="488" t="s">
        <v>73</v>
      </c>
      <c r="B78" s="489"/>
      <c r="C78" s="490" t="s">
        <v>105</v>
      </c>
      <c r="D78" s="490" t="s">
        <v>106</v>
      </c>
      <c r="E78" s="490" t="s">
        <v>107</v>
      </c>
      <c r="F78" s="490" t="s">
        <v>119</v>
      </c>
      <c r="G78" s="490" t="s">
        <v>127</v>
      </c>
      <c r="H78" s="490" t="s">
        <v>135</v>
      </c>
      <c r="I78" s="490"/>
      <c r="J78" s="490" t="s">
        <v>237</v>
      </c>
      <c r="K78" s="490" t="s">
        <v>241</v>
      </c>
      <c r="L78" s="490" t="s">
        <v>245</v>
      </c>
      <c r="M78" s="490"/>
      <c r="N78" s="490"/>
      <c r="O78" s="490" t="s">
        <v>146</v>
      </c>
      <c r="P78" s="491"/>
      <c r="Q78" s="490" t="s">
        <v>169</v>
      </c>
      <c r="R78" s="490" t="s">
        <v>165</v>
      </c>
      <c r="S78" s="490" t="s">
        <v>179</v>
      </c>
      <c r="T78" s="490" t="s">
        <v>186</v>
      </c>
      <c r="U78" s="490" t="s">
        <v>194</v>
      </c>
      <c r="V78" s="491"/>
      <c r="W78" s="490" t="s">
        <v>152</v>
      </c>
      <c r="X78" s="490" t="s">
        <v>251</v>
      </c>
      <c r="Y78" s="491"/>
      <c r="Z78" s="490" t="s">
        <v>261</v>
      </c>
      <c r="AA78" s="490" t="s">
        <v>269</v>
      </c>
      <c r="AB78" s="490" t="s">
        <v>277</v>
      </c>
      <c r="AC78" s="490"/>
      <c r="AD78" s="490" t="s">
        <v>1306</v>
      </c>
      <c r="AE78" s="491"/>
      <c r="AF78" s="495"/>
      <c r="AH78" s="375" t="s">
        <v>1644</v>
      </c>
    </row>
    <row r="79" spans="1:34" x14ac:dyDescent="0.25">
      <c r="A79" t="s">
        <v>74</v>
      </c>
      <c r="B79" s="3"/>
      <c r="C79" s="5" t="s">
        <v>84</v>
      </c>
      <c r="D79" s="5" t="s">
        <v>80</v>
      </c>
      <c r="E79" s="5"/>
      <c r="F79" s="5"/>
      <c r="G79" s="5"/>
      <c r="H79" s="5" t="s">
        <v>131</v>
      </c>
      <c r="I79" s="5"/>
      <c r="J79" s="5"/>
      <c r="K79" s="5"/>
      <c r="L79" s="5"/>
      <c r="M79" s="5"/>
      <c r="N79" s="5"/>
      <c r="O79" s="5"/>
      <c r="W79" s="5"/>
    </row>
    <row r="80" spans="1:34" x14ac:dyDescent="0.25">
      <c r="A80" t="s">
        <v>75</v>
      </c>
      <c r="B80" s="3"/>
      <c r="C80" s="5"/>
      <c r="D80" s="5" t="s">
        <v>88</v>
      </c>
      <c r="E80" s="5"/>
      <c r="F80" s="5"/>
      <c r="G80" s="5"/>
      <c r="H80" s="5" t="s">
        <v>136</v>
      </c>
      <c r="I80" s="5"/>
      <c r="J80" s="5"/>
      <c r="K80" s="5"/>
      <c r="L80" s="5"/>
      <c r="M80" s="5"/>
      <c r="N80" s="5" t="s">
        <v>108</v>
      </c>
      <c r="O80" s="5"/>
      <c r="W80" s="5"/>
    </row>
    <row r="81" spans="1:47" x14ac:dyDescent="0.25">
      <c r="A81" t="s">
        <v>76</v>
      </c>
      <c r="B81" s="3"/>
      <c r="C81" s="5"/>
      <c r="D81" s="5" t="s">
        <v>89</v>
      </c>
      <c r="E81" s="5"/>
      <c r="F81" s="5"/>
      <c r="G81" s="5"/>
      <c r="H81" s="5" t="s">
        <v>137</v>
      </c>
      <c r="I81" s="5"/>
      <c r="J81" s="5"/>
      <c r="K81" s="5"/>
      <c r="L81" s="5"/>
      <c r="M81" s="5"/>
      <c r="N81" s="5" t="s">
        <v>109</v>
      </c>
      <c r="O81" s="5"/>
      <c r="W81" s="5"/>
    </row>
    <row r="82" spans="1:47" x14ac:dyDescent="0.25">
      <c r="A82" t="s">
        <v>77</v>
      </c>
      <c r="B82" s="3"/>
      <c r="C82" s="5"/>
      <c r="D82" s="5" t="s">
        <v>90</v>
      </c>
      <c r="E82" s="5"/>
      <c r="F82" s="5"/>
      <c r="G82" s="5"/>
      <c r="H82" s="5" t="s">
        <v>138</v>
      </c>
      <c r="I82" s="5"/>
      <c r="J82" s="5"/>
      <c r="K82" s="5"/>
      <c r="L82" s="5"/>
      <c r="M82" s="5"/>
      <c r="N82" s="5" t="s">
        <v>110</v>
      </c>
      <c r="O82" s="5"/>
      <c r="W82" s="5"/>
    </row>
    <row r="83" spans="1:47" x14ac:dyDescent="0.25">
      <c r="A83" t="s">
        <v>78</v>
      </c>
      <c r="B83" s="3"/>
      <c r="C83" s="5"/>
      <c r="D83" s="5" t="s">
        <v>111</v>
      </c>
      <c r="E83" s="5"/>
      <c r="F83" s="5"/>
      <c r="G83" s="5"/>
      <c r="H83" s="5" t="s">
        <v>139</v>
      </c>
      <c r="I83" s="5"/>
      <c r="J83" s="5"/>
      <c r="K83" s="5"/>
      <c r="L83" s="5"/>
      <c r="M83" s="5"/>
      <c r="N83" s="5"/>
      <c r="O83" s="5"/>
      <c r="W83" s="5"/>
    </row>
    <row r="84" spans="1:47" x14ac:dyDescent="0.25">
      <c r="A84" t="s">
        <v>69</v>
      </c>
      <c r="B84" s="3"/>
      <c r="C84" s="5" t="s">
        <v>1164</v>
      </c>
      <c r="D84" s="5" t="s">
        <v>1006</v>
      </c>
      <c r="E84" s="5" t="s">
        <v>100</v>
      </c>
      <c r="F84" s="5" t="s">
        <v>115</v>
      </c>
      <c r="G84" s="5" t="s">
        <v>123</v>
      </c>
      <c r="H84" s="5" t="s">
        <v>1179</v>
      </c>
      <c r="I84" s="5"/>
      <c r="J84" s="5" t="s">
        <v>232</v>
      </c>
      <c r="K84" s="5"/>
      <c r="L84" s="5" t="s">
        <v>233</v>
      </c>
      <c r="M84" s="5"/>
      <c r="N84" s="5"/>
      <c r="O84" s="5" t="s">
        <v>141</v>
      </c>
      <c r="Q84" t="s">
        <v>1013</v>
      </c>
      <c r="R84" t="s">
        <v>1017</v>
      </c>
      <c r="S84" t="s">
        <v>1021</v>
      </c>
      <c r="Z84" t="s">
        <v>1009</v>
      </c>
      <c r="AA84" t="s">
        <v>541</v>
      </c>
      <c r="AB84" t="s">
        <v>1008</v>
      </c>
    </row>
    <row r="85" spans="1:47" x14ac:dyDescent="0.25">
      <c r="A85" t="s">
        <v>70</v>
      </c>
      <c r="B85" s="3"/>
      <c r="C85" s="5" t="s">
        <v>1165</v>
      </c>
      <c r="D85" s="5" t="s">
        <v>1167</v>
      </c>
      <c r="E85" s="5" t="s">
        <v>102</v>
      </c>
      <c r="F85" s="5" t="s">
        <v>116</v>
      </c>
      <c r="G85" s="5" t="s">
        <v>124</v>
      </c>
      <c r="H85" s="5" t="s">
        <v>1180</v>
      </c>
      <c r="I85" s="5"/>
      <c r="J85" s="5" t="s">
        <v>234</v>
      </c>
      <c r="K85" s="5" t="s">
        <v>238</v>
      </c>
      <c r="L85" s="5" t="s">
        <v>242</v>
      </c>
      <c r="M85" s="5"/>
      <c r="N85" s="5"/>
      <c r="O85" s="5" t="s">
        <v>143</v>
      </c>
      <c r="Q85" s="5" t="s">
        <v>1014</v>
      </c>
      <c r="R85" s="5" t="s">
        <v>1018</v>
      </c>
      <c r="S85" s="5" t="s">
        <v>1022</v>
      </c>
      <c r="T85" s="5" t="s">
        <v>1169</v>
      </c>
      <c r="U85" s="5" t="s">
        <v>1172</v>
      </c>
      <c r="W85" s="5" t="s">
        <v>149</v>
      </c>
      <c r="X85" s="5" t="s">
        <v>248</v>
      </c>
      <c r="Z85" s="5" t="s">
        <v>1182</v>
      </c>
      <c r="AA85" s="5" t="s">
        <v>1174</v>
      </c>
      <c r="AB85" s="5" t="s">
        <v>1177</v>
      </c>
      <c r="AC85" s="5"/>
    </row>
    <row r="86" spans="1:47" x14ac:dyDescent="0.25">
      <c r="A86" t="s">
        <v>71</v>
      </c>
      <c r="B86" s="3"/>
      <c r="C86" s="5" t="s">
        <v>479</v>
      </c>
      <c r="D86" s="5" t="s">
        <v>1079</v>
      </c>
      <c r="E86" s="5" t="s">
        <v>103</v>
      </c>
      <c r="F86" s="5" t="s">
        <v>117</v>
      </c>
      <c r="G86" s="5" t="s">
        <v>125</v>
      </c>
      <c r="H86" s="5" t="s">
        <v>1123</v>
      </c>
      <c r="I86" s="5"/>
      <c r="J86" s="5" t="s">
        <v>235</v>
      </c>
      <c r="K86" s="5" t="s">
        <v>239</v>
      </c>
      <c r="L86" s="5" t="s">
        <v>243</v>
      </c>
      <c r="M86" s="5"/>
      <c r="N86" s="5"/>
      <c r="O86" s="5" t="s">
        <v>144</v>
      </c>
      <c r="Q86" s="5" t="s">
        <v>944</v>
      </c>
      <c r="R86" s="5" t="s">
        <v>955</v>
      </c>
      <c r="S86" s="5" t="s">
        <v>960</v>
      </c>
      <c r="T86" s="5" t="s">
        <v>978</v>
      </c>
      <c r="U86" s="5" t="s">
        <v>1030</v>
      </c>
      <c r="W86" s="5" t="s">
        <v>150</v>
      </c>
      <c r="X86" s="5" t="s">
        <v>249</v>
      </c>
      <c r="Z86" s="5" t="s">
        <v>961</v>
      </c>
      <c r="AA86" s="5" t="s">
        <v>965</v>
      </c>
      <c r="AB86" s="5" t="s">
        <v>971</v>
      </c>
      <c r="AC86" s="5"/>
    </row>
    <row r="87" spans="1:47" x14ac:dyDescent="0.25">
      <c r="A87" t="s">
        <v>72</v>
      </c>
      <c r="B87" s="3"/>
      <c r="C87" s="5" t="s">
        <v>482</v>
      </c>
      <c r="D87" s="5" t="s">
        <v>1081</v>
      </c>
      <c r="E87" s="5" t="s">
        <v>104</v>
      </c>
      <c r="F87" s="5" t="s">
        <v>118</v>
      </c>
      <c r="G87" s="5" t="s">
        <v>126</v>
      </c>
      <c r="H87" s="5" t="s">
        <v>1122</v>
      </c>
      <c r="I87" s="5"/>
      <c r="J87" s="5" t="s">
        <v>236</v>
      </c>
      <c r="K87" s="5" t="s">
        <v>240</v>
      </c>
      <c r="L87" s="5" t="s">
        <v>244</v>
      </c>
      <c r="M87" s="5"/>
      <c r="N87" s="5"/>
      <c r="O87" s="5" t="s">
        <v>145</v>
      </c>
      <c r="Q87" s="5" t="s">
        <v>943</v>
      </c>
      <c r="R87" s="5" t="s">
        <v>954</v>
      </c>
      <c r="S87" s="5" t="s">
        <v>957</v>
      </c>
      <c r="T87" s="5" t="s">
        <v>1170</v>
      </c>
      <c r="U87" s="5" t="s">
        <v>1031</v>
      </c>
      <c r="W87" s="5" t="s">
        <v>151</v>
      </c>
      <c r="X87" s="5" t="s">
        <v>250</v>
      </c>
      <c r="Z87" s="5" t="s">
        <v>1010</v>
      </c>
      <c r="AA87" s="5" t="s">
        <v>1175</v>
      </c>
      <c r="AB87" s="5" t="s">
        <v>1001</v>
      </c>
      <c r="AC87" s="5"/>
    </row>
    <row r="88" spans="1:47" x14ac:dyDescent="0.25">
      <c r="A88" t="s">
        <v>73</v>
      </c>
      <c r="B88" s="3"/>
      <c r="C88" s="5" t="s">
        <v>1166</v>
      </c>
      <c r="D88" s="5" t="s">
        <v>1168</v>
      </c>
      <c r="E88" s="5" t="s">
        <v>107</v>
      </c>
      <c r="F88" s="5" t="s">
        <v>119</v>
      </c>
      <c r="G88" s="5" t="s">
        <v>127</v>
      </c>
      <c r="H88" s="5" t="s">
        <v>1181</v>
      </c>
      <c r="I88" s="5"/>
      <c r="J88" s="5" t="s">
        <v>237</v>
      </c>
      <c r="K88" s="5" t="s">
        <v>241</v>
      </c>
      <c r="L88" s="5" t="s">
        <v>245</v>
      </c>
      <c r="M88" s="5"/>
      <c r="N88" s="5"/>
      <c r="O88" s="5" t="s">
        <v>146</v>
      </c>
      <c r="Q88" s="5" t="s">
        <v>1015</v>
      </c>
      <c r="R88" s="5" t="s">
        <v>1019</v>
      </c>
      <c r="S88" s="5" t="s">
        <v>1023</v>
      </c>
      <c r="T88" s="5" t="s">
        <v>1171</v>
      </c>
      <c r="U88" s="5" t="s">
        <v>1173</v>
      </c>
      <c r="W88" s="5" t="s">
        <v>152</v>
      </c>
      <c r="X88" s="5" t="s">
        <v>251</v>
      </c>
      <c r="Z88" s="5" t="s">
        <v>1183</v>
      </c>
      <c r="AA88" s="5" t="s">
        <v>1176</v>
      </c>
      <c r="AB88" s="5" t="s">
        <v>1178</v>
      </c>
      <c r="AC88" s="5"/>
    </row>
    <row r="89" spans="1:47" x14ac:dyDescent="0.25"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W89" s="5"/>
    </row>
    <row r="91" spans="1:47" x14ac:dyDescent="0.25">
      <c r="A91" s="2" t="s">
        <v>500</v>
      </c>
    </row>
    <row r="92" spans="1:47" s="479" customFormat="1" x14ac:dyDescent="0.25">
      <c r="A92" s="479" t="s">
        <v>604</v>
      </c>
      <c r="B92" s="480"/>
      <c r="D92" s="479" t="s">
        <v>528</v>
      </c>
      <c r="H92" s="479" t="s">
        <v>1104</v>
      </c>
      <c r="Q92" s="479" t="s">
        <v>545</v>
      </c>
      <c r="R92" s="479" t="s">
        <v>545</v>
      </c>
      <c r="S92" s="479" t="s">
        <v>545</v>
      </c>
      <c r="T92" s="479" t="s">
        <v>545</v>
      </c>
      <c r="U92" s="479" t="s">
        <v>528</v>
      </c>
      <c r="W92" s="479" t="s">
        <v>586</v>
      </c>
      <c r="X92" s="479" t="s">
        <v>586</v>
      </c>
      <c r="Z92" s="479" t="s">
        <v>504</v>
      </c>
      <c r="AA92" s="479" t="s">
        <v>528</v>
      </c>
      <c r="AB92" s="479" t="s">
        <v>528</v>
      </c>
      <c r="AD92" s="479" t="s">
        <v>508</v>
      </c>
      <c r="AE92" s="479" t="s">
        <v>508</v>
      </c>
      <c r="AF92" s="479" t="s">
        <v>508</v>
      </c>
      <c r="AH92" s="479" t="s">
        <v>1645</v>
      </c>
      <c r="AN92" s="573"/>
      <c r="AO92" s="573"/>
      <c r="AQ92"/>
      <c r="AR92"/>
      <c r="AS92"/>
      <c r="AT92"/>
      <c r="AU92"/>
    </row>
    <row r="93" spans="1:47" s="479" customFormat="1" x14ac:dyDescent="0.25">
      <c r="B93" s="480"/>
      <c r="D93" s="479" t="s">
        <v>510</v>
      </c>
      <c r="H93" s="479" t="s">
        <v>1105</v>
      </c>
      <c r="Q93" s="479" t="s">
        <v>837</v>
      </c>
      <c r="R93" s="479" t="s">
        <v>546</v>
      </c>
      <c r="S93" s="479" t="s">
        <v>528</v>
      </c>
      <c r="T93" s="479" t="s">
        <v>542</v>
      </c>
      <c r="U93" s="479" t="s">
        <v>546</v>
      </c>
      <c r="W93" s="479" t="s">
        <v>587</v>
      </c>
      <c r="X93" s="479" t="s">
        <v>587</v>
      </c>
      <c r="Z93" s="479" t="s">
        <v>509</v>
      </c>
      <c r="AA93" s="479" t="s">
        <v>527</v>
      </c>
      <c r="AB93" s="479" t="s">
        <v>527</v>
      </c>
      <c r="AD93" s="479" t="s">
        <v>849</v>
      </c>
      <c r="AE93" s="479" t="s">
        <v>849</v>
      </c>
      <c r="AF93" s="479" t="s">
        <v>1264</v>
      </c>
      <c r="AH93" s="479" t="s">
        <v>1646</v>
      </c>
      <c r="AN93" s="573"/>
      <c r="AO93" s="573"/>
    </row>
    <row r="94" spans="1:47" s="479" customFormat="1" x14ac:dyDescent="0.25">
      <c r="B94" s="480"/>
      <c r="D94" s="479" t="s">
        <v>848</v>
      </c>
      <c r="H94" s="479" t="s">
        <v>1106</v>
      </c>
      <c r="Q94" s="479" t="s">
        <v>849</v>
      </c>
      <c r="R94" s="479" t="s">
        <v>568</v>
      </c>
      <c r="S94" s="479" t="s">
        <v>542</v>
      </c>
      <c r="U94" s="479" t="s">
        <v>577</v>
      </c>
      <c r="W94" s="479" t="s">
        <v>528</v>
      </c>
      <c r="X94" s="479" t="s">
        <v>528</v>
      </c>
      <c r="Z94" s="479" t="s">
        <v>505</v>
      </c>
      <c r="AA94" s="479" t="s">
        <v>542</v>
      </c>
      <c r="AB94" s="479" t="s">
        <v>837</v>
      </c>
      <c r="AD94" s="479" t="s">
        <v>1307</v>
      </c>
      <c r="AE94" s="479" t="s">
        <v>1578</v>
      </c>
      <c r="AF94" s="479" t="s">
        <v>849</v>
      </c>
      <c r="AH94" s="479" t="s">
        <v>508</v>
      </c>
      <c r="AN94" s="573"/>
      <c r="AO94" s="573"/>
    </row>
    <row r="95" spans="1:47" s="479" customFormat="1" x14ac:dyDescent="0.25">
      <c r="B95" s="480"/>
      <c r="D95" s="479" t="s">
        <v>849</v>
      </c>
      <c r="H95" s="479" t="s">
        <v>508</v>
      </c>
      <c r="Q95" s="479" t="s">
        <v>528</v>
      </c>
      <c r="R95" s="479" t="s">
        <v>508</v>
      </c>
      <c r="S95" s="479" t="s">
        <v>1675</v>
      </c>
      <c r="U95" s="479" t="s">
        <v>508</v>
      </c>
      <c r="W95" s="479" t="s">
        <v>588</v>
      </c>
      <c r="X95" s="479" t="s">
        <v>598</v>
      </c>
      <c r="Z95" s="479" t="s">
        <v>526</v>
      </c>
      <c r="AA95" s="479" t="s">
        <v>508</v>
      </c>
      <c r="AB95" s="479" t="s">
        <v>531</v>
      </c>
      <c r="AE95" s="479" t="s">
        <v>1654</v>
      </c>
      <c r="AF95" s="479" t="s">
        <v>1270</v>
      </c>
      <c r="AN95" s="573"/>
      <c r="AO95" s="573"/>
    </row>
    <row r="96" spans="1:47" x14ac:dyDescent="0.25">
      <c r="AQ96" s="479"/>
      <c r="AR96" s="479"/>
      <c r="AS96" s="479"/>
      <c r="AT96" s="479"/>
      <c r="AU96" s="479"/>
    </row>
    <row r="97" spans="1:47" s="479" customFormat="1" x14ac:dyDescent="0.25">
      <c r="A97" s="479" t="s">
        <v>605</v>
      </c>
      <c r="B97" s="480"/>
      <c r="C97" s="479" t="s">
        <v>543</v>
      </c>
      <c r="D97" s="479" t="s">
        <v>528</v>
      </c>
      <c r="H97" s="479" t="s">
        <v>1104</v>
      </c>
      <c r="Q97" s="479" t="s">
        <v>528</v>
      </c>
      <c r="R97" s="479" t="s">
        <v>528</v>
      </c>
      <c r="S97" s="479" t="s">
        <v>528</v>
      </c>
      <c r="T97" s="479" t="s">
        <v>545</v>
      </c>
      <c r="U97" s="479" t="s">
        <v>528</v>
      </c>
      <c r="W97" s="479" t="s">
        <v>586</v>
      </c>
      <c r="X97" s="479" t="s">
        <v>586</v>
      </c>
      <c r="Z97" s="479" t="s">
        <v>510</v>
      </c>
      <c r="AA97" s="479" t="s">
        <v>528</v>
      </c>
      <c r="AB97" s="479" t="s">
        <v>528</v>
      </c>
      <c r="AD97" s="479" t="s">
        <v>1307</v>
      </c>
      <c r="AE97" s="479" t="s">
        <v>849</v>
      </c>
      <c r="AF97" s="479" t="s">
        <v>508</v>
      </c>
      <c r="AN97" s="573"/>
      <c r="AO97" s="573"/>
      <c r="AQ97"/>
      <c r="AR97"/>
      <c r="AS97"/>
      <c r="AT97"/>
      <c r="AU97"/>
    </row>
    <row r="98" spans="1:47" s="479" customFormat="1" x14ac:dyDescent="0.25">
      <c r="B98" s="480"/>
      <c r="C98" s="479" t="s">
        <v>544</v>
      </c>
      <c r="D98" s="479" t="s">
        <v>510</v>
      </c>
      <c r="H98" s="479" t="s">
        <v>528</v>
      </c>
      <c r="Q98" s="479" t="s">
        <v>529</v>
      </c>
      <c r="R98" s="479" t="s">
        <v>529</v>
      </c>
      <c r="S98" s="479" t="s">
        <v>529</v>
      </c>
      <c r="T98" s="479" t="s">
        <v>542</v>
      </c>
      <c r="U98" s="479" t="s">
        <v>546</v>
      </c>
      <c r="W98" s="479" t="s">
        <v>587</v>
      </c>
      <c r="X98" s="479" t="s">
        <v>587</v>
      </c>
      <c r="Z98" s="479" t="s">
        <v>570</v>
      </c>
      <c r="AA98" s="479" t="s">
        <v>504</v>
      </c>
      <c r="AB98" s="479" t="s">
        <v>529</v>
      </c>
      <c r="AD98" s="479" t="s">
        <v>508</v>
      </c>
      <c r="AE98" s="479" t="s">
        <v>508</v>
      </c>
      <c r="AF98" s="479" t="s">
        <v>1264</v>
      </c>
      <c r="AN98" s="573"/>
      <c r="AO98" s="573"/>
    </row>
    <row r="99" spans="1:47" s="479" customFormat="1" x14ac:dyDescent="0.25">
      <c r="B99" s="480"/>
      <c r="C99" s="479" t="s">
        <v>528</v>
      </c>
      <c r="D99" s="479" t="s">
        <v>544</v>
      </c>
      <c r="Q99" s="479" t="s">
        <v>546</v>
      </c>
      <c r="R99" s="479" t="s">
        <v>542</v>
      </c>
      <c r="S99" s="479" t="s">
        <v>546</v>
      </c>
      <c r="U99" s="479" t="s">
        <v>577</v>
      </c>
      <c r="W99" s="479" t="s">
        <v>528</v>
      </c>
      <c r="X99" s="479" t="s">
        <v>1062</v>
      </c>
      <c r="Z99" s="479" t="s">
        <v>509</v>
      </c>
      <c r="AA99" s="479" t="s">
        <v>529</v>
      </c>
      <c r="AB99" s="479" t="s">
        <v>530</v>
      </c>
      <c r="AE99" s="479" t="s">
        <v>529</v>
      </c>
      <c r="AF99" s="479" t="s">
        <v>849</v>
      </c>
      <c r="AN99" s="573"/>
      <c r="AO99" s="573"/>
    </row>
    <row r="100" spans="1:47" s="479" customFormat="1" x14ac:dyDescent="0.25">
      <c r="B100" s="480"/>
      <c r="C100" s="479" t="s">
        <v>508</v>
      </c>
      <c r="D100" s="479" t="s">
        <v>849</v>
      </c>
      <c r="Q100" s="479" t="s">
        <v>508</v>
      </c>
      <c r="R100" s="479" t="s">
        <v>569</v>
      </c>
      <c r="S100" s="479" t="s">
        <v>552</v>
      </c>
      <c r="U100" s="479" t="s">
        <v>508</v>
      </c>
      <c r="W100" s="479" t="s">
        <v>588</v>
      </c>
      <c r="X100" s="479" t="s">
        <v>598</v>
      </c>
      <c r="Z100" s="479" t="s">
        <v>508</v>
      </c>
      <c r="AA100" s="479" t="s">
        <v>508</v>
      </c>
      <c r="AB100" s="479" t="s">
        <v>531</v>
      </c>
      <c r="AE100" s="479" t="s">
        <v>1264</v>
      </c>
      <c r="AF100" s="479" t="s">
        <v>1633</v>
      </c>
      <c r="AN100" s="573"/>
      <c r="AO100" s="573"/>
    </row>
    <row r="101" spans="1:47" x14ac:dyDescent="0.25">
      <c r="AQ101" s="479"/>
      <c r="AR101" s="479"/>
      <c r="AS101" s="479"/>
      <c r="AT101" s="479"/>
      <c r="AU101" s="479"/>
    </row>
  </sheetData>
  <dataValidations count="3">
    <dataValidation type="list" allowBlank="1" showInputMessage="1" showErrorMessage="1" sqref="Z97:Z100">
      <formula1>$Z$97:$Z$100</formula1>
    </dataValidation>
    <dataValidation type="list" allowBlank="1" showInputMessage="1" showErrorMessage="1" sqref="AN10">
      <formula1>"ANNUAL,SEMI_ANNUAL,QUARTERLY,MONTHLY"</formula1>
    </dataValidation>
    <dataValidation type="list" allowBlank="1" showInputMessage="1" showErrorMessage="1" sqref="AO10">
      <formula1>"ANNUAL,SEMI-ANNUAL,QUARTERLY,MONTHLY"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4" tint="0.79998168889431442"/>
  </sheetPr>
  <dimension ref="A3:D33"/>
  <sheetViews>
    <sheetView workbookViewId="0"/>
  </sheetViews>
  <sheetFormatPr defaultRowHeight="15" x14ac:dyDescent="0.25"/>
  <cols>
    <col min="2" max="2" width="11.85546875" customWidth="1"/>
  </cols>
  <sheetData>
    <row r="3" spans="1:4" x14ac:dyDescent="0.25">
      <c r="A3" s="621" t="s">
        <v>2</v>
      </c>
      <c r="B3" s="207">
        <v>0.21590000000000001</v>
      </c>
    </row>
    <row r="4" spans="1:4" x14ac:dyDescent="0.25">
      <c r="A4" t="s">
        <v>96</v>
      </c>
      <c r="B4" s="207">
        <v>2.1700000000000001E-2</v>
      </c>
    </row>
    <row r="5" spans="1:4" x14ac:dyDescent="0.25">
      <c r="A5" t="s">
        <v>1566</v>
      </c>
      <c r="B5" s="207">
        <v>1.9800000000000002E-2</v>
      </c>
    </row>
    <row r="6" spans="1:4" x14ac:dyDescent="0.25">
      <c r="B6" s="207"/>
    </row>
    <row r="7" spans="1:4" x14ac:dyDescent="0.25">
      <c r="A7" s="621" t="s">
        <v>3</v>
      </c>
      <c r="B7" s="207">
        <v>0.17399999999999999</v>
      </c>
      <c r="D7" s="207">
        <f>B7+B3</f>
        <v>0.38990000000000002</v>
      </c>
    </row>
    <row r="8" spans="1:4" x14ac:dyDescent="0.25">
      <c r="A8" s="621" t="s">
        <v>160</v>
      </c>
      <c r="B8" s="207">
        <v>3.7000000000000002E-3</v>
      </c>
    </row>
    <row r="9" spans="1:4" x14ac:dyDescent="0.25">
      <c r="A9" s="621" t="s">
        <v>172</v>
      </c>
      <c r="B9" s="207">
        <v>8.3999999999999995E-3</v>
      </c>
    </row>
    <row r="10" spans="1:4" x14ac:dyDescent="0.25">
      <c r="A10" t="s">
        <v>120</v>
      </c>
      <c r="B10" s="207">
        <v>2.75E-2</v>
      </c>
    </row>
    <row r="11" spans="1:4" x14ac:dyDescent="0.25">
      <c r="A11" t="s">
        <v>112</v>
      </c>
      <c r="B11" s="207">
        <v>1.44E-2</v>
      </c>
    </row>
    <row r="12" spans="1:4" x14ac:dyDescent="0.25">
      <c r="B12" s="207"/>
    </row>
    <row r="13" spans="1:4" x14ac:dyDescent="0.25">
      <c r="A13" t="s">
        <v>221</v>
      </c>
      <c r="B13" s="207">
        <v>4.0000000000000001E-3</v>
      </c>
    </row>
    <row r="14" spans="1:4" x14ac:dyDescent="0.25">
      <c r="A14" t="s">
        <v>223</v>
      </c>
      <c r="B14" s="207">
        <v>5.7999999999999996E-3</v>
      </c>
    </row>
    <row r="15" spans="1:4" x14ac:dyDescent="0.25">
      <c r="A15" t="s">
        <v>222</v>
      </c>
      <c r="B15" s="207">
        <v>2.0999999999999999E-3</v>
      </c>
    </row>
    <row r="16" spans="1:4" x14ac:dyDescent="0.25">
      <c r="B16" s="207"/>
    </row>
    <row r="17" spans="1:2" x14ac:dyDescent="0.25">
      <c r="A17" s="621" t="s">
        <v>272</v>
      </c>
      <c r="B17" s="207">
        <v>1.4800000000000001E-2</v>
      </c>
    </row>
    <row r="18" spans="1:2" x14ac:dyDescent="0.25">
      <c r="A18" s="621" t="s">
        <v>254</v>
      </c>
      <c r="B18" s="207">
        <v>3.6499999999999998E-2</v>
      </c>
    </row>
    <row r="19" spans="1:2" x14ac:dyDescent="0.25">
      <c r="A19" s="621" t="s">
        <v>264</v>
      </c>
      <c r="B19" s="207">
        <v>7.3000000000000001E-3</v>
      </c>
    </row>
    <row r="20" spans="1:2" x14ac:dyDescent="0.25">
      <c r="A20" s="621" t="s">
        <v>147</v>
      </c>
      <c r="B20" s="207">
        <v>1.5699999999999999E-2</v>
      </c>
    </row>
    <row r="21" spans="1:2" x14ac:dyDescent="0.25">
      <c r="A21" s="621" t="s">
        <v>246</v>
      </c>
      <c r="B21" s="207">
        <v>2.1600000000000001E-2</v>
      </c>
    </row>
    <row r="22" spans="1:2" x14ac:dyDescent="0.25">
      <c r="B22" s="207"/>
    </row>
    <row r="23" spans="1:2" x14ac:dyDescent="0.25">
      <c r="A23" s="621" t="s">
        <v>128</v>
      </c>
      <c r="B23" s="207">
        <v>0.1116</v>
      </c>
    </row>
    <row r="24" spans="1:2" x14ac:dyDescent="0.25">
      <c r="A24" s="621" t="s">
        <v>1229</v>
      </c>
      <c r="B24" s="207">
        <v>3.5700000000000003E-2</v>
      </c>
    </row>
    <row r="25" spans="1:2" x14ac:dyDescent="0.25">
      <c r="A25" s="621" t="s">
        <v>91</v>
      </c>
      <c r="B25" s="207">
        <v>5.1999999999999998E-2</v>
      </c>
    </row>
    <row r="26" spans="1:2" x14ac:dyDescent="0.25">
      <c r="A26" t="s">
        <v>140</v>
      </c>
      <c r="B26" s="207">
        <v>5.7000000000000002E-3</v>
      </c>
    </row>
    <row r="27" spans="1:2" x14ac:dyDescent="0.25">
      <c r="A27" t="s">
        <v>1562</v>
      </c>
      <c r="B27" s="207">
        <v>2.8199999999999999E-2</v>
      </c>
    </row>
    <row r="28" spans="1:2" x14ac:dyDescent="0.25">
      <c r="A28" t="s">
        <v>1563</v>
      </c>
      <c r="B28" s="207">
        <v>3.6999999999999998E-2</v>
      </c>
    </row>
    <row r="29" spans="1:2" x14ac:dyDescent="0.25">
      <c r="A29" t="s">
        <v>1564</v>
      </c>
      <c r="B29" s="207">
        <v>2.98E-2</v>
      </c>
    </row>
    <row r="30" spans="1:2" x14ac:dyDescent="0.25">
      <c r="A30" t="s">
        <v>1565</v>
      </c>
      <c r="B30" s="207">
        <v>0.10680000000000001</v>
      </c>
    </row>
    <row r="33" spans="2:2" x14ac:dyDescent="0.25">
      <c r="B33" s="392">
        <f>SUM(B3:B30)</f>
        <v>1.0000000000000002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79998168889431442"/>
  </sheetPr>
  <dimension ref="A1:Z3"/>
  <sheetViews>
    <sheetView workbookViewId="0"/>
  </sheetViews>
  <sheetFormatPr defaultRowHeight="15" x14ac:dyDescent="0.25"/>
  <sheetData>
    <row r="1" spans="1:26" x14ac:dyDescent="0.25">
      <c r="B1" s="4" t="s">
        <v>2</v>
      </c>
      <c r="C1" s="4" t="s">
        <v>3</v>
      </c>
      <c r="D1" s="4" t="s">
        <v>96</v>
      </c>
      <c r="E1" s="4" t="s">
        <v>112</v>
      </c>
      <c r="F1" s="4" t="s">
        <v>120</v>
      </c>
      <c r="G1" s="4" t="s">
        <v>128</v>
      </c>
      <c r="H1" s="4" t="s">
        <v>221</v>
      </c>
      <c r="I1" s="4" t="s">
        <v>222</v>
      </c>
      <c r="J1" s="4" t="s">
        <v>223</v>
      </c>
      <c r="K1" s="4" t="s">
        <v>91</v>
      </c>
      <c r="L1" s="4" t="s">
        <v>140</v>
      </c>
      <c r="M1" s="4" t="s">
        <v>155</v>
      </c>
      <c r="N1" s="4" t="s">
        <v>160</v>
      </c>
      <c r="O1" s="4" t="s">
        <v>172</v>
      </c>
      <c r="P1" s="4" t="s">
        <v>182</v>
      </c>
      <c r="Q1" s="4" t="s">
        <v>189</v>
      </c>
      <c r="R1" s="4" t="s">
        <v>147</v>
      </c>
      <c r="S1" s="4" t="s">
        <v>246</v>
      </c>
      <c r="T1" s="4" t="s">
        <v>254</v>
      </c>
      <c r="U1" s="4" t="s">
        <v>264</v>
      </c>
      <c r="V1" s="4" t="s">
        <v>272</v>
      </c>
      <c r="W1" s="4" t="s">
        <v>1634</v>
      </c>
      <c r="X1" s="4" t="s">
        <v>1296</v>
      </c>
      <c r="Y1" s="4" t="s">
        <v>1211</v>
      </c>
      <c r="Z1" s="4" t="s">
        <v>1229</v>
      </c>
    </row>
    <row r="2" spans="1:26" x14ac:dyDescent="0.25">
      <c r="A2" t="s">
        <v>2</v>
      </c>
      <c r="B2">
        <v>1</v>
      </c>
      <c r="C2">
        <f ca="1">IF(StaticData.Today=TODAY(),_xll.BDP($A$2&amp;C1&amp;" Curncy","LAST_PRICE"),_xll.BDH($A$2&amp;C1&amp;" Curncy","LAST_PRICE",StaticData.Today,StaticData.Today))</f>
        <v>0.85040000000000004</v>
      </c>
      <c r="D2">
        <f ca="1">IF(StaticData.Today=TODAY(),_xll.BDP($A$2&amp;D1&amp;" Curncy","LAST_PRICE"),_xll.BDH($A$2&amp;D1&amp;" Curncy","LAST_PRICE",StaticData.Today,StaticData.Today))</f>
        <v>1.3229</v>
      </c>
      <c r="E2">
        <f ca="1">IF(StaticData.Today=TODAY(),_xll.BDP($A$2&amp;E1&amp;" Curncy","LAST_PRICE"),_xll.BDH($A$2&amp;E1&amp;" Curncy","LAST_PRICE",StaticData.Today,StaticData.Today))</f>
        <v>0.91849999999999998</v>
      </c>
      <c r="F2">
        <f ca="1">IF(StaticData.Today=TODAY(),_xll.BDP($A$2&amp;F1&amp;" Curncy","LAST_PRICE"),_xll.BDH($A$2&amp;F1&amp;" Curncy","LAST_PRICE",StaticData.Today,StaticData.Today))</f>
        <v>0.77339999999999998</v>
      </c>
      <c r="G2">
        <f ca="1">IF(StaticData.Today=TODAY(),_xll.BDP($A$2&amp;G1&amp;" Curncy","LAST_PRICE"),_xll.BDH($A$2&amp;G1&amp;" Curncy","LAST_PRICE",StaticData.Today,StaticData.Today))</f>
        <v>106.1</v>
      </c>
      <c r="H2">
        <f ca="1">IF(StaticData.Today=TODAY(),_xll.BDP($A$2&amp;H1&amp;" Curncy","LAST_PRICE"),_xll.BDH($A$2&amp;H1&amp;" Curncy","LAST_PRICE",StaticData.Today,StaticData.Today))</f>
        <v>6.3266999999999998</v>
      </c>
      <c r="I2">
        <f ca="1">IF(StaticData.Today=TODAY(),_xll.BDP($A$2&amp;I1&amp;" Curncy","LAST_PRICE"),_xll.BDH($A$2&amp;I1&amp;" Curncy","LAST_PRICE",StaticData.Today,StaticData.Today))</f>
        <v>9.1206999999999994</v>
      </c>
      <c r="J2">
        <f ca="1">IF(StaticData.Today=TODAY(),_xll.BDP($A$2&amp;J1&amp;" Curncy","LAST_PRICE"),_xll.BDH($A$2&amp;J1&amp;" Curncy","LAST_PRICE",StaticData.Today,StaticData.Today))</f>
        <v>8.8164999999999996</v>
      </c>
      <c r="K2">
        <f ca="1">IF(StaticData.Today=TODAY(),_xll.BDP($A$2&amp;K1&amp;" Curncy","LAST_PRICE"),_xll.BDH($A$2&amp;K1&amp;" Curncy","LAST_PRICE",StaticData.Today,StaticData.Today))</f>
        <v>1.3826000000000001</v>
      </c>
      <c r="L2">
        <f ca="1">IF(StaticData.Today=TODAY(),_xll.BDP($A$2&amp;L1&amp;" Curncy","LAST_PRICE"),_xll.BDH($A$2&amp;L1&amp;" Curncy","LAST_PRICE",StaticData.Today,StaticData.Today))</f>
        <v>1.5064</v>
      </c>
      <c r="M2">
        <f ca="1">IF(StaticData.Today=TODAY(),_xll.BDP($A$2&amp;M1&amp;" Curncy","LAST_PRICE"),_xll.BDH($A$2&amp;M1&amp;" Curncy","LAST_PRICE",StaticData.Today,StaticData.Today))</f>
        <v>22.5732</v>
      </c>
      <c r="N2">
        <f ca="1">IF(StaticData.Today=TODAY(),_xll.BDP($A$2&amp;N1&amp;" Curncy","LAST_PRICE"),_xll.BDH($A$2&amp;N1&amp;" Curncy","LAST_PRICE",StaticData.Today,StaticData.Today))</f>
        <v>304.37</v>
      </c>
      <c r="O2">
        <f ca="1">IF(StaticData.Today=TODAY(),_xll.BDP($A$2&amp;O1&amp;" Curncy","LAST_PRICE"),_xll.BDH($A$2&amp;O1&amp;" Curncy","LAST_PRICE",StaticData.Today,StaticData.Today))</f>
        <v>3.7866</v>
      </c>
      <c r="P2">
        <f ca="1">IF(StaticData.Today=TODAY(),_xll.BDP($A$2&amp;P1&amp;" Curncy","LAST_PRICE"),_xll.BDH($A$2&amp;P1&amp;" Curncy","LAST_PRICE",StaticData.Today,StaticData.Today))</f>
        <v>4.1322000000000001</v>
      </c>
      <c r="Q2">
        <f ca="1">IF(StaticData.Today=TODAY(),_xll.BDP($A$2&amp;Q1&amp;" Curncy","LAST_PRICE"),_xll.BDH($A$2&amp;Q1&amp;" Curncy","LAST_PRICE",StaticData.Today,StaticData.Today))</f>
        <v>3.4068999999999998</v>
      </c>
      <c r="R2">
        <f ca="1">IF(StaticData.Today=TODAY(),_xll.BDP($A$2&amp;R1&amp;" Curncy","LAST_PRICE"),_xll.BDH($A$2&amp;R1&amp;" Curncy","LAST_PRICE",StaticData.Today,StaticData.Today))</f>
        <v>3.673</v>
      </c>
      <c r="S2">
        <f ca="1">IF(StaticData.Today=TODAY(),_xll.BDP($A$2&amp;S1&amp;" Curncy","LAST_PRICE"),_xll.BDH($A$2&amp;S1&amp;" Curncy","LAST_PRICE",StaticData.Today,StaticData.Today))</f>
        <v>3.7509000000000001</v>
      </c>
      <c r="T2">
        <f ca="1">IF(StaticData.Today=TODAY(),_xll.BDP($A$2&amp;T1&amp;" Curncy","LAST_PRICE"),_xll.BDH($A$2&amp;T1&amp;" Curncy","LAST_PRICE",StaticData.Today,StaticData.Today))</f>
        <v>75.868099999999998</v>
      </c>
      <c r="U2">
        <f ca="1">IF(StaticData.Today=TODAY(),_xll.BDP($A$2&amp;U1&amp;" Curncy","LAST_PRICE"),_xll.BDH($A$2&amp;U1&amp;" Curncy","LAST_PRICE",StaticData.Today,StaticData.Today))</f>
        <v>7.4908999999999999</v>
      </c>
      <c r="V2">
        <f ca="1">IF(StaticData.Today=TODAY(),_xll.BDP($A$2&amp;V1&amp;" Curncy","LAST_PRICE"),_xll.BDH($A$2&amp;V1&amp;" Curncy","LAST_PRICE",StaticData.Today,StaticData.Today))</f>
        <v>16.775500000000001</v>
      </c>
      <c r="W2">
        <f ca="1">IF(StaticData.Today=TODAY(),_xll.BDP($A$2&amp;W1&amp;" Curncy","LAST_PRICE"),_xll.BDH($A$2&amp;W1&amp;" Curncy","LAST_PRICE",StaticData.Today,StaticData.Today))</f>
        <v>5.3624999999999998</v>
      </c>
      <c r="X2">
        <f ca="1">IF(StaticData.Today=TODAY(),_xll.BDP($A$2&amp;X1&amp;" Curncy","LAST_PRICE"),_xll.BDH($A$2&amp;X1&amp;" Curncy","LAST_PRICE",StaticData.Today,StaticData.Today))</f>
        <v>73.55</v>
      </c>
      <c r="Y2">
        <f ca="1">IF(StaticData.Today=TODAY(),_xll.BDP($A$2&amp;Y1&amp;" Curncy","LAST_PRICE"),_xll.BDH($A$2&amp;Y1&amp;" Curncy","LAST_PRICE",StaticData.Today,StaticData.Today))</f>
        <v>6.8480999999999996</v>
      </c>
      <c r="Z2">
        <f ca="1">IF(StaticData.Today=TODAY(),_xll.BDP($A$2&amp;Z1&amp;" Curncy","LAST_PRICE"),_xll.BDH($A$2&amp;Z1&amp;" Curncy","LAST_PRICE",StaticData.Today,StaticData.Today))</f>
        <v>7.7504</v>
      </c>
    </row>
    <row r="3" spans="1:26" x14ac:dyDescent="0.25">
      <c r="A3" t="s">
        <v>3</v>
      </c>
      <c r="B3" s="508">
        <f ca="1">IF(StaticData.Today=TODAY(),_xll.BDP($A$3&amp;B1&amp;" Curncy","LAST_PRICE"),_xll.BDH($A$3&amp;B1&amp;" Curncy","LAST_PRICE",StaticData.Today,StaticData.Today))</f>
        <v>1.1760999999999999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59999389629810485"/>
  </sheetPr>
  <dimension ref="A1:CE110"/>
  <sheetViews>
    <sheetView showGridLines="0" zoomScale="75" zoomScaleNormal="75" workbookViewId="0"/>
  </sheetViews>
  <sheetFormatPr defaultRowHeight="15" x14ac:dyDescent="0.25"/>
  <cols>
    <col min="11" max="11" width="15.28515625" bestFit="1" customWidth="1"/>
    <col min="12" max="12" width="9.7109375" bestFit="1" customWidth="1"/>
    <col min="13" max="13" width="10.85546875" bestFit="1" customWidth="1"/>
    <col min="15" max="15" width="19.28515625" customWidth="1"/>
    <col min="17" max="17" width="25.28515625" bestFit="1" customWidth="1"/>
    <col min="18" max="18" width="47" bestFit="1" customWidth="1"/>
    <col min="21" max="21" width="10.85546875" bestFit="1" customWidth="1"/>
    <col min="26" max="26" width="22.42578125" bestFit="1" customWidth="1"/>
    <col min="27" max="27" width="10.28515625" bestFit="1" customWidth="1"/>
    <col min="30" max="30" width="10.28515625" bestFit="1" customWidth="1"/>
    <col min="34" max="34" width="25.28515625" bestFit="1" customWidth="1"/>
    <col min="35" max="35" width="43.7109375" bestFit="1" customWidth="1"/>
    <col min="40" max="40" width="14.5703125" bestFit="1" customWidth="1"/>
    <col min="41" max="42" width="10.5703125" bestFit="1" customWidth="1"/>
    <col min="44" max="44" width="15.85546875" customWidth="1"/>
    <col min="52" max="52" width="20.5703125" customWidth="1"/>
    <col min="53" max="53" width="33.28515625" bestFit="1" customWidth="1"/>
    <col min="55" max="55" width="12.42578125" bestFit="1" customWidth="1"/>
    <col min="56" max="56" width="13.85546875" customWidth="1"/>
    <col min="61" max="61" width="20.5703125" customWidth="1"/>
    <col min="62" max="62" width="33.28515625" bestFit="1" customWidth="1"/>
    <col min="64" max="64" width="12.42578125" bestFit="1" customWidth="1"/>
    <col min="65" max="65" width="13.85546875" customWidth="1"/>
    <col min="67" max="67" width="28.5703125" bestFit="1" customWidth="1"/>
    <col min="68" max="68" width="34.28515625" bestFit="1" customWidth="1"/>
    <col min="71" max="71" width="28.5703125" style="620" bestFit="1" customWidth="1"/>
    <col min="72" max="72" width="34.28515625" style="620" bestFit="1" customWidth="1"/>
    <col min="75" max="75" width="29.7109375" bestFit="1" customWidth="1"/>
    <col min="78" max="78" width="33.28515625" customWidth="1"/>
    <col min="79" max="79" width="10.85546875" bestFit="1" customWidth="1"/>
    <col min="80" max="83" width="20.7109375" customWidth="1"/>
  </cols>
  <sheetData>
    <row r="1" spans="1:83" x14ac:dyDescent="0.25">
      <c r="A1" t="s">
        <v>2</v>
      </c>
      <c r="Z1" s="579">
        <v>0</v>
      </c>
      <c r="AR1" s="686">
        <f>_xll.BView(_xll.BCurveStrip("S23"),"volatility")/100</f>
        <v>6.4298911291041346E-3</v>
      </c>
      <c r="CA1" t="s">
        <v>437</v>
      </c>
    </row>
    <row r="2" spans="1:83" x14ac:dyDescent="0.25">
      <c r="K2" s="6" t="s">
        <v>436</v>
      </c>
      <c r="L2" t="s">
        <v>437</v>
      </c>
      <c r="P2" s="161" t="s">
        <v>451</v>
      </c>
      <c r="AG2" s="161" t="s">
        <v>466</v>
      </c>
      <c r="AY2" s="161" t="s">
        <v>480</v>
      </c>
      <c r="BH2" s="161" t="s">
        <v>1595</v>
      </c>
      <c r="BO2" s="161" t="s">
        <v>1099</v>
      </c>
      <c r="BS2" s="636" t="s">
        <v>1126</v>
      </c>
      <c r="BW2" s="161" t="s">
        <v>1623</v>
      </c>
      <c r="CA2" t="s">
        <v>296</v>
      </c>
    </row>
    <row r="3" spans="1:83" x14ac:dyDescent="0.25">
      <c r="K3" s="6" t="s">
        <v>483</v>
      </c>
      <c r="L3" t="s">
        <v>296</v>
      </c>
      <c r="P3" s="45"/>
      <c r="Q3" s="46"/>
      <c r="R3" s="47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9"/>
      <c r="AG3" s="103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67" t="s">
        <v>481</v>
      </c>
      <c r="AS3" s="104"/>
      <c r="AT3" s="104"/>
      <c r="AU3" s="104"/>
      <c r="AV3" s="104"/>
      <c r="AW3" s="105"/>
      <c r="AY3" s="45"/>
      <c r="AZ3" s="48"/>
      <c r="BA3" s="48"/>
      <c r="BB3" s="48"/>
      <c r="BC3" s="48"/>
      <c r="BD3" s="48"/>
      <c r="BE3" s="49"/>
      <c r="BH3" s="45"/>
      <c r="BI3" s="48"/>
      <c r="BJ3" s="48"/>
      <c r="BK3" s="48"/>
      <c r="BL3" s="48"/>
      <c r="BM3" s="48"/>
      <c r="BN3" s="49"/>
      <c r="BO3" t="s">
        <v>1652</v>
      </c>
      <c r="BS3" s="620" t="s">
        <v>1652</v>
      </c>
      <c r="BW3" t="s">
        <v>1652</v>
      </c>
      <c r="CA3" t="s">
        <v>479</v>
      </c>
    </row>
    <row r="4" spans="1:83" x14ac:dyDescent="0.25">
      <c r="L4" t="s">
        <v>1165</v>
      </c>
      <c r="P4" s="50"/>
      <c r="Q4" s="54" t="s">
        <v>425</v>
      </c>
      <c r="R4" s="55"/>
      <c r="S4" s="52" t="s">
        <v>424</v>
      </c>
      <c r="T4" s="56" t="s">
        <v>426</v>
      </c>
      <c r="U4" s="57"/>
      <c r="V4" s="57"/>
      <c r="W4" s="57"/>
      <c r="X4" s="57"/>
      <c r="Y4" s="57"/>
      <c r="Z4" s="56" t="s">
        <v>427</v>
      </c>
      <c r="AA4" s="56"/>
      <c r="AB4" s="57"/>
      <c r="AC4" s="56" t="s">
        <v>428</v>
      </c>
      <c r="AD4" s="57"/>
      <c r="AE4" s="53"/>
      <c r="AG4" s="106"/>
      <c r="AH4" s="56" t="s">
        <v>425</v>
      </c>
      <c r="AI4" s="57" t="b">
        <v>1</v>
      </c>
      <c r="AJ4" s="52"/>
      <c r="AK4" s="56" t="s">
        <v>460</v>
      </c>
      <c r="AL4" s="57"/>
      <c r="AM4" s="52"/>
      <c r="AN4" s="56" t="s">
        <v>461</v>
      </c>
      <c r="AO4" s="107"/>
      <c r="AP4" s="57"/>
      <c r="AQ4" s="57"/>
      <c r="AR4" s="166"/>
      <c r="AS4" s="52"/>
      <c r="AT4" s="56" t="s">
        <v>428</v>
      </c>
      <c r="AU4" s="52"/>
      <c r="AV4" s="52"/>
      <c r="AW4" s="108"/>
      <c r="AY4" s="50"/>
      <c r="AZ4" s="54" t="s">
        <v>425</v>
      </c>
      <c r="BA4" s="146"/>
      <c r="BB4" s="52"/>
      <c r="BC4" s="54" t="s">
        <v>467</v>
      </c>
      <c r="BD4" s="85"/>
      <c r="BE4" s="53"/>
      <c r="BH4" s="50"/>
      <c r="BI4" s="54" t="s">
        <v>425</v>
      </c>
      <c r="BJ4" s="146"/>
      <c r="BK4" s="52"/>
      <c r="BL4" s="54" t="s">
        <v>467</v>
      </c>
      <c r="BM4" s="85"/>
      <c r="BN4" s="53"/>
      <c r="BO4" t="s">
        <v>743</v>
      </c>
      <c r="BP4" t="b">
        <v>1</v>
      </c>
      <c r="BS4" s="620" t="s">
        <v>743</v>
      </c>
      <c r="BT4" s="620" t="b">
        <v>1</v>
      </c>
      <c r="BW4" t="s">
        <v>743</v>
      </c>
      <c r="BX4" t="b">
        <v>1</v>
      </c>
      <c r="CA4" t="s">
        <v>1098</v>
      </c>
    </row>
    <row r="5" spans="1:83" x14ac:dyDescent="0.25">
      <c r="L5" t="s">
        <v>479</v>
      </c>
      <c r="P5" s="50" t="s">
        <v>424</v>
      </c>
      <c r="Q5" s="55"/>
      <c r="R5" s="55"/>
      <c r="S5" s="52" t="s">
        <v>424</v>
      </c>
      <c r="T5" s="58" t="s">
        <v>429</v>
      </c>
      <c r="U5" s="58" t="s">
        <v>430</v>
      </c>
      <c r="V5" s="58" t="s">
        <v>431</v>
      </c>
      <c r="W5" s="58" t="s">
        <v>432</v>
      </c>
      <c r="X5" s="58" t="s">
        <v>433</v>
      </c>
      <c r="Y5" s="52"/>
      <c r="Z5" s="58" t="s">
        <v>429</v>
      </c>
      <c r="AA5" s="58" t="s">
        <v>430</v>
      </c>
      <c r="AB5" s="52"/>
      <c r="AC5" s="58" t="s">
        <v>429</v>
      </c>
      <c r="AD5" s="58" t="s">
        <v>430</v>
      </c>
      <c r="AE5" s="53"/>
      <c r="AG5" s="106"/>
      <c r="AH5" s="109" t="s">
        <v>434</v>
      </c>
      <c r="AI5" s="110" t="s">
        <v>2</v>
      </c>
      <c r="AJ5" s="52" t="s">
        <v>424</v>
      </c>
      <c r="AK5" s="55" t="s">
        <v>429</v>
      </c>
      <c r="AL5" s="55" t="s">
        <v>430</v>
      </c>
      <c r="AM5" s="102"/>
      <c r="AN5" s="111" t="s">
        <v>429</v>
      </c>
      <c r="AO5" s="111" t="s">
        <v>431</v>
      </c>
      <c r="AP5" s="111" t="s">
        <v>432</v>
      </c>
      <c r="AQ5" s="111" t="s">
        <v>430</v>
      </c>
      <c r="AR5" s="111" t="s">
        <v>462</v>
      </c>
      <c r="AS5" s="102"/>
      <c r="AT5" s="112" t="s">
        <v>429</v>
      </c>
      <c r="AU5" s="55" t="s">
        <v>430</v>
      </c>
      <c r="AV5" s="55" t="s">
        <v>433</v>
      </c>
      <c r="AW5" s="108"/>
      <c r="AY5" s="50"/>
      <c r="AZ5" s="147" t="s">
        <v>434</v>
      </c>
      <c r="BA5" s="148" t="s">
        <v>2</v>
      </c>
      <c r="BB5" s="52"/>
      <c r="BC5" s="107" t="s">
        <v>429</v>
      </c>
      <c r="BD5" s="107" t="s">
        <v>430</v>
      </c>
      <c r="BE5" s="53"/>
      <c r="BH5" s="50"/>
      <c r="BI5" s="147" t="s">
        <v>434</v>
      </c>
      <c r="BJ5" s="148" t="s">
        <v>2</v>
      </c>
      <c r="BK5" s="52"/>
      <c r="BL5" s="107" t="s">
        <v>429</v>
      </c>
      <c r="BM5" s="107" t="s">
        <v>430</v>
      </c>
      <c r="BN5" s="53"/>
      <c r="BO5" t="s">
        <v>711</v>
      </c>
      <c r="BP5" t="s">
        <v>1099</v>
      </c>
      <c r="BS5" s="620" t="s">
        <v>711</v>
      </c>
      <c r="BT5" s="620" t="s">
        <v>1126</v>
      </c>
      <c r="BW5" t="s">
        <v>711</v>
      </c>
      <c r="BX5" t="s">
        <v>1623</v>
      </c>
    </row>
    <row r="6" spans="1:83" x14ac:dyDescent="0.25">
      <c r="P6" s="50"/>
      <c r="Q6" s="60" t="s">
        <v>434</v>
      </c>
      <c r="R6" s="61" t="s">
        <v>2</v>
      </c>
      <c r="S6" s="52" t="s">
        <v>424</v>
      </c>
      <c r="T6" s="62" t="str">
        <f>USD_DATA!H7</f>
        <v>ON</v>
      </c>
      <c r="U6" s="63">
        <f ca="1">USD_DATA!J7+$Z$1</f>
        <v>8.9999999999999998E-4</v>
      </c>
      <c r="V6" s="202"/>
      <c r="W6" s="64"/>
      <c r="X6" s="65" t="b">
        <v>1</v>
      </c>
      <c r="Y6" s="57"/>
      <c r="Z6" s="62" t="str">
        <f>USD_DATA!H27</f>
        <v>1Y</v>
      </c>
      <c r="AA6" s="66">
        <f ca="1">USD_DATA!J27</f>
        <v>1.8437499999999999E-3</v>
      </c>
      <c r="AB6" s="57"/>
      <c r="AC6" s="62" t="str">
        <f>USD_DATA!H39</f>
        <v>1Y</v>
      </c>
      <c r="AD6" s="66">
        <f ca="1">USD_DATA!J39+$Z$1</f>
        <v>2.4129999999999998E-3</v>
      </c>
      <c r="AE6" s="53"/>
      <c r="AG6" s="106"/>
      <c r="AH6" s="113" t="s">
        <v>435</v>
      </c>
      <c r="AI6" s="114" t="s">
        <v>463</v>
      </c>
      <c r="AJ6" s="52" t="s">
        <v>424</v>
      </c>
      <c r="AK6" s="115" t="str">
        <f>USD_DATA!M7</f>
        <v>1M</v>
      </c>
      <c r="AL6" s="120">
        <f ca="1">USD_DATA!R7</f>
        <v>1.555E-3</v>
      </c>
      <c r="AM6" s="52"/>
      <c r="AN6" s="162" t="str">
        <f ca="1">USD_DATA!N11</f>
        <v>ED1</v>
      </c>
      <c r="AO6" s="117">
        <f ca="1">USD_DATA!O11</f>
        <v>44090</v>
      </c>
      <c r="AP6" s="117">
        <f ca="1">USD_DATA!P11</f>
        <v>44181</v>
      </c>
      <c r="AQ6" s="118">
        <f ca="1">USD_DATA!R11</f>
        <v>99.754999999999995</v>
      </c>
      <c r="AR6" s="164">
        <f>$AR$1</f>
        <v>6.4298911291041346E-3</v>
      </c>
      <c r="AS6" s="52"/>
      <c r="AT6" s="116" t="s">
        <v>308</v>
      </c>
      <c r="AU6" s="124">
        <f ca="1">USD_DATA!R19</f>
        <v>2.2759999999999998E-3</v>
      </c>
      <c r="AV6" s="119" t="b">
        <v>1</v>
      </c>
      <c r="AW6" s="108"/>
      <c r="AY6" s="50"/>
      <c r="AZ6" s="149" t="s">
        <v>435</v>
      </c>
      <c r="BA6" s="150" t="s">
        <v>468</v>
      </c>
      <c r="BB6" s="52"/>
      <c r="BC6" s="62" t="str">
        <f>USD_DATA!U7</f>
        <v>1Y</v>
      </c>
      <c r="BD6" s="66">
        <f ca="1">USD_DATA!W7</f>
        <v>4.125E-4</v>
      </c>
      <c r="BE6" s="53"/>
      <c r="BH6" s="50"/>
      <c r="BI6" s="149" t="s">
        <v>435</v>
      </c>
      <c r="BJ6" s="150" t="s">
        <v>468</v>
      </c>
      <c r="BK6" s="52"/>
      <c r="BL6" s="62" t="s">
        <v>47</v>
      </c>
      <c r="BM6" s="66">
        <f ca="1">USD_DATA!AB7</f>
        <v>8.3750000000000003E-4</v>
      </c>
      <c r="BN6" s="53"/>
      <c r="BO6" t="s">
        <v>670</v>
      </c>
      <c r="BP6" s="444" t="str">
        <f>IF(BP4,_xll.meLWOCurveGeneratorCreate(BP5,BO9,BO10:BP18,BO21,BO22:BP26),"Disabled")</f>
        <v>USD_EURCSA@16:1</v>
      </c>
      <c r="BQ6" t="s">
        <v>424</v>
      </c>
      <c r="BS6" s="620" t="s">
        <v>670</v>
      </c>
      <c r="BT6" s="652" t="str">
        <f>IF(BT4,_xll.meLWOCurveGeneratorCreate(BT5,BS9,BS10:BT18,BS21,BS22:BT26),"Disabled")</f>
        <v>USD_JPYCSA@15:1</v>
      </c>
      <c r="BW6" t="s">
        <v>670</v>
      </c>
      <c r="BX6" s="444" t="str">
        <f>IF(BX4,_xll.meLWOCurveGeneratorCreate(BX5,BW9,BW10:BX18,BW21,BW22:BX26),"Disabled")</f>
        <v>USD_CNHCSA@14:1</v>
      </c>
    </row>
    <row r="7" spans="1:83" x14ac:dyDescent="0.25">
      <c r="K7" s="168" t="str">
        <f t="array" aca="1" ref="K7:N87" ca="1">_xll.meLWOCurveForwardRatesTable(L2,L3:L5,,,,,,"QUARTERLY")</f>
        <v>Fixing Dates</v>
      </c>
      <c r="L7" s="169" t="str">
        <f ca="1"/>
        <v>USDOIS</v>
      </c>
      <c r="M7" s="169" t="str">
        <f ca="1"/>
        <v>USD1ML</v>
      </c>
      <c r="N7" s="170" t="str">
        <f ca="1"/>
        <v>USD3ML</v>
      </c>
      <c r="P7" s="50"/>
      <c r="Q7" s="67" t="s">
        <v>435</v>
      </c>
      <c r="R7" s="68" t="s">
        <v>426</v>
      </c>
      <c r="S7" s="52" t="s">
        <v>424</v>
      </c>
      <c r="T7" s="69" t="str">
        <f>USD_DATA!H8</f>
        <v>1W</v>
      </c>
      <c r="U7" s="63">
        <f ca="1">USD_DATA!J8+$Z$1</f>
        <v>9.8999999999999999E-4</v>
      </c>
      <c r="V7" s="64"/>
      <c r="W7" s="64"/>
      <c r="X7" s="65" t="b">
        <v>1</v>
      </c>
      <c r="Y7" s="57"/>
      <c r="Z7" s="69" t="str">
        <f>USD_DATA!H28</f>
        <v>2Y</v>
      </c>
      <c r="AA7" s="71">
        <f ca="1">USD_DATA!J28</f>
        <v>1.90625E-3</v>
      </c>
      <c r="AB7" s="57"/>
      <c r="AC7" s="69" t="str">
        <f>USD_DATA!H40</f>
        <v>2Y</v>
      </c>
      <c r="AD7" s="66">
        <f ca="1">USD_DATA!J40+$Z$1</f>
        <v>2.2859999999999998E-3</v>
      </c>
      <c r="AE7" s="53"/>
      <c r="AG7" s="106"/>
      <c r="AH7" s="113" t="s">
        <v>438</v>
      </c>
      <c r="AI7" s="114" t="s">
        <v>458</v>
      </c>
      <c r="AJ7" s="52" t="s">
        <v>424</v>
      </c>
      <c r="AK7" s="101" t="str">
        <f>USD_DATA!M8</f>
        <v>3M</v>
      </c>
      <c r="AL7" s="120">
        <f ca="1">USD_DATA!R8</f>
        <v>2.4949999999999998E-3</v>
      </c>
      <c r="AM7" s="52"/>
      <c r="AN7" s="163" t="str">
        <f ca="1">USD_DATA!N12</f>
        <v>ED2</v>
      </c>
      <c r="AO7" s="122">
        <f ca="1">USD_DATA!O12</f>
        <v>44181</v>
      </c>
      <c r="AP7" s="122">
        <f ca="1">USD_DATA!P12</f>
        <v>44272</v>
      </c>
      <c r="AQ7" s="123">
        <f ca="1">USD_DATA!R12</f>
        <v>99.694999999999993</v>
      </c>
      <c r="AR7" s="165">
        <f>$AR$1</f>
        <v>6.4298911291041346E-3</v>
      </c>
      <c r="AS7" s="52"/>
      <c r="AT7" s="121" t="s">
        <v>316</v>
      </c>
      <c r="AU7" s="124">
        <f ca="1">USD_DATA!R20</f>
        <v>2.3749999999999999E-3</v>
      </c>
      <c r="AV7" s="125" t="b">
        <v>1</v>
      </c>
      <c r="AW7" s="108"/>
      <c r="AY7" s="50"/>
      <c r="AZ7" s="149" t="s">
        <v>438</v>
      </c>
      <c r="BA7" s="150" t="s">
        <v>459</v>
      </c>
      <c r="BB7" s="52"/>
      <c r="BC7" s="69" t="str">
        <f>USD_DATA!U8</f>
        <v>2Y</v>
      </c>
      <c r="BD7" s="71">
        <f ca="1">USD_DATA!W8</f>
        <v>6.625E-4</v>
      </c>
      <c r="BE7" s="53"/>
      <c r="BH7" s="50"/>
      <c r="BI7" s="149" t="s">
        <v>438</v>
      </c>
      <c r="BJ7" s="150" t="s">
        <v>794</v>
      </c>
      <c r="BK7" s="52"/>
      <c r="BL7" s="69" t="s">
        <v>308</v>
      </c>
      <c r="BM7" s="66">
        <f ca="1">USD_DATA!AB8</f>
        <v>8.3750000000000003E-4</v>
      </c>
      <c r="BN7" s="53"/>
      <c r="CA7" s="649" t="str">
        <f t="array" aca="1" ref="CA7:CD109" ca="1">_xll.meUtilityResize(_xll.meLWOCurveForwardRatesTable(CA1,CA2:CA5,,,,,,"MONTHLY"),144,5)</f>
        <v>Fixing Dates</v>
      </c>
      <c r="CB7" s="648" t="str">
        <f ca="1"/>
        <v>USDOIS</v>
      </c>
      <c r="CC7" s="648" t="str">
        <f ca="1"/>
        <v>USD3ML</v>
      </c>
      <c r="CD7" s="648" t="str">
        <f ca="1"/>
        <v>USDDF_JPYCSA</v>
      </c>
      <c r="CE7" s="648"/>
    </row>
    <row r="8" spans="1:83" x14ac:dyDescent="0.25">
      <c r="K8" s="171">
        <f ca="1"/>
        <v>44083</v>
      </c>
      <c r="L8" s="172">
        <f ca="1"/>
        <v>8.9999999996592805E-4</v>
      </c>
      <c r="M8" s="172">
        <f ca="1"/>
        <v>1.5533131377010179E-3</v>
      </c>
      <c r="N8" s="173">
        <f ca="1"/>
        <v>2.5130422484095521E-3</v>
      </c>
      <c r="P8" s="50"/>
      <c r="Q8" s="67" t="s">
        <v>438</v>
      </c>
      <c r="R8" s="68" t="s">
        <v>439</v>
      </c>
      <c r="S8" s="52" t="s">
        <v>424</v>
      </c>
      <c r="T8" s="69" t="str">
        <f>USD_DATA!H9</f>
        <v>2W</v>
      </c>
      <c r="U8" s="63">
        <f ca="1">USD_DATA!J9+$Z$1</f>
        <v>9.1E-4</v>
      </c>
      <c r="V8" s="64"/>
      <c r="W8" s="64"/>
      <c r="X8" s="65" t="b">
        <v>1</v>
      </c>
      <c r="Y8" s="57"/>
      <c r="Z8" s="69" t="str">
        <f>USD_DATA!H29</f>
        <v>3Y</v>
      </c>
      <c r="AA8" s="71">
        <f ca="1">USD_DATA!J29</f>
        <v>1.9624999999999998E-3</v>
      </c>
      <c r="AB8" s="57"/>
      <c r="AC8" s="69" t="str">
        <f>USD_DATA!H41</f>
        <v>3Y</v>
      </c>
      <c r="AD8" s="66">
        <f ca="1">USD_DATA!J41+$Z$1</f>
        <v>2.4039999999999999E-3</v>
      </c>
      <c r="AE8" s="53"/>
      <c r="AG8" s="106"/>
      <c r="AH8" s="113" t="s">
        <v>440</v>
      </c>
      <c r="AI8" s="126">
        <f ca="1">StaticData.Today</f>
        <v>44083</v>
      </c>
      <c r="AJ8" s="52" t="s">
        <v>424</v>
      </c>
      <c r="AK8" s="101" t="str">
        <f>USD_DATA!M9</f>
        <v>6M</v>
      </c>
      <c r="AL8" s="120">
        <f ca="1">USD_DATA!R9</f>
        <v>3.0100000000000001E-3</v>
      </c>
      <c r="AM8" s="52"/>
      <c r="AN8" s="163" t="str">
        <f ca="1">USD_DATA!N13</f>
        <v>ED3</v>
      </c>
      <c r="AO8" s="127">
        <f ca="1">USD_DATA!O13</f>
        <v>44272</v>
      </c>
      <c r="AP8" s="127">
        <f ca="1">USD_DATA!P13</f>
        <v>44363</v>
      </c>
      <c r="AQ8" s="123">
        <f ca="1">USD_DATA!R13</f>
        <v>99.79</v>
      </c>
      <c r="AR8" s="165">
        <f t="shared" ref="AR8:AR13" si="0">$AR$1</f>
        <v>6.4298911291041346E-3</v>
      </c>
      <c r="AS8" s="52"/>
      <c r="AT8" s="121" t="str">
        <f>USD_DATA!M21</f>
        <v>4Y</v>
      </c>
      <c r="AU8" s="124">
        <f ca="1">USD_DATA!R21</f>
        <v>2.6870000000000002E-3</v>
      </c>
      <c r="AV8" s="125" t="b">
        <v>1</v>
      </c>
      <c r="AW8" s="108"/>
      <c r="AY8" s="50"/>
      <c r="AZ8" s="151" t="s">
        <v>440</v>
      </c>
      <c r="BA8" s="152">
        <f ca="1">StaticData.Today</f>
        <v>44083</v>
      </c>
      <c r="BB8" s="52"/>
      <c r="BC8" s="69" t="str">
        <f>USD_DATA!U9</f>
        <v>3Y</v>
      </c>
      <c r="BD8" s="71">
        <f ca="1">USD_DATA!W9</f>
        <v>8.6249999999999999E-4</v>
      </c>
      <c r="BE8" s="53"/>
      <c r="BH8" s="50"/>
      <c r="BI8" s="151" t="s">
        <v>440</v>
      </c>
      <c r="BJ8" s="152">
        <f ca="1">StaticData.Today</f>
        <v>44083</v>
      </c>
      <c r="BK8" s="52"/>
      <c r="BL8" s="69" t="s">
        <v>316</v>
      </c>
      <c r="BM8" s="66">
        <f ca="1">USD_DATA!AB9</f>
        <v>9.2500000000000004E-4</v>
      </c>
      <c r="BN8" s="53"/>
      <c r="CA8" s="649">
        <f ca="1"/>
        <v>44083</v>
      </c>
      <c r="CB8" s="648">
        <f ca="1"/>
        <v>8.9999999996592795E-4</v>
      </c>
      <c r="CC8" s="648">
        <f ca="1"/>
        <v>2.5130422484095499E-3</v>
      </c>
      <c r="CD8" s="648">
        <f ca="1"/>
        <v>3.8222553198519198E-3</v>
      </c>
      <c r="CE8" s="648"/>
    </row>
    <row r="9" spans="1:83" x14ac:dyDescent="0.25">
      <c r="K9" s="171">
        <f ca="1"/>
        <v>44174</v>
      </c>
      <c r="L9" s="172">
        <f ca="1"/>
        <v>6.9270605227878229E-4</v>
      </c>
      <c r="M9" s="172">
        <f ca="1"/>
        <v>1.5998410183341732E-3</v>
      </c>
      <c r="N9" s="173">
        <f ca="1"/>
        <v>3.0008500667269549E-3</v>
      </c>
      <c r="P9" s="50"/>
      <c r="Q9" s="73" t="s">
        <v>440</v>
      </c>
      <c r="R9" s="74">
        <f ca="1">StaticData.Today</f>
        <v>44083</v>
      </c>
      <c r="S9" s="52" t="s">
        <v>424</v>
      </c>
      <c r="T9" s="69" t="str">
        <f>USD_DATA!H10</f>
        <v>3W</v>
      </c>
      <c r="U9" s="63">
        <f ca="1">USD_DATA!J10+$Z$1</f>
        <v>8.7999999999999992E-4</v>
      </c>
      <c r="V9" s="64"/>
      <c r="W9" s="64"/>
      <c r="X9" s="65" t="b">
        <v>1</v>
      </c>
      <c r="Y9" s="57"/>
      <c r="Z9" s="69" t="str">
        <f>USD_DATA!H30</f>
        <v>4Y</v>
      </c>
      <c r="AA9" s="71">
        <f ca="1">USD_DATA!J30</f>
        <v>1.9750000000000002E-3</v>
      </c>
      <c r="AB9" s="57"/>
      <c r="AC9" s="69" t="str">
        <f>USD_DATA!H42</f>
        <v>4Y</v>
      </c>
      <c r="AD9" s="66">
        <f ca="1">USD_DATA!J42+$Z$1</f>
        <v>2.7360000000000002E-3</v>
      </c>
      <c r="AE9" s="53"/>
      <c r="AG9" s="106"/>
      <c r="AH9" s="59"/>
      <c r="AI9" s="129"/>
      <c r="AJ9" s="52" t="s">
        <v>424</v>
      </c>
      <c r="AK9" s="101" t="str">
        <f>USD_DATA!M10</f>
        <v>12M</v>
      </c>
      <c r="AL9" s="120">
        <f ca="1">USD_DATA!R10</f>
        <v>4.2699999999999995E-3</v>
      </c>
      <c r="AM9" s="52"/>
      <c r="AN9" s="163" t="str">
        <f ca="1">USD_DATA!N14</f>
        <v>ED4</v>
      </c>
      <c r="AO9" s="127">
        <f ca="1">USD_DATA!O14</f>
        <v>44363</v>
      </c>
      <c r="AP9" s="127">
        <f ca="1">USD_DATA!P14</f>
        <v>44454</v>
      </c>
      <c r="AQ9" s="123">
        <f ca="1">USD_DATA!R14</f>
        <v>99.805000000000007</v>
      </c>
      <c r="AR9" s="165">
        <f t="shared" si="0"/>
        <v>6.4298911291041346E-3</v>
      </c>
      <c r="AS9" s="52"/>
      <c r="AT9" s="121" t="str">
        <f>USD_DATA!M22</f>
        <v>5Y</v>
      </c>
      <c r="AU9" s="124">
        <f ca="1">USD_DATA!R22</f>
        <v>3.2979999999999997E-3</v>
      </c>
      <c r="AV9" s="125" t="b">
        <v>1</v>
      </c>
      <c r="AW9" s="108"/>
      <c r="AY9" s="50"/>
      <c r="AZ9" s="52"/>
      <c r="BA9" s="146"/>
      <c r="BB9" s="52"/>
      <c r="BC9" s="69" t="str">
        <f>USD_DATA!U10</f>
        <v>4Y</v>
      </c>
      <c r="BD9" s="71">
        <f ca="1">USD_DATA!W10</f>
        <v>9.7499999999999996E-4</v>
      </c>
      <c r="BE9" s="53"/>
      <c r="BH9" s="50"/>
      <c r="BI9" s="52"/>
      <c r="BJ9" s="146"/>
      <c r="BK9" s="52"/>
      <c r="BL9" s="69" t="s">
        <v>324</v>
      </c>
      <c r="BM9" s="66">
        <f ca="1">USD_DATA!AB10</f>
        <v>9.6250000000000003E-4</v>
      </c>
      <c r="BN9" s="53"/>
      <c r="BO9" s="2" t="s">
        <v>671</v>
      </c>
      <c r="BS9" s="621" t="s">
        <v>671</v>
      </c>
      <c r="BW9" s="2" t="s">
        <v>671</v>
      </c>
      <c r="CA9" s="649">
        <f ca="1"/>
        <v>44113</v>
      </c>
      <c r="CB9" s="648">
        <f ca="1"/>
        <v>8.5008446314205398E-4</v>
      </c>
      <c r="CC9" s="648">
        <f ca="1"/>
        <v>2.6007512934797302E-3</v>
      </c>
      <c r="CD9" s="648">
        <f ca="1"/>
        <v>6.9991377116185296E-3</v>
      </c>
      <c r="CE9" s="648"/>
    </row>
    <row r="10" spans="1:83" x14ac:dyDescent="0.25">
      <c r="K10" s="171">
        <f ca="1"/>
        <v>44264</v>
      </c>
      <c r="L10" s="172">
        <f ca="1"/>
        <v>4.7517647424833055E-4</v>
      </c>
      <c r="M10" s="172">
        <f ca="1"/>
        <v>1.5930278628822003E-3</v>
      </c>
      <c r="N10" s="173">
        <f ca="1"/>
        <v>2.1752601903806783E-3</v>
      </c>
      <c r="P10" s="50"/>
      <c r="Q10" s="55"/>
      <c r="R10" s="55"/>
      <c r="S10" s="52" t="s">
        <v>424</v>
      </c>
      <c r="T10" s="69" t="str">
        <f>USD_DATA!H11</f>
        <v>1M</v>
      </c>
      <c r="U10" s="63">
        <f ca="1">USD_DATA!J11+$Z$1</f>
        <v>8.699999999999999E-4</v>
      </c>
      <c r="V10" s="64"/>
      <c r="W10" s="64"/>
      <c r="X10" s="65" t="b">
        <v>1</v>
      </c>
      <c r="Y10" s="57"/>
      <c r="Z10" s="69" t="str">
        <f>USD_DATA!H31</f>
        <v>5Y</v>
      </c>
      <c r="AA10" s="71">
        <f ca="1">USD_DATA!J31</f>
        <v>1.9499999999999999E-3</v>
      </c>
      <c r="AB10" s="57"/>
      <c r="AC10" s="69" t="str">
        <f>USD_DATA!H43</f>
        <v>5Y</v>
      </c>
      <c r="AD10" s="66">
        <f ca="1">USD_DATA!J43+$Z$1</f>
        <v>3.3E-3</v>
      </c>
      <c r="AE10" s="53"/>
      <c r="AG10" s="106"/>
      <c r="AH10" s="72"/>
      <c r="AI10" s="130"/>
      <c r="AJ10" s="52" t="s">
        <v>424</v>
      </c>
      <c r="AK10" s="131"/>
      <c r="AL10" s="132"/>
      <c r="AM10" s="52"/>
      <c r="AN10" s="163" t="str">
        <f ca="1">USD_DATA!N15</f>
        <v>ED5</v>
      </c>
      <c r="AO10" s="127">
        <f ca="1">USD_DATA!O15</f>
        <v>44454</v>
      </c>
      <c r="AP10" s="127">
        <f ca="1">USD_DATA!P15</f>
        <v>44545</v>
      </c>
      <c r="AQ10" s="123">
        <f ca="1">USD_DATA!R15</f>
        <v>99.795000000000002</v>
      </c>
      <c r="AR10" s="165">
        <f t="shared" si="0"/>
        <v>6.4298911291041346E-3</v>
      </c>
      <c r="AS10" s="52"/>
      <c r="AT10" s="121" t="str">
        <f>USD_DATA!M23</f>
        <v>6Y</v>
      </c>
      <c r="AU10" s="124">
        <f ca="1">USD_DATA!R23</f>
        <v>4.0169999999999997E-3</v>
      </c>
      <c r="AV10" s="125" t="b">
        <v>1</v>
      </c>
      <c r="AW10" s="108"/>
      <c r="AY10" s="50"/>
      <c r="AZ10" s="81" t="s">
        <v>469</v>
      </c>
      <c r="BA10" s="146"/>
      <c r="BB10" s="52"/>
      <c r="BC10" s="69" t="str">
        <f>USD_DATA!U11</f>
        <v>5Y</v>
      </c>
      <c r="BD10" s="71">
        <f ca="1">USD_DATA!W11</f>
        <v>1.0625000000000001E-3</v>
      </c>
      <c r="BE10" s="53"/>
      <c r="BH10" s="50"/>
      <c r="BI10" s="81" t="s">
        <v>469</v>
      </c>
      <c r="BJ10" s="146"/>
      <c r="BK10" s="52"/>
      <c r="BL10" s="69" t="s">
        <v>331</v>
      </c>
      <c r="BM10" s="66">
        <f ca="1">USD_DATA!AB11</f>
        <v>9.7499999999999996E-4</v>
      </c>
      <c r="BN10" s="53"/>
      <c r="BO10" t="s">
        <v>435</v>
      </c>
      <c r="BP10" t="s">
        <v>1084</v>
      </c>
      <c r="BS10" s="620" t="s">
        <v>435</v>
      </c>
      <c r="BT10" s="620" t="s">
        <v>1084</v>
      </c>
      <c r="BW10" t="s">
        <v>435</v>
      </c>
      <c r="BX10" t="s">
        <v>1084</v>
      </c>
      <c r="CA10" s="649">
        <f ca="1"/>
        <v>44144</v>
      </c>
      <c r="CB10" s="648">
        <f ca="1"/>
        <v>7.5666832088039598E-4</v>
      </c>
      <c r="CC10" s="648">
        <f ca="1"/>
        <v>2.8040801782447098E-3</v>
      </c>
      <c r="CD10" s="648">
        <f ca="1"/>
        <v>2.0950701954891601E-3</v>
      </c>
      <c r="CE10" s="648"/>
    </row>
    <row r="11" spans="1:83" x14ac:dyDescent="0.25">
      <c r="K11" s="171">
        <f ca="1"/>
        <v>44356</v>
      </c>
      <c r="L11" s="172">
        <f ca="1"/>
        <v>4.0178978328420242E-4</v>
      </c>
      <c r="M11" s="172">
        <f ca="1"/>
        <v>1.5270432327829646E-3</v>
      </c>
      <c r="N11" s="173">
        <f ca="1"/>
        <v>1.9461909380172583E-3</v>
      </c>
      <c r="P11" s="50"/>
      <c r="Q11" s="52"/>
      <c r="R11" s="52"/>
      <c r="S11" s="52" t="s">
        <v>424</v>
      </c>
      <c r="T11" s="69" t="str">
        <f>USD_DATA!H12</f>
        <v>2M</v>
      </c>
      <c r="U11" s="63">
        <f ca="1">USD_DATA!J12+$Z$1</f>
        <v>8.2799999999999996E-4</v>
      </c>
      <c r="V11" s="64"/>
      <c r="W11" s="64"/>
      <c r="X11" s="65" t="b">
        <v>1</v>
      </c>
      <c r="Y11" s="57"/>
      <c r="Z11" s="69" t="str">
        <f>USD_DATA!H32</f>
        <v>7Y</v>
      </c>
      <c r="AA11" s="71">
        <f ca="1">USD_DATA!J32</f>
        <v>1.9750000000000002E-3</v>
      </c>
      <c r="AB11" s="57"/>
      <c r="AC11" s="69" t="str">
        <f>USD_DATA!H44</f>
        <v>7Y</v>
      </c>
      <c r="AD11" s="66">
        <f ca="1">USD_DATA!J44+$Z$1</f>
        <v>4.7429999999999998E-3</v>
      </c>
      <c r="AE11" s="53"/>
      <c r="AG11" s="106"/>
      <c r="AH11" s="52"/>
      <c r="AI11" s="52"/>
      <c r="AJ11" s="52" t="s">
        <v>424</v>
      </c>
      <c r="AK11" s="52"/>
      <c r="AL11" s="52"/>
      <c r="AM11" s="52"/>
      <c r="AN11" s="163" t="str">
        <f ca="1">USD_DATA!N16</f>
        <v>ED6</v>
      </c>
      <c r="AO11" s="127">
        <f ca="1">USD_DATA!O16</f>
        <v>44545</v>
      </c>
      <c r="AP11" s="127">
        <f ca="1">USD_DATA!P16</f>
        <v>44636</v>
      </c>
      <c r="AQ11" s="123">
        <f ca="1">USD_DATA!R16</f>
        <v>99.77</v>
      </c>
      <c r="AR11" s="165">
        <f t="shared" si="0"/>
        <v>6.4298911291041346E-3</v>
      </c>
      <c r="AS11" s="52"/>
      <c r="AT11" s="121" t="str">
        <f>USD_DATA!M24</f>
        <v>7Y</v>
      </c>
      <c r="AU11" s="124">
        <f ca="1">USD_DATA!R24</f>
        <v>4.7539999999999995E-3</v>
      </c>
      <c r="AV11" s="125" t="b">
        <v>1</v>
      </c>
      <c r="AW11" s="108"/>
      <c r="AY11" s="50"/>
      <c r="AZ11" s="147" t="s">
        <v>442</v>
      </c>
      <c r="BA11" s="148" t="s">
        <v>470</v>
      </c>
      <c r="BB11" s="52"/>
      <c r="BC11" s="69" t="str">
        <f>USD_DATA!U12</f>
        <v>6Y</v>
      </c>
      <c r="BD11" s="71">
        <f ca="1">USD_DATA!W12</f>
        <v>1.1125E-3</v>
      </c>
      <c r="BE11" s="53"/>
      <c r="BH11" s="50"/>
      <c r="BI11" s="147" t="s">
        <v>442</v>
      </c>
      <c r="BJ11" s="148" t="s">
        <v>1542</v>
      </c>
      <c r="BK11" s="52"/>
      <c r="BL11" s="69" t="s">
        <v>339</v>
      </c>
      <c r="BM11" s="66">
        <f ca="1">USD_DATA!AB12</f>
        <v>9.875000000000001E-4</v>
      </c>
      <c r="BN11" s="53"/>
      <c r="BO11" t="s">
        <v>438</v>
      </c>
      <c r="BP11" t="s">
        <v>439</v>
      </c>
      <c r="BS11" s="620" t="s">
        <v>438</v>
      </c>
      <c r="BT11" s="620" t="s">
        <v>439</v>
      </c>
      <c r="BW11" t="s">
        <v>438</v>
      </c>
      <c r="BX11" t="s">
        <v>439</v>
      </c>
      <c r="CA11" s="649">
        <f ca="1"/>
        <v>44174</v>
      </c>
      <c r="CB11" s="648">
        <f ca="1"/>
        <v>6.9270605227878196E-4</v>
      </c>
      <c r="CC11" s="648">
        <f ca="1"/>
        <v>3.0008500667269501E-3</v>
      </c>
      <c r="CD11" s="648">
        <f ca="1"/>
        <v>9.0023470075273598E-3</v>
      </c>
      <c r="CE11" s="648"/>
    </row>
    <row r="12" spans="1:83" x14ac:dyDescent="0.25">
      <c r="K12" s="171">
        <f ca="1"/>
        <v>44448</v>
      </c>
      <c r="L12" s="172">
        <f ca="1"/>
        <v>2.5860790165310824E-4</v>
      </c>
      <c r="M12" s="172">
        <f ca="1"/>
        <v>1.4001729468585114E-3</v>
      </c>
      <c r="N12" s="173">
        <f ca="1"/>
        <v>2.0183813833559777E-3</v>
      </c>
      <c r="P12" s="50"/>
      <c r="Q12" s="78" t="s">
        <v>441</v>
      </c>
      <c r="R12" s="55"/>
      <c r="S12" s="52" t="s">
        <v>424</v>
      </c>
      <c r="T12" s="69" t="str">
        <f>USD_DATA!H13</f>
        <v>3M</v>
      </c>
      <c r="U12" s="63">
        <f ca="1">USD_DATA!J13+$Z$1</f>
        <v>7.9799999999999999E-4</v>
      </c>
      <c r="V12" s="64"/>
      <c r="W12" s="64"/>
      <c r="X12" s="65" t="b">
        <v>1</v>
      </c>
      <c r="Y12" s="57"/>
      <c r="Z12" s="69" t="str">
        <f>USD_DATA!H33</f>
        <v>10Y</v>
      </c>
      <c r="AA12" s="71">
        <f ca="1">USD_DATA!J33</f>
        <v>1.9750000000000002E-3</v>
      </c>
      <c r="AB12" s="57"/>
      <c r="AC12" s="69" t="str">
        <f>USD_DATA!H45</f>
        <v>10Y</v>
      </c>
      <c r="AD12" s="66">
        <f ca="1">USD_DATA!J45+$Z$1</f>
        <v>6.7520000000000002E-3</v>
      </c>
      <c r="AE12" s="53"/>
      <c r="AG12" s="106"/>
      <c r="AH12" s="78" t="s">
        <v>441</v>
      </c>
      <c r="AI12" s="55"/>
      <c r="AJ12" s="52" t="s">
        <v>424</v>
      </c>
      <c r="AK12" s="52"/>
      <c r="AL12" s="52"/>
      <c r="AM12" s="52"/>
      <c r="AN12" s="163" t="str">
        <f ca="1">USD_DATA!N17</f>
        <v>ED7</v>
      </c>
      <c r="AO12" s="127">
        <f ca="1">USD_DATA!O17</f>
        <v>44636</v>
      </c>
      <c r="AP12" s="127">
        <f ca="1">USD_DATA!P17</f>
        <v>44727</v>
      </c>
      <c r="AQ12" s="123">
        <f ca="1">USD_DATA!R17</f>
        <v>99.79</v>
      </c>
      <c r="AR12" s="165">
        <f t="shared" si="0"/>
        <v>6.4298911291041346E-3</v>
      </c>
      <c r="AS12" s="52"/>
      <c r="AT12" s="121" t="str">
        <f>USD_DATA!M25</f>
        <v>8Y</v>
      </c>
      <c r="AU12" s="124">
        <f ca="1">USD_DATA!R25</f>
        <v>5.4549999999999998E-3</v>
      </c>
      <c r="AV12" s="125" t="b">
        <v>1</v>
      </c>
      <c r="AW12" s="108"/>
      <c r="AY12" s="50"/>
      <c r="AZ12" s="149" t="s">
        <v>444</v>
      </c>
      <c r="BA12" s="153" t="str">
        <f ca="1">_xll.meLWOCurveMarketDataCreate(BA11,AZ4,AZ5:BA8,BC4,BC6:BD22)</f>
        <v>USD_BASIS_3X6_MARKETDATA@42:3</v>
      </c>
      <c r="BB12" s="52"/>
      <c r="BC12" s="69" t="str">
        <f>USD_DATA!U13</f>
        <v>7Y</v>
      </c>
      <c r="BD12" s="71">
        <f ca="1">USD_DATA!W13</f>
        <v>1.1624999999999999E-3</v>
      </c>
      <c r="BE12" s="53"/>
      <c r="BH12" s="50"/>
      <c r="BI12" s="149" t="s">
        <v>444</v>
      </c>
      <c r="BJ12" s="153" t="str">
        <f ca="1">_xll.meLWOCurveMarketDataCreate(BJ11,BI4,BI5:BJ8,BL4,BL6:BM22)</f>
        <v>USD_BASIS_1X3_MARKETDATA@41:3</v>
      </c>
      <c r="BK12" s="52"/>
      <c r="BL12" s="69" t="s">
        <v>342</v>
      </c>
      <c r="BM12" s="66">
        <f ca="1">USD_DATA!AB13</f>
        <v>1E-3</v>
      </c>
      <c r="BN12" s="53"/>
      <c r="BO12" t="s">
        <v>672</v>
      </c>
      <c r="BP12" t="s">
        <v>1092</v>
      </c>
      <c r="BS12" s="620" t="s">
        <v>672</v>
      </c>
      <c r="BT12" s="620" t="s">
        <v>1127</v>
      </c>
      <c r="BW12" t="s">
        <v>672</v>
      </c>
      <c r="BX12" t="s">
        <v>1653</v>
      </c>
      <c r="CA12" s="649">
        <f ca="1"/>
        <v>44207</v>
      </c>
      <c r="CB12" s="648">
        <f ca="1"/>
        <v>6.1866709251568103E-4</v>
      </c>
      <c r="CC12" s="648">
        <f ca="1"/>
        <v>2.7740380017145299E-3</v>
      </c>
      <c r="CD12" s="648">
        <f ca="1"/>
        <v>1.00593854179288E-2</v>
      </c>
      <c r="CE12" s="648"/>
    </row>
    <row r="13" spans="1:83" x14ac:dyDescent="0.25">
      <c r="K13" s="171">
        <f ca="1"/>
        <v>44539</v>
      </c>
      <c r="L13" s="172">
        <f ca="1"/>
        <v>1.6907877362193406E-4</v>
      </c>
      <c r="M13" s="172">
        <f ca="1"/>
        <v>1.2835165706345777E-3</v>
      </c>
      <c r="N13" s="173">
        <f ca="1"/>
        <v>2.2463226547850684E-3</v>
      </c>
      <c r="P13" s="50"/>
      <c r="Q13" s="51" t="s">
        <v>442</v>
      </c>
      <c r="R13" s="79" t="s">
        <v>443</v>
      </c>
      <c r="S13" s="52" t="s">
        <v>424</v>
      </c>
      <c r="T13" s="69" t="str">
        <f>USD_DATA!H14</f>
        <v>4M</v>
      </c>
      <c r="U13" s="63">
        <f ca="1">USD_DATA!J14+$Z$1</f>
        <v>7.5700000000000008E-4</v>
      </c>
      <c r="V13" s="64"/>
      <c r="W13" s="64"/>
      <c r="X13" s="65" t="b">
        <v>1</v>
      </c>
      <c r="Y13" s="57"/>
      <c r="Z13" s="69" t="str">
        <f>USD_DATA!H34</f>
        <v>12Y</v>
      </c>
      <c r="AA13" s="71">
        <f ca="1">USD_DATA!J34</f>
        <v>1.9624999999999998E-3</v>
      </c>
      <c r="AB13" s="57"/>
      <c r="AC13" s="69" t="str">
        <f>USD_DATA!H46</f>
        <v>12Y</v>
      </c>
      <c r="AD13" s="66">
        <f ca="1">USD_DATA!J46+$Z$1</f>
        <v>7.7400000000000004E-3</v>
      </c>
      <c r="AE13" s="53"/>
      <c r="AG13" s="106"/>
      <c r="AH13" s="51" t="s">
        <v>442</v>
      </c>
      <c r="AI13" s="79" t="s">
        <v>464</v>
      </c>
      <c r="AJ13" s="52" t="s">
        <v>424</v>
      </c>
      <c r="AK13" s="52"/>
      <c r="AL13" s="52"/>
      <c r="AM13" s="52"/>
      <c r="AN13" s="163" t="str">
        <f ca="1">USD_DATA!N18</f>
        <v>ED8</v>
      </c>
      <c r="AO13" s="127">
        <f ca="1">USD_DATA!O18</f>
        <v>44727</v>
      </c>
      <c r="AP13" s="127">
        <f ca="1">USD_DATA!P18</f>
        <v>44825</v>
      </c>
      <c r="AQ13" s="123">
        <f ca="1">USD_DATA!R18</f>
        <v>99.784999999999997</v>
      </c>
      <c r="AR13" s="165">
        <f t="shared" si="0"/>
        <v>6.4298911291041346E-3</v>
      </c>
      <c r="AS13" s="52"/>
      <c r="AT13" s="121" t="str">
        <f>USD_DATA!M26</f>
        <v>9Y</v>
      </c>
      <c r="AU13" s="124">
        <f ca="1">USD_DATA!R26</f>
        <v>6.1370000000000001E-3</v>
      </c>
      <c r="AV13" s="125" t="b">
        <v>1</v>
      </c>
      <c r="AW13" s="108"/>
      <c r="AY13" s="50"/>
      <c r="AZ13" s="151"/>
      <c r="BA13" s="154"/>
      <c r="BB13" s="52"/>
      <c r="BC13" s="69" t="str">
        <f>USD_DATA!U14</f>
        <v>8Y</v>
      </c>
      <c r="BD13" s="71">
        <f ca="1">USD_DATA!W14</f>
        <v>1.1999999999999999E-3</v>
      </c>
      <c r="BE13" s="53"/>
      <c r="BH13" s="50"/>
      <c r="BI13" s="151"/>
      <c r="BJ13" s="154"/>
      <c r="BK13" s="52"/>
      <c r="BL13" s="69" t="s">
        <v>355</v>
      </c>
      <c r="BM13" s="66">
        <f ca="1">USD_DATA!AB14</f>
        <v>1.0124999999999999E-3</v>
      </c>
      <c r="BN13" s="53"/>
      <c r="BO13" t="s">
        <v>673</v>
      </c>
      <c r="BP13" t="s">
        <v>1094</v>
      </c>
      <c r="BS13" s="620" t="s">
        <v>673</v>
      </c>
      <c r="BT13" s="620" t="s">
        <v>1098</v>
      </c>
      <c r="BW13" t="s">
        <v>673</v>
      </c>
      <c r="BX13" t="s">
        <v>1624</v>
      </c>
      <c r="CA13" s="649">
        <f ca="1"/>
        <v>44236</v>
      </c>
      <c r="CB13" s="648">
        <f ca="1"/>
        <v>5.5552472102427203E-4</v>
      </c>
      <c r="CC13" s="648">
        <f ca="1"/>
        <v>2.46939665910608E-3</v>
      </c>
      <c r="CD13" s="648">
        <f ca="1"/>
        <v>2.52715102092794E-3</v>
      </c>
      <c r="CE13" s="648"/>
    </row>
    <row r="14" spans="1:83" x14ac:dyDescent="0.25">
      <c r="K14" s="171">
        <f ca="1"/>
        <v>44629</v>
      </c>
      <c r="L14" s="172">
        <f ca="1"/>
        <v>1.2718440268955124E-4</v>
      </c>
      <c r="M14" s="172">
        <f ca="1"/>
        <v>1.2167004561458568E-3</v>
      </c>
      <c r="N14" s="173">
        <f ca="1"/>
        <v>2.0635650248747891E-3</v>
      </c>
      <c r="P14" s="50"/>
      <c r="Q14" s="72" t="s">
        <v>444</v>
      </c>
      <c r="R14" s="80" t="str">
        <f ca="1">_xll.meLWOCurveMarketDataCreate(R13,Q4,Q6:R9,"OIS",T6:X31,"LIBOROISBASISSPREADS",Z6:AA31,"SWAPS",AC6:AD31)</f>
        <v>USD_OIS_CURVE_MARKETDATA@45:3</v>
      </c>
      <c r="S14" s="52" t="s">
        <v>424</v>
      </c>
      <c r="T14" s="69" t="str">
        <f>USD_DATA!H15</f>
        <v>5M</v>
      </c>
      <c r="U14" s="63">
        <f ca="1">USD_DATA!J15+$Z$1</f>
        <v>7.2499999999999995E-4</v>
      </c>
      <c r="V14" s="64"/>
      <c r="W14" s="64"/>
      <c r="X14" s="65" t="b">
        <v>1</v>
      </c>
      <c r="Y14" s="57"/>
      <c r="Z14" s="69" t="str">
        <f>USD_DATA!H35</f>
        <v>15Y</v>
      </c>
      <c r="AA14" s="71">
        <f ca="1">USD_DATA!J35</f>
        <v>1.9375E-3</v>
      </c>
      <c r="AB14" s="57"/>
      <c r="AC14" s="69" t="str">
        <f>USD_DATA!H47</f>
        <v>15Y</v>
      </c>
      <c r="AD14" s="66">
        <f ca="1">USD_DATA!J47+$Z$1</f>
        <v>8.7530000000000004E-3</v>
      </c>
      <c r="AE14" s="53"/>
      <c r="AG14" s="106"/>
      <c r="AH14" s="72" t="s">
        <v>444</v>
      </c>
      <c r="AI14" s="80" t="str">
        <f ca="1">_xll.meLWOCurveMarketDataCreate(AI13,AH4,AH5:AI10,AK4,AK6:AL10,AN4,AN6:AR31,AT4,AT6:AV32)</f>
        <v>USD_SWAP_3M_CURVE_MARKETDATA@44:3</v>
      </c>
      <c r="AJ14" s="52" t="s">
        <v>424</v>
      </c>
      <c r="AK14" s="52"/>
      <c r="AL14" s="52"/>
      <c r="AM14" s="52"/>
      <c r="AN14" s="121"/>
      <c r="AO14" s="127"/>
      <c r="AP14" s="127"/>
      <c r="AQ14" s="123"/>
      <c r="AR14" s="128"/>
      <c r="AS14" s="52"/>
      <c r="AT14" s="121" t="str">
        <f>USD_DATA!M27</f>
        <v>10Y</v>
      </c>
      <c r="AU14" s="124">
        <f ca="1">USD_DATA!R27</f>
        <v>6.7469999999999995E-3</v>
      </c>
      <c r="AV14" s="125" t="b">
        <v>1</v>
      </c>
      <c r="AW14" s="108"/>
      <c r="AY14" s="50"/>
      <c r="AZ14" s="52"/>
      <c r="BA14" s="146"/>
      <c r="BB14" s="52"/>
      <c r="BC14" s="69" t="str">
        <f>USD_DATA!U15</f>
        <v>9Y</v>
      </c>
      <c r="BD14" s="71">
        <f ca="1">USD_DATA!W15</f>
        <v>1.225E-3</v>
      </c>
      <c r="BE14" s="53"/>
      <c r="BH14" s="50"/>
      <c r="BI14" s="52"/>
      <c r="BJ14" s="146"/>
      <c r="BK14" s="52"/>
      <c r="BL14" s="69" t="s">
        <v>364</v>
      </c>
      <c r="BM14" s="66">
        <f ca="1">USD_DATA!AB15</f>
        <v>1.0250000000000001E-3</v>
      </c>
      <c r="BN14" s="53"/>
      <c r="BO14" t="s">
        <v>434</v>
      </c>
      <c r="BP14" t="s">
        <v>2</v>
      </c>
      <c r="BS14" s="620" t="s">
        <v>434</v>
      </c>
      <c r="BT14" s="620" t="s">
        <v>2</v>
      </c>
      <c r="BW14" t="s">
        <v>434</v>
      </c>
      <c r="BX14" t="s">
        <v>2</v>
      </c>
      <c r="CA14" s="649">
        <f ca="1"/>
        <v>44264</v>
      </c>
      <c r="CB14" s="648">
        <f ca="1"/>
        <v>4.7517647424833099E-4</v>
      </c>
      <c r="CC14" s="648">
        <f ca="1"/>
        <v>2.17526019038068E-3</v>
      </c>
      <c r="CD14" s="648">
        <f ca="1"/>
        <v>4.8900362273851701E-3</v>
      </c>
      <c r="CE14" s="648"/>
    </row>
    <row r="15" spans="1:83" x14ac:dyDescent="0.25">
      <c r="K15" s="171">
        <f ca="1"/>
        <v>44721</v>
      </c>
      <c r="L15" s="172">
        <f ca="1"/>
        <v>1.2974763791362466E-4</v>
      </c>
      <c r="M15" s="172">
        <f ca="1"/>
        <v>1.1989742276807807E-3</v>
      </c>
      <c r="N15" s="173">
        <f ca="1"/>
        <v>2.0403234844205095E-3</v>
      </c>
      <c r="P15" s="50"/>
      <c r="Q15" s="52"/>
      <c r="R15" s="52"/>
      <c r="S15" s="52" t="s">
        <v>424</v>
      </c>
      <c r="T15" s="69" t="str">
        <f>USD_DATA!H16</f>
        <v>6M</v>
      </c>
      <c r="U15" s="63">
        <f ca="1">USD_DATA!J16+$Z$1</f>
        <v>6.9000000000000008E-4</v>
      </c>
      <c r="V15" s="64"/>
      <c r="W15" s="64"/>
      <c r="X15" s="65" t="b">
        <v>1</v>
      </c>
      <c r="Y15" s="57"/>
      <c r="Z15" s="69" t="str">
        <f>USD_DATA!H36</f>
        <v>20Y</v>
      </c>
      <c r="AA15" s="71">
        <f ca="1">USD_DATA!J36</f>
        <v>1.9187500000000001E-3</v>
      </c>
      <c r="AB15" s="57"/>
      <c r="AC15" s="69" t="str">
        <f>USD_DATA!H48</f>
        <v>20Y</v>
      </c>
      <c r="AD15" s="66">
        <f ca="1">USD_DATA!J48+$Z$1</f>
        <v>9.757E-3</v>
      </c>
      <c r="AE15" s="53"/>
      <c r="AG15" s="106"/>
      <c r="AH15" s="52"/>
      <c r="AI15" s="52"/>
      <c r="AJ15" s="52" t="s">
        <v>424</v>
      </c>
      <c r="AK15" s="52"/>
      <c r="AL15" s="52"/>
      <c r="AM15" s="52"/>
      <c r="AN15" s="121"/>
      <c r="AO15" s="127"/>
      <c r="AP15" s="127"/>
      <c r="AQ15" s="123"/>
      <c r="AR15" s="128"/>
      <c r="AS15" s="52"/>
      <c r="AT15" s="121" t="str">
        <f>USD_DATA!M28</f>
        <v>12Y</v>
      </c>
      <c r="AU15" s="124">
        <f ca="1">USD_DATA!R28</f>
        <v>7.7480000000000005E-3</v>
      </c>
      <c r="AV15" s="125" t="b">
        <v>1</v>
      </c>
      <c r="AW15" s="108"/>
      <c r="AY15" s="50"/>
      <c r="AZ15" s="81" t="s">
        <v>471</v>
      </c>
      <c r="BA15" s="146"/>
      <c r="BB15" s="52"/>
      <c r="BC15" s="69" t="str">
        <f>USD_DATA!U16</f>
        <v>10Y</v>
      </c>
      <c r="BD15" s="71">
        <f ca="1">USD_DATA!W16</f>
        <v>1.25E-3</v>
      </c>
      <c r="BE15" s="53"/>
      <c r="BH15" s="50"/>
      <c r="BI15" s="81" t="s">
        <v>471</v>
      </c>
      <c r="BJ15" s="146"/>
      <c r="BK15" s="52"/>
      <c r="BL15" s="69" t="s">
        <v>349</v>
      </c>
      <c r="BM15" s="66">
        <f ca="1">USD_DATA!AB16</f>
        <v>1.0250000000000001E-3</v>
      </c>
      <c r="BN15" s="53"/>
      <c r="BO15" t="s">
        <v>674</v>
      </c>
      <c r="BP15" t="s">
        <v>1655</v>
      </c>
      <c r="BS15" s="620" t="s">
        <v>674</v>
      </c>
      <c r="BT15" s="620" t="s">
        <v>1655</v>
      </c>
      <c r="BW15" t="s">
        <v>674</v>
      </c>
      <c r="BX15" s="620" t="s">
        <v>1655</v>
      </c>
      <c r="CA15" s="649">
        <f ca="1"/>
        <v>44295</v>
      </c>
      <c r="CB15" s="648">
        <f ca="1"/>
        <v>4.7028254770431699E-4</v>
      </c>
      <c r="CC15" s="648">
        <f ca="1"/>
        <v>2.0520432077541502E-3</v>
      </c>
      <c r="CD15" s="648">
        <f ca="1"/>
        <v>4.8995879406987996E-3</v>
      </c>
      <c r="CE15" s="648"/>
    </row>
    <row r="16" spans="1:83" x14ac:dyDescent="0.25">
      <c r="K16" s="171">
        <f ca="1"/>
        <v>44813</v>
      </c>
      <c r="L16" s="172">
        <f ca="1"/>
        <v>1.8711744878885451E-4</v>
      </c>
      <c r="M16" s="172">
        <f ca="1"/>
        <v>1.231281242097383E-3</v>
      </c>
      <c r="N16" s="173">
        <f ca="1"/>
        <v>2.2163087332301799E-3</v>
      </c>
      <c r="P16" s="50"/>
      <c r="Q16" s="52"/>
      <c r="R16" s="52"/>
      <c r="S16" s="52" t="s">
        <v>424</v>
      </c>
      <c r="T16" s="69" t="str">
        <f>USD_DATA!H17</f>
        <v>9M</v>
      </c>
      <c r="U16" s="63">
        <f ca="1">USD_DATA!J17+$Z$1</f>
        <v>6.0999999999999997E-4</v>
      </c>
      <c r="V16" s="64"/>
      <c r="W16" s="64"/>
      <c r="X16" s="65" t="b">
        <v>1</v>
      </c>
      <c r="Y16" s="57"/>
      <c r="Z16" s="69" t="str">
        <f>USD_DATA!H37</f>
        <v>25Y</v>
      </c>
      <c r="AA16" s="71">
        <f ca="1">USD_DATA!J37</f>
        <v>1.8920000000000002E-3</v>
      </c>
      <c r="AB16" s="57"/>
      <c r="AC16" s="69" t="str">
        <f>USD_DATA!H49</f>
        <v>25Y</v>
      </c>
      <c r="AD16" s="66">
        <f ca="1">USD_DATA!J49+$Z$1</f>
        <v>1.0141000000000001E-2</v>
      </c>
      <c r="AE16" s="53"/>
      <c r="AG16" s="106"/>
      <c r="AH16" s="52"/>
      <c r="AI16" s="52"/>
      <c r="AJ16" s="52" t="s">
        <v>424</v>
      </c>
      <c r="AK16" s="52"/>
      <c r="AL16" s="52"/>
      <c r="AM16" s="52"/>
      <c r="AN16" s="121"/>
      <c r="AO16" s="127"/>
      <c r="AP16" s="127"/>
      <c r="AQ16" s="123"/>
      <c r="AR16" s="128"/>
      <c r="AS16" s="52"/>
      <c r="AT16" s="121" t="str">
        <f>USD_DATA!M29</f>
        <v>15Y</v>
      </c>
      <c r="AU16" s="124">
        <f ca="1">USD_DATA!R29</f>
        <v>8.761999999999999E-3</v>
      </c>
      <c r="AV16" s="125" t="b">
        <v>1</v>
      </c>
      <c r="AW16" s="108"/>
      <c r="AY16" s="50"/>
      <c r="AZ16" s="147" t="s">
        <v>472</v>
      </c>
      <c r="BA16" s="148" t="s">
        <v>473</v>
      </c>
      <c r="BB16" s="52"/>
      <c r="BC16" s="69" t="str">
        <f>USD_DATA!U17</f>
        <v>12Y</v>
      </c>
      <c r="BD16" s="71">
        <f ca="1">USD_DATA!W17</f>
        <v>1.2999999999999999E-3</v>
      </c>
      <c r="BE16" s="53"/>
      <c r="BH16" s="50"/>
      <c r="BI16" s="147" t="s">
        <v>472</v>
      </c>
      <c r="BJ16" s="148" t="s">
        <v>1544</v>
      </c>
      <c r="BK16" s="52"/>
      <c r="BL16" s="69" t="s">
        <v>358</v>
      </c>
      <c r="BM16" s="66">
        <f ca="1">USD_DATA!AB17</f>
        <v>1.0375E-3</v>
      </c>
      <c r="BN16" s="53"/>
      <c r="BO16" t="s">
        <v>676</v>
      </c>
      <c r="BP16" s="620" t="s">
        <v>1655</v>
      </c>
      <c r="BS16" s="620" t="s">
        <v>676</v>
      </c>
      <c r="BT16" s="620" t="s">
        <v>1655</v>
      </c>
      <c r="BW16" t="s">
        <v>676</v>
      </c>
      <c r="BX16" s="620" t="s">
        <v>1655</v>
      </c>
      <c r="CA16" s="649">
        <f ca="1"/>
        <v>44326</v>
      </c>
      <c r="CB16" s="648">
        <f ca="1"/>
        <v>4.45792766701205E-4</v>
      </c>
      <c r="CC16" s="648">
        <f ca="1"/>
        <v>1.9982494313304801E-3</v>
      </c>
      <c r="CD16" s="648">
        <f ca="1"/>
        <v>4.9338392767328699E-3</v>
      </c>
      <c r="CE16" s="648"/>
    </row>
    <row r="17" spans="11:83" x14ac:dyDescent="0.25">
      <c r="K17" s="171">
        <f ca="1"/>
        <v>44904</v>
      </c>
      <c r="L17" s="172">
        <f ca="1"/>
        <v>2.9718977361703583E-4</v>
      </c>
      <c r="M17" s="172">
        <f ca="1"/>
        <v>1.3085272820077397E-3</v>
      </c>
      <c r="N17" s="173">
        <f ca="1"/>
        <v>2.4389982069795728E-3</v>
      </c>
      <c r="P17" s="50"/>
      <c r="Q17" s="52"/>
      <c r="R17" s="52"/>
      <c r="S17" s="52" t="s">
        <v>424</v>
      </c>
      <c r="T17" s="69" t="str">
        <f>USD_DATA!H18</f>
        <v>1Y</v>
      </c>
      <c r="U17" s="70">
        <f ca="1">USD_DATA!J18</f>
        <v>5.2999999999999998E-4</v>
      </c>
      <c r="V17" s="64"/>
      <c r="W17" s="64"/>
      <c r="X17" s="65" t="b">
        <v>1</v>
      </c>
      <c r="Y17" s="57"/>
      <c r="Z17" s="69" t="str">
        <f>USD_DATA!H38</f>
        <v>30Y</v>
      </c>
      <c r="AA17" s="71">
        <f ca="1">USD_DATA!J38</f>
        <v>1.9E-3</v>
      </c>
      <c r="AB17" s="57"/>
      <c r="AC17" s="69" t="str">
        <f>USD_DATA!H50</f>
        <v>30Y</v>
      </c>
      <c r="AD17" s="66">
        <f ca="1">USD_DATA!J50+$Z$1</f>
        <v>1.0302E-2</v>
      </c>
      <c r="AE17" s="53"/>
      <c r="AG17" s="106"/>
      <c r="AH17" s="52"/>
      <c r="AI17" s="52"/>
      <c r="AJ17" s="52" t="s">
        <v>424</v>
      </c>
      <c r="AK17" s="52"/>
      <c r="AL17" s="52"/>
      <c r="AM17" s="52"/>
      <c r="AN17" s="121"/>
      <c r="AO17" s="127"/>
      <c r="AP17" s="127"/>
      <c r="AQ17" s="123"/>
      <c r="AR17" s="128"/>
      <c r="AS17" s="52"/>
      <c r="AT17" s="121" t="str">
        <f>USD_DATA!M30</f>
        <v>20Y</v>
      </c>
      <c r="AU17" s="124">
        <f ca="1">USD_DATA!R30</f>
        <v>9.781999999999999E-3</v>
      </c>
      <c r="AV17" s="125" t="b">
        <v>1</v>
      </c>
      <c r="AW17" s="108"/>
      <c r="AY17" s="50"/>
      <c r="AZ17" s="149" t="s">
        <v>474</v>
      </c>
      <c r="BA17" s="150" t="s">
        <v>475</v>
      </c>
      <c r="BB17" s="52"/>
      <c r="BC17" s="69" t="str">
        <f>USD_DATA!U18</f>
        <v>15Y</v>
      </c>
      <c r="BD17" s="71">
        <f ca="1">USD_DATA!W18</f>
        <v>1.3374999999999999E-3</v>
      </c>
      <c r="BE17" s="53"/>
      <c r="BH17" s="50"/>
      <c r="BI17" s="149" t="s">
        <v>474</v>
      </c>
      <c r="BJ17" s="150" t="s">
        <v>1543</v>
      </c>
      <c r="BK17" s="52"/>
      <c r="BL17" s="69" t="s">
        <v>367</v>
      </c>
      <c r="BM17" s="66">
        <f ca="1">USD_DATA!AB18</f>
        <v>1.0499999999999999E-3</v>
      </c>
      <c r="BN17" s="53"/>
      <c r="BO17" t="s">
        <v>746</v>
      </c>
      <c r="BP17" s="620" t="s">
        <v>1655</v>
      </c>
      <c r="BS17" s="620" t="s">
        <v>746</v>
      </c>
      <c r="BT17" s="620" t="s">
        <v>1655</v>
      </c>
      <c r="BW17" t="s">
        <v>746</v>
      </c>
      <c r="BX17" s="620" t="s">
        <v>1655</v>
      </c>
      <c r="CA17" s="649">
        <f ca="1"/>
        <v>44356</v>
      </c>
      <c r="CB17" s="648">
        <f ca="1"/>
        <v>4.0178978328420198E-4</v>
      </c>
      <c r="CC17" s="648">
        <f ca="1"/>
        <v>1.94619093801726E-3</v>
      </c>
      <c r="CD17" s="648">
        <f ca="1"/>
        <v>4.9987650853822304E-3</v>
      </c>
      <c r="CE17" s="648"/>
    </row>
    <row r="18" spans="11:83" x14ac:dyDescent="0.25">
      <c r="K18" s="171">
        <f ca="1"/>
        <v>44994</v>
      </c>
      <c r="L18" s="172">
        <f ca="1"/>
        <v>4.5509442334612678E-4</v>
      </c>
      <c r="M18" s="172">
        <f ca="1"/>
        <v>1.4271811376823076E-3</v>
      </c>
      <c r="N18" s="173">
        <f ca="1"/>
        <v>2.6418108209487925E-3</v>
      </c>
      <c r="P18" s="50"/>
      <c r="Q18" s="52"/>
      <c r="R18" s="52"/>
      <c r="S18" s="52" t="s">
        <v>424</v>
      </c>
      <c r="T18" s="69" t="str">
        <f>USD_DATA!H19</f>
        <v>2Y</v>
      </c>
      <c r="U18" s="70">
        <f ca="1">USD_DATA!J19</f>
        <v>3.5000000000000005E-4</v>
      </c>
      <c r="V18" s="64"/>
      <c r="W18" s="64"/>
      <c r="X18" s="65" t="b">
        <v>1</v>
      </c>
      <c r="Y18" s="57"/>
      <c r="Z18" s="100" t="s">
        <v>445</v>
      </c>
      <c r="AA18" s="141">
        <f ca="1">AA17</f>
        <v>1.9E-3</v>
      </c>
      <c r="AB18" s="160"/>
      <c r="AC18" s="100" t="s">
        <v>445</v>
      </c>
      <c r="AD18" s="141">
        <f ca="1">AD17</f>
        <v>1.0302E-2</v>
      </c>
      <c r="AE18" s="86" t="s">
        <v>446</v>
      </c>
      <c r="AG18" s="106"/>
      <c r="AH18" s="52"/>
      <c r="AI18" s="52"/>
      <c r="AJ18" s="52" t="s">
        <v>424</v>
      </c>
      <c r="AK18" s="52"/>
      <c r="AL18" s="52"/>
      <c r="AM18" s="52"/>
      <c r="AN18" s="121"/>
      <c r="AO18" s="127"/>
      <c r="AP18" s="127"/>
      <c r="AQ18" s="123"/>
      <c r="AR18" s="128"/>
      <c r="AS18" s="52"/>
      <c r="AT18" s="121" t="str">
        <f>USD_DATA!M31</f>
        <v>30Y</v>
      </c>
      <c r="AU18" s="124">
        <f ca="1">USD_DATA!R31</f>
        <v>1.0302E-2</v>
      </c>
      <c r="AV18" s="125" t="b">
        <v>1</v>
      </c>
      <c r="AW18" s="159" t="s">
        <v>446</v>
      </c>
      <c r="AY18" s="50"/>
      <c r="AZ18" s="149" t="s">
        <v>476</v>
      </c>
      <c r="BA18" s="150" t="s">
        <v>437</v>
      </c>
      <c r="BB18" s="52"/>
      <c r="BC18" s="69" t="str">
        <f>USD_DATA!U19</f>
        <v>20Y</v>
      </c>
      <c r="BD18" s="71">
        <f ca="1">USD_DATA!W19</f>
        <v>1.3749999999999999E-3</v>
      </c>
      <c r="BE18" s="53"/>
      <c r="BH18" s="50"/>
      <c r="BI18" s="149" t="s">
        <v>476</v>
      </c>
      <c r="BJ18" s="150" t="s">
        <v>437</v>
      </c>
      <c r="BK18" s="52"/>
      <c r="BL18" s="69" t="s">
        <v>374</v>
      </c>
      <c r="BM18" s="66">
        <f ca="1">USD_DATA!AB19</f>
        <v>1.0874999999999999E-3</v>
      </c>
      <c r="BN18" s="53"/>
      <c r="BO18" t="s">
        <v>748</v>
      </c>
      <c r="BP18" t="s">
        <v>426</v>
      </c>
      <c r="BS18" s="620" t="s">
        <v>748</v>
      </c>
      <c r="BT18" s="620" t="s">
        <v>426</v>
      </c>
      <c r="BW18" t="s">
        <v>748</v>
      </c>
      <c r="BX18" t="s">
        <v>426</v>
      </c>
      <c r="CA18" s="649">
        <f ca="1"/>
        <v>44386</v>
      </c>
      <c r="CB18" s="648">
        <f ca="1"/>
        <v>3.4787830981209002E-4</v>
      </c>
      <c r="CC18" s="648">
        <f ca="1"/>
        <v>1.9570660070914198E-3</v>
      </c>
      <c r="CD18" s="648">
        <f ca="1"/>
        <v>5.1371391081822702E-3</v>
      </c>
      <c r="CE18" s="648"/>
    </row>
    <row r="19" spans="11:83" x14ac:dyDescent="0.25">
      <c r="K19" s="171">
        <f ca="1"/>
        <v>45086</v>
      </c>
      <c r="L19" s="172">
        <f ca="1"/>
        <v>6.7477802979887497E-4</v>
      </c>
      <c r="M19" s="172">
        <f ca="1"/>
        <v>1.5895092661701404E-3</v>
      </c>
      <c r="N19" s="173">
        <f ca="1"/>
        <v>2.8279614922172634E-3</v>
      </c>
      <c r="P19" s="50"/>
      <c r="Q19" s="81" t="s">
        <v>447</v>
      </c>
      <c r="R19" s="55"/>
      <c r="S19" s="52" t="s">
        <v>424</v>
      </c>
      <c r="T19" s="69" t="str">
        <f>USD_DATA!H20</f>
        <v>3Y</v>
      </c>
      <c r="U19" s="70">
        <f ca="1">USD_DATA!J20</f>
        <v>3.8999999999999999E-4</v>
      </c>
      <c r="V19" s="64"/>
      <c r="W19" s="64"/>
      <c r="X19" s="65" t="b">
        <v>1</v>
      </c>
      <c r="Y19" s="57"/>
      <c r="Z19" s="100" t="s">
        <v>448</v>
      </c>
      <c r="AA19" s="141">
        <f ca="1">AA18</f>
        <v>1.9E-3</v>
      </c>
      <c r="AB19" s="160"/>
      <c r="AC19" s="100" t="s">
        <v>448</v>
      </c>
      <c r="AD19" s="141">
        <f ca="1">AD18</f>
        <v>1.0302E-2</v>
      </c>
      <c r="AE19" s="86" t="s">
        <v>446</v>
      </c>
      <c r="AG19" s="106"/>
      <c r="AH19" s="52"/>
      <c r="AI19" s="52"/>
      <c r="AJ19" s="52" t="s">
        <v>424</v>
      </c>
      <c r="AK19" s="52"/>
      <c r="AL19" s="52"/>
      <c r="AM19" s="52"/>
      <c r="AN19" s="121"/>
      <c r="AO19" s="127"/>
      <c r="AP19" s="127"/>
      <c r="AQ19" s="123"/>
      <c r="AR19" s="128"/>
      <c r="AS19" s="52"/>
      <c r="AT19" s="157" t="s">
        <v>445</v>
      </c>
      <c r="AU19" s="158">
        <f ca="1">AU18</f>
        <v>1.0302E-2</v>
      </c>
      <c r="AV19" s="125" t="b">
        <v>1</v>
      </c>
      <c r="AW19" s="159" t="s">
        <v>446</v>
      </c>
      <c r="AY19" s="50"/>
      <c r="AZ19" s="151" t="s">
        <v>477</v>
      </c>
      <c r="BA19" s="154"/>
      <c r="BB19" s="52"/>
      <c r="BC19" s="69" t="str">
        <f>USD_DATA!U20</f>
        <v>25Y</v>
      </c>
      <c r="BD19" s="71">
        <f ca="1">USD_DATA!W20</f>
        <v>1.3749999999999999E-3</v>
      </c>
      <c r="BE19" s="53"/>
      <c r="BH19" s="50"/>
      <c r="BI19" s="151" t="s">
        <v>477</v>
      </c>
      <c r="BJ19" s="154"/>
      <c r="BK19" s="52"/>
      <c r="BL19" s="69" t="s">
        <v>382</v>
      </c>
      <c r="BM19" s="66">
        <f ca="1">USD_DATA!AB20</f>
        <v>1.1125E-3</v>
      </c>
      <c r="BN19" s="53"/>
      <c r="CA19" s="649">
        <f ca="1"/>
        <v>44417</v>
      </c>
      <c r="CB19" s="648">
        <f ca="1"/>
        <v>3.0117529310480599E-4</v>
      </c>
      <c r="CC19" s="648">
        <f ca="1"/>
        <v>1.9877236952237001E-3</v>
      </c>
      <c r="CD19" s="648">
        <f ca="1"/>
        <v>5.3839734363592302E-3</v>
      </c>
      <c r="CE19" s="648"/>
    </row>
    <row r="20" spans="11:83" x14ac:dyDescent="0.25">
      <c r="K20" s="171">
        <f ca="1"/>
        <v>45180</v>
      </c>
      <c r="L20" s="172">
        <f ca="1"/>
        <v>9.5218924657025975E-4</v>
      </c>
      <c r="M20" s="172">
        <f ca="1"/>
        <v>1.8005720557319161E-3</v>
      </c>
      <c r="N20" s="173">
        <f ca="1"/>
        <v>3.0194698770076587E-3</v>
      </c>
      <c r="P20" s="50"/>
      <c r="Q20" s="11" t="s">
        <v>442</v>
      </c>
      <c r="R20" s="82" t="s">
        <v>449</v>
      </c>
      <c r="S20" s="52" t="s">
        <v>424</v>
      </c>
      <c r="T20" s="69" t="str">
        <f>USD_DATA!H21</f>
        <v>4Y</v>
      </c>
      <c r="U20" s="70">
        <f ca="1">USD_DATA!J21</f>
        <v>7.000000000000001E-4</v>
      </c>
      <c r="V20" s="64"/>
      <c r="W20" s="64"/>
      <c r="X20" s="65" t="b">
        <v>1</v>
      </c>
      <c r="Y20" s="57"/>
      <c r="Z20" s="69"/>
      <c r="AA20" s="71"/>
      <c r="AB20" s="57"/>
      <c r="AC20" s="69"/>
      <c r="AD20" s="71"/>
      <c r="AE20" s="53"/>
      <c r="AG20" s="106"/>
      <c r="AH20" s="81" t="s">
        <v>447</v>
      </c>
      <c r="AI20" s="133"/>
      <c r="AJ20" s="52" t="s">
        <v>424</v>
      </c>
      <c r="AK20" s="52"/>
      <c r="AL20" s="52"/>
      <c r="AM20" s="52"/>
      <c r="AN20" s="121"/>
      <c r="AO20" s="127"/>
      <c r="AP20" s="127"/>
      <c r="AQ20" s="123"/>
      <c r="AR20" s="128"/>
      <c r="AS20" s="52"/>
      <c r="AT20" s="157" t="s">
        <v>448</v>
      </c>
      <c r="AU20" s="158">
        <f ca="1">AU19</f>
        <v>1.0302E-2</v>
      </c>
      <c r="AV20" s="125" t="b">
        <v>1</v>
      </c>
      <c r="AW20" s="108"/>
      <c r="AY20" s="50"/>
      <c r="AZ20" s="52"/>
      <c r="BA20" s="146"/>
      <c r="BB20" s="52"/>
      <c r="BC20" s="69" t="str">
        <f>USD_DATA!U21</f>
        <v>30Y</v>
      </c>
      <c r="BD20" s="71">
        <f ca="1">USD_DATA!W21</f>
        <v>1.3875000000000001E-3</v>
      </c>
      <c r="BE20" s="53"/>
      <c r="BH20" s="50"/>
      <c r="BI20" s="52"/>
      <c r="BJ20" s="146"/>
      <c r="BK20" s="52"/>
      <c r="BL20" s="69" t="s">
        <v>389</v>
      </c>
      <c r="BM20" s="66">
        <f ca="1">USD_DATA!AB21</f>
        <v>1.1125E-3</v>
      </c>
      <c r="BN20" s="53"/>
      <c r="CA20" s="649">
        <f ca="1"/>
        <v>44448</v>
      </c>
      <c r="CB20" s="648">
        <f ca="1"/>
        <v>2.5860790165310802E-4</v>
      </c>
      <c r="CC20" s="648">
        <f ca="1"/>
        <v>2.0183813833559799E-3</v>
      </c>
      <c r="CD20" s="648">
        <f ca="1"/>
        <v>5.7564066036253298E-3</v>
      </c>
      <c r="CE20" s="648"/>
    </row>
    <row r="21" spans="11:83" x14ac:dyDescent="0.25">
      <c r="K21" s="171">
        <f ca="1"/>
        <v>45271</v>
      </c>
      <c r="L21" s="172">
        <f ca="1"/>
        <v>1.2798038864669837E-3</v>
      </c>
      <c r="M21" s="172">
        <f ca="1"/>
        <v>2.0917284512194639E-3</v>
      </c>
      <c r="N21" s="173">
        <f ca="1"/>
        <v>3.3009284586963963E-3</v>
      </c>
      <c r="P21" s="50"/>
      <c r="Q21" s="21" t="s">
        <v>450</v>
      </c>
      <c r="R21" s="83" t="s">
        <v>451</v>
      </c>
      <c r="S21" s="52" t="s">
        <v>424</v>
      </c>
      <c r="T21" s="69" t="str">
        <f>USD_DATA!H22</f>
        <v>5Y</v>
      </c>
      <c r="U21" s="70">
        <f ca="1">USD_DATA!J22</f>
        <v>1.2800000000000001E-3</v>
      </c>
      <c r="V21" s="64"/>
      <c r="W21" s="64"/>
      <c r="X21" s="65" t="b">
        <v>1</v>
      </c>
      <c r="Y21" s="57"/>
      <c r="Z21" s="69"/>
      <c r="AA21" s="71"/>
      <c r="AB21" s="57"/>
      <c r="AC21" s="69"/>
      <c r="AD21" s="71"/>
      <c r="AE21" s="53"/>
      <c r="AG21" s="106"/>
      <c r="AH21" s="11" t="s">
        <v>442</v>
      </c>
      <c r="AI21" s="82" t="s">
        <v>465</v>
      </c>
      <c r="AJ21" s="52" t="s">
        <v>424</v>
      </c>
      <c r="AK21" s="52"/>
      <c r="AL21" s="52"/>
      <c r="AM21" s="52"/>
      <c r="AN21" s="121"/>
      <c r="AO21" s="127"/>
      <c r="AP21" s="127"/>
      <c r="AQ21" s="123"/>
      <c r="AR21" s="128"/>
      <c r="AS21" s="52"/>
      <c r="AT21" s="121"/>
      <c r="AU21" s="124"/>
      <c r="AV21" s="134"/>
      <c r="AW21" s="108"/>
      <c r="AY21" s="50"/>
      <c r="AZ21" s="81" t="s">
        <v>478</v>
      </c>
      <c r="BA21" s="146"/>
      <c r="BB21" s="52"/>
      <c r="BC21" s="100" t="s">
        <v>445</v>
      </c>
      <c r="BD21" s="141">
        <f ca="1">BD20</f>
        <v>1.3875000000000001E-3</v>
      </c>
      <c r="BE21" s="86" t="s">
        <v>446</v>
      </c>
      <c r="BH21" s="50"/>
      <c r="BI21" s="81" t="s">
        <v>478</v>
      </c>
      <c r="BJ21" s="146"/>
      <c r="BK21" s="52"/>
      <c r="BL21" s="100" t="s">
        <v>445</v>
      </c>
      <c r="BM21" s="66">
        <f ca="1">BM20</f>
        <v>1.1125E-3</v>
      </c>
      <c r="BN21" s="86" t="s">
        <v>446</v>
      </c>
      <c r="BO21" s="2" t="s">
        <v>1084</v>
      </c>
      <c r="BP21" t="s">
        <v>713</v>
      </c>
      <c r="BS21" s="621" t="s">
        <v>1084</v>
      </c>
      <c r="BT21" s="620" t="s">
        <v>713</v>
      </c>
      <c r="BW21" s="2" t="s">
        <v>1084</v>
      </c>
      <c r="BX21" t="s">
        <v>713</v>
      </c>
      <c r="CA21" s="649">
        <f ca="1"/>
        <v>44480</v>
      </c>
      <c r="CB21" s="648">
        <f ca="1"/>
        <v>2.2094803418859599E-4</v>
      </c>
      <c r="CC21" s="648">
        <f ca="1"/>
        <v>2.09222332927599E-3</v>
      </c>
      <c r="CD21" s="648">
        <f ca="1"/>
        <v>6.1493286429304102E-3</v>
      </c>
      <c r="CE21" s="648"/>
    </row>
    <row r="22" spans="11:83" x14ac:dyDescent="0.25">
      <c r="K22" s="171">
        <f ca="1"/>
        <v>45362</v>
      </c>
      <c r="L22" s="172">
        <f ca="1"/>
        <v>1.6627967752302966E-3</v>
      </c>
      <c r="M22" s="172">
        <f ca="1"/>
        <v>2.4871563484121831E-3</v>
      </c>
      <c r="N22" s="173">
        <f ca="1"/>
        <v>3.7026461440629096E-3</v>
      </c>
      <c r="P22" s="50"/>
      <c r="Q22" s="21" t="s">
        <v>452</v>
      </c>
      <c r="R22" s="83" t="s">
        <v>437</v>
      </c>
      <c r="S22" s="52" t="s">
        <v>424</v>
      </c>
      <c r="T22" s="69" t="str">
        <f>USD_DATA!H23</f>
        <v>7Y</v>
      </c>
      <c r="U22" s="70">
        <f ca="1">USD_DATA!J23</f>
        <v>2.7100000000000002E-3</v>
      </c>
      <c r="V22" s="64"/>
      <c r="W22" s="64"/>
      <c r="X22" s="65" t="b">
        <v>1</v>
      </c>
      <c r="Y22" s="57"/>
      <c r="Z22" s="69"/>
      <c r="AA22" s="71"/>
      <c r="AB22" s="57"/>
      <c r="AC22" s="69"/>
      <c r="AD22" s="71"/>
      <c r="AE22" s="53"/>
      <c r="AG22" s="106"/>
      <c r="AH22" s="21" t="s">
        <v>450</v>
      </c>
      <c r="AI22" s="90" t="s">
        <v>466</v>
      </c>
      <c r="AJ22" s="52" t="s">
        <v>424</v>
      </c>
      <c r="AK22" s="52"/>
      <c r="AL22" s="52"/>
      <c r="AM22" s="52"/>
      <c r="AN22" s="121"/>
      <c r="AO22" s="127"/>
      <c r="AP22" s="127"/>
      <c r="AQ22" s="123"/>
      <c r="AR22" s="128"/>
      <c r="AS22" s="52"/>
      <c r="AT22" s="121"/>
      <c r="AU22" s="124"/>
      <c r="AV22" s="134"/>
      <c r="AW22" s="108"/>
      <c r="AY22" s="50"/>
      <c r="AZ22" s="147" t="s">
        <v>442</v>
      </c>
      <c r="BA22" s="668" t="str">
        <f t="array" aca="1" ref="BA22:BA25" ca="1">IF(ExistsEUR3M,_xll.meLWOCurveCalibrate($BA$16,$BA$17,$BA$12,$BA$18,$BA$19),"#LOAD DEPENDENCY CURVE")</f>
        <v>USD_BASIS_6M_CURVE@43:2</v>
      </c>
      <c r="BB22" s="52"/>
      <c r="BC22" s="100" t="s">
        <v>448</v>
      </c>
      <c r="BD22" s="141">
        <f ca="1">BD21</f>
        <v>1.3875000000000001E-3</v>
      </c>
      <c r="BE22" s="86" t="s">
        <v>446</v>
      </c>
      <c r="BH22" s="50"/>
      <c r="BI22" s="147" t="s">
        <v>442</v>
      </c>
      <c r="BJ22" s="668" t="str">
        <f t="array" aca="1" ref="BJ22:BJ25" ca="1">IF(ExistsUSD3M,_xll.meLWOCurveCalibrate($BJ$16,$BJ$17,$BJ$12,$BJ$18,$BJ$19),"#LOAD DEPENDENCY CURVE")</f>
        <v>USD_BASIS_1M_CURVE@54:3</v>
      </c>
      <c r="BK22" s="52"/>
      <c r="BL22" s="100" t="s">
        <v>448</v>
      </c>
      <c r="BM22" s="66">
        <f ca="1">BM21</f>
        <v>1.1125E-3</v>
      </c>
      <c r="BN22" s="86" t="s">
        <v>446</v>
      </c>
      <c r="BO22" t="s">
        <v>1085</v>
      </c>
      <c r="BP22" t="s">
        <v>1093</v>
      </c>
      <c r="BS22" s="620" t="s">
        <v>1085</v>
      </c>
      <c r="BT22" s="620" t="s">
        <v>1128</v>
      </c>
      <c r="BW22" t="s">
        <v>1085</v>
      </c>
      <c r="BX22" t="s">
        <v>1625</v>
      </c>
      <c r="CA22" s="649">
        <f ca="1"/>
        <v>44509</v>
      </c>
      <c r="CB22" s="648">
        <f ca="1"/>
        <v>1.9260536317844499E-4</v>
      </c>
      <c r="CC22" s="648">
        <f ca="1"/>
        <v>2.1679670655431701E-3</v>
      </c>
      <c r="CD22" s="648">
        <f ca="1"/>
        <v>6.3625325469019098E-3</v>
      </c>
      <c r="CE22" s="648"/>
    </row>
    <row r="23" spans="11:83" x14ac:dyDescent="0.25">
      <c r="K23" s="171">
        <f ca="1"/>
        <v>45453</v>
      </c>
      <c r="L23" s="172">
        <f ca="1"/>
        <v>2.1019226018115307E-3</v>
      </c>
      <c r="M23" s="172">
        <f ca="1"/>
        <v>2.9851177483513017E-3</v>
      </c>
      <c r="N23" s="173">
        <f ca="1"/>
        <v>4.2200391560829791E-3</v>
      </c>
      <c r="P23" s="50"/>
      <c r="Q23" s="34" t="s">
        <v>453</v>
      </c>
      <c r="R23" s="84"/>
      <c r="S23" s="52" t="s">
        <v>424</v>
      </c>
      <c r="T23" s="69" t="str">
        <f>USD_DATA!H24</f>
        <v>10Y</v>
      </c>
      <c r="U23" s="70">
        <f ca="1">USD_DATA!J24</f>
        <v>4.6999999999999993E-3</v>
      </c>
      <c r="V23" s="64"/>
      <c r="W23" s="64"/>
      <c r="X23" s="65" t="b">
        <v>1</v>
      </c>
      <c r="Y23" s="57"/>
      <c r="Z23" s="69"/>
      <c r="AA23" s="71"/>
      <c r="AB23" s="57"/>
      <c r="AC23" s="69"/>
      <c r="AD23" s="71"/>
      <c r="AE23" s="53"/>
      <c r="AG23" s="106"/>
      <c r="AH23" s="21" t="s">
        <v>452</v>
      </c>
      <c r="AI23" s="83" t="s">
        <v>437</v>
      </c>
      <c r="AJ23" s="52" t="s">
        <v>424</v>
      </c>
      <c r="AK23" s="52"/>
      <c r="AL23" s="52"/>
      <c r="AM23" s="52"/>
      <c r="AN23" s="121"/>
      <c r="AO23" s="127"/>
      <c r="AP23" s="127"/>
      <c r="AQ23" s="123"/>
      <c r="AR23" s="128"/>
      <c r="AS23" s="52"/>
      <c r="AT23" s="121"/>
      <c r="AU23" s="124"/>
      <c r="AV23" s="134"/>
      <c r="AW23" s="108"/>
      <c r="AY23" s="50"/>
      <c r="AZ23" s="149" t="s">
        <v>455</v>
      </c>
      <c r="BA23" s="155" t="str">
        <f ca="1"/>
        <v>USDYC</v>
      </c>
      <c r="BB23" s="52"/>
      <c r="BC23" s="100"/>
      <c r="BD23" s="141"/>
      <c r="BE23" s="53"/>
      <c r="BH23" s="50"/>
      <c r="BI23" s="149" t="s">
        <v>455</v>
      </c>
      <c r="BJ23" s="155" t="str">
        <f ca="1"/>
        <v>USDYC</v>
      </c>
      <c r="BK23" s="52"/>
      <c r="BL23" s="100"/>
      <c r="BM23" s="141"/>
      <c r="BN23" s="53"/>
      <c r="BO23" t="s">
        <v>1086</v>
      </c>
      <c r="BP23" t="s">
        <v>1089</v>
      </c>
      <c r="BS23" s="620" t="s">
        <v>1086</v>
      </c>
      <c r="BT23" s="620" t="s">
        <v>1129</v>
      </c>
      <c r="BW23" t="s">
        <v>1086</v>
      </c>
      <c r="BX23" t="s">
        <v>1626</v>
      </c>
      <c r="CA23" s="649">
        <f ca="1"/>
        <v>44539</v>
      </c>
      <c r="CB23" s="648">
        <f ca="1"/>
        <v>1.6907877362193401E-4</v>
      </c>
      <c r="CC23" s="648">
        <f ca="1"/>
        <v>2.2463226547850702E-3</v>
      </c>
      <c r="CD23" s="648">
        <f ca="1"/>
        <v>6.4382271293439699E-3</v>
      </c>
      <c r="CE23" s="648"/>
    </row>
    <row r="24" spans="11:83" x14ac:dyDescent="0.25">
      <c r="K24" s="171">
        <f ca="1"/>
        <v>45544</v>
      </c>
      <c r="L24" s="172">
        <f ca="1"/>
        <v>2.5983860697480292E-3</v>
      </c>
      <c r="M24" s="172">
        <f ca="1"/>
        <v>3.5888588118782165E-3</v>
      </c>
      <c r="N24" s="173">
        <f ca="1"/>
        <v>4.8251168770554326E-3</v>
      </c>
      <c r="P24" s="50"/>
      <c r="Q24" s="52"/>
      <c r="R24" s="52"/>
      <c r="S24" s="52" t="s">
        <v>424</v>
      </c>
      <c r="T24" s="69" t="str">
        <f>USD_DATA!H25</f>
        <v>20Y</v>
      </c>
      <c r="U24" s="70">
        <f ca="1">USD_DATA!J25</f>
        <v>7.7800000000000005E-3</v>
      </c>
      <c r="V24" s="64"/>
      <c r="W24" s="64"/>
      <c r="X24" s="65" t="b">
        <v>1</v>
      </c>
      <c r="Y24" s="57"/>
      <c r="Z24" s="69"/>
      <c r="AA24" s="71"/>
      <c r="AB24" s="57"/>
      <c r="AC24" s="69"/>
      <c r="AD24" s="71"/>
      <c r="AE24" s="53"/>
      <c r="AG24" s="106"/>
      <c r="AH24" s="34" t="s">
        <v>453</v>
      </c>
      <c r="AI24" s="84"/>
      <c r="AJ24" s="52" t="s">
        <v>424</v>
      </c>
      <c r="AK24" s="52"/>
      <c r="AL24" s="52"/>
      <c r="AM24" s="52"/>
      <c r="AN24" s="121"/>
      <c r="AO24" s="127"/>
      <c r="AP24" s="127"/>
      <c r="AQ24" s="123"/>
      <c r="AR24" s="128"/>
      <c r="AS24" s="52"/>
      <c r="AT24" s="121"/>
      <c r="AU24" s="124"/>
      <c r="AV24" s="134"/>
      <c r="AW24" s="108"/>
      <c r="AY24" s="50"/>
      <c r="AZ24" s="149" t="s">
        <v>456</v>
      </c>
      <c r="BA24" s="155" t="str">
        <f ca="1"/>
        <v>3M6MBasis:USD6ML</v>
      </c>
      <c r="BB24" s="52"/>
      <c r="BC24" s="100"/>
      <c r="BD24" s="141"/>
      <c r="BE24" s="53"/>
      <c r="BH24" s="50"/>
      <c r="BI24" s="149" t="s">
        <v>456</v>
      </c>
      <c r="BJ24" s="155" t="str">
        <f ca="1"/>
        <v>1M3MBasis:USD1ML</v>
      </c>
      <c r="BK24" s="52"/>
      <c r="BL24" s="100"/>
      <c r="BM24" s="141"/>
      <c r="BN24" s="53"/>
      <c r="BO24" t="s">
        <v>1087</v>
      </c>
      <c r="BP24" t="s">
        <v>1101</v>
      </c>
      <c r="BS24" s="620" t="s">
        <v>1087</v>
      </c>
      <c r="BT24" s="620" t="s">
        <v>1101</v>
      </c>
      <c r="BW24" t="s">
        <v>1087</v>
      </c>
      <c r="BX24" t="s">
        <v>1101</v>
      </c>
      <c r="CA24" s="649">
        <f ca="1"/>
        <v>44571</v>
      </c>
      <c r="CB24" s="648">
        <f ca="1"/>
        <v>1.49754177298789E-4</v>
      </c>
      <c r="CC24" s="648">
        <f ca="1"/>
        <v>2.2005754590001098E-3</v>
      </c>
      <c r="CD24" s="648">
        <f ca="1"/>
        <v>6.3817929326681804E-3</v>
      </c>
      <c r="CE24" s="648"/>
    </row>
    <row r="25" spans="11:83" x14ac:dyDescent="0.25">
      <c r="K25" s="171">
        <f ca="1"/>
        <v>45635</v>
      </c>
      <c r="L25" s="172">
        <f ca="1"/>
        <v>3.122692841905428E-3</v>
      </c>
      <c r="M25" s="172">
        <f ca="1"/>
        <v>4.2010317116984424E-3</v>
      </c>
      <c r="N25" s="173">
        <f ca="1"/>
        <v>5.4100642104265156E-3</v>
      </c>
      <c r="P25" s="50"/>
      <c r="Q25" s="52"/>
      <c r="R25" s="52"/>
      <c r="S25" s="52" t="s">
        <v>424</v>
      </c>
      <c r="T25" s="69" t="str">
        <f>USD_DATA!H26</f>
        <v>30Y</v>
      </c>
      <c r="U25" s="70">
        <f ca="1">USD_DATA!J26</f>
        <v>8.2899999999999988E-3</v>
      </c>
      <c r="V25" s="64"/>
      <c r="W25" s="64"/>
      <c r="X25" s="65" t="b">
        <v>1</v>
      </c>
      <c r="Y25" s="57"/>
      <c r="Z25" s="69"/>
      <c r="AA25" s="71"/>
      <c r="AB25" s="57"/>
      <c r="AC25" s="69"/>
      <c r="AD25" s="71"/>
      <c r="AE25" s="53"/>
      <c r="AG25" s="106"/>
      <c r="AH25" s="52"/>
      <c r="AI25" s="52"/>
      <c r="AJ25" s="52" t="s">
        <v>424</v>
      </c>
      <c r="AK25" s="52"/>
      <c r="AL25" s="52"/>
      <c r="AM25" s="52"/>
      <c r="AN25" s="121"/>
      <c r="AO25" s="127"/>
      <c r="AP25" s="127"/>
      <c r="AQ25" s="123"/>
      <c r="AR25" s="128"/>
      <c r="AS25" s="52"/>
      <c r="AT25" s="121"/>
      <c r="AU25" s="124"/>
      <c r="AV25" s="134"/>
      <c r="AW25" s="108"/>
      <c r="AY25" s="50"/>
      <c r="AZ25" s="151" t="s">
        <v>457</v>
      </c>
      <c r="BA25" s="156" t="str">
        <f ca="1"/>
        <v>0.012000 sec</v>
      </c>
      <c r="BB25" s="52"/>
      <c r="BC25" s="131"/>
      <c r="BD25" s="142"/>
      <c r="BE25" s="53"/>
      <c r="BH25" s="50"/>
      <c r="BI25" s="151" t="s">
        <v>457</v>
      </c>
      <c r="BJ25" s="156" t="str">
        <f ca="1"/>
        <v>0.035000 sec</v>
      </c>
      <c r="BK25" s="52"/>
      <c r="BL25" s="131"/>
      <c r="BM25" s="142"/>
      <c r="BN25" s="53"/>
      <c r="BO25" t="s">
        <v>1088</v>
      </c>
      <c r="BP25" s="445" t="s">
        <v>1101</v>
      </c>
      <c r="BS25" s="620" t="s">
        <v>1088</v>
      </c>
      <c r="BT25" s="653" t="s">
        <v>1101</v>
      </c>
      <c r="BW25" t="s">
        <v>1088</v>
      </c>
      <c r="BX25" s="445" t="s">
        <v>1101</v>
      </c>
      <c r="CA25" s="649">
        <f ca="1"/>
        <v>44601</v>
      </c>
      <c r="CB25" s="648">
        <f ca="1"/>
        <v>1.3607885746225201E-4</v>
      </c>
      <c r="CC25" s="648">
        <f ca="1"/>
        <v>2.1297079930732198E-3</v>
      </c>
      <c r="CD25" s="648">
        <f ca="1"/>
        <v>6.2342117019920304E-3</v>
      </c>
      <c r="CE25" s="648"/>
    </row>
    <row r="26" spans="11:83" x14ac:dyDescent="0.25">
      <c r="K26" s="171">
        <f ca="1"/>
        <v>45726</v>
      </c>
      <c r="L26" s="172">
        <f ca="1"/>
        <v>3.6355254132753147E-3</v>
      </c>
      <c r="M26" s="172">
        <f ca="1"/>
        <v>4.7554863458751919E-3</v>
      </c>
      <c r="N26" s="173">
        <f ca="1"/>
        <v>5.9542334954472186E-3</v>
      </c>
      <c r="P26" s="50"/>
      <c r="Q26" s="52"/>
      <c r="R26" s="52"/>
      <c r="S26" s="52" t="s">
        <v>424</v>
      </c>
      <c r="T26" s="69"/>
      <c r="U26" s="70"/>
      <c r="V26" s="64"/>
      <c r="W26" s="64"/>
      <c r="X26" s="65"/>
      <c r="Y26" s="57"/>
      <c r="Z26" s="69"/>
      <c r="AA26" s="71"/>
      <c r="AB26" s="57"/>
      <c r="AC26" s="69"/>
      <c r="AD26" s="71"/>
      <c r="AE26" s="53"/>
      <c r="AG26" s="106"/>
      <c r="AH26" s="52"/>
      <c r="AI26" s="52"/>
      <c r="AJ26" s="52" t="s">
        <v>424</v>
      </c>
      <c r="AK26" s="52"/>
      <c r="AL26" s="52"/>
      <c r="AM26" s="52"/>
      <c r="AN26" s="121"/>
      <c r="AO26" s="127"/>
      <c r="AP26" s="127"/>
      <c r="AQ26" s="123"/>
      <c r="AR26" s="128"/>
      <c r="AS26" s="52"/>
      <c r="AT26" s="121"/>
      <c r="AU26" s="124"/>
      <c r="AV26" s="134"/>
      <c r="AW26" s="108"/>
      <c r="AY26" s="50"/>
      <c r="AZ26" s="98"/>
      <c r="BA26" s="99"/>
      <c r="BB26" s="52"/>
      <c r="BC26" s="52"/>
      <c r="BD26" s="52"/>
      <c r="BE26" s="53"/>
      <c r="BH26" s="50"/>
      <c r="BI26" s="98"/>
      <c r="BJ26" s="99"/>
      <c r="BK26" s="52"/>
      <c r="BL26" s="52"/>
      <c r="BM26" s="52"/>
      <c r="BN26" s="53"/>
      <c r="BO26" t="s">
        <v>781</v>
      </c>
      <c r="BP26" s="290" t="s">
        <v>810</v>
      </c>
      <c r="BS26" s="620" t="s">
        <v>781</v>
      </c>
      <c r="BT26" s="647" t="s">
        <v>810</v>
      </c>
      <c r="BW26" t="s">
        <v>781</v>
      </c>
      <c r="BX26" s="290" t="s">
        <v>810</v>
      </c>
      <c r="CA26" s="649">
        <f ca="1"/>
        <v>44629</v>
      </c>
      <c r="CB26" s="648">
        <f ca="1"/>
        <v>1.27184402689551E-4</v>
      </c>
      <c r="CC26" s="648">
        <f ca="1"/>
        <v>2.06356502487479E-3</v>
      </c>
      <c r="CD26" s="648">
        <f ca="1"/>
        <v>6.0139567881645397E-3</v>
      </c>
      <c r="CE26" s="648"/>
    </row>
    <row r="27" spans="11:83" x14ac:dyDescent="0.25">
      <c r="K27" s="171">
        <f ca="1"/>
        <v>45817</v>
      </c>
      <c r="L27" s="172">
        <f ca="1"/>
        <v>4.1232401776885247E-3</v>
      </c>
      <c r="M27" s="172">
        <f ca="1"/>
        <v>5.2530875435179052E-3</v>
      </c>
      <c r="N27" s="173">
        <f ca="1"/>
        <v>6.4423807609745951E-3</v>
      </c>
      <c r="P27" s="50"/>
      <c r="Q27" s="81" t="s">
        <v>454</v>
      </c>
      <c r="R27" s="52"/>
      <c r="S27" s="52" t="s">
        <v>424</v>
      </c>
      <c r="T27" s="69"/>
      <c r="U27" s="70"/>
      <c r="V27" s="64"/>
      <c r="W27" s="64"/>
      <c r="X27" s="65"/>
      <c r="Y27" s="57"/>
      <c r="Z27" s="69"/>
      <c r="AA27" s="71"/>
      <c r="AB27" s="57"/>
      <c r="AC27" s="69"/>
      <c r="AD27" s="71"/>
      <c r="AE27" s="53"/>
      <c r="AG27" s="106"/>
      <c r="AH27" s="81" t="s">
        <v>454</v>
      </c>
      <c r="AI27" s="52"/>
      <c r="AJ27" s="52" t="s">
        <v>424</v>
      </c>
      <c r="AK27" s="52"/>
      <c r="AL27" s="52"/>
      <c r="AM27" s="52"/>
      <c r="AN27" s="121"/>
      <c r="AO27" s="127"/>
      <c r="AP27" s="127"/>
      <c r="AQ27" s="123"/>
      <c r="AR27" s="128"/>
      <c r="AS27" s="52"/>
      <c r="AT27" s="121"/>
      <c r="AU27" s="124"/>
      <c r="AV27" s="134"/>
      <c r="AW27" s="108"/>
      <c r="AY27" s="50"/>
      <c r="AZ27" s="52"/>
      <c r="BA27" s="52"/>
      <c r="BB27" s="52"/>
      <c r="BC27" s="52"/>
      <c r="BD27" s="52"/>
      <c r="BE27" s="53"/>
      <c r="BH27" s="50"/>
      <c r="BI27" s="52"/>
      <c r="BJ27" s="52"/>
      <c r="BK27" s="52"/>
      <c r="BL27" s="52"/>
      <c r="BM27" s="52"/>
      <c r="BN27" s="53"/>
      <c r="CA27" s="649">
        <f ca="1"/>
        <v>44662</v>
      </c>
      <c r="CB27" s="648">
        <f ca="1"/>
        <v>1.2216216294547199E-4</v>
      </c>
      <c r="CC27" s="648">
        <f ca="1"/>
        <v>2.04524171683634E-3</v>
      </c>
      <c r="CD27" s="648">
        <f ca="1"/>
        <v>5.7525417547843703E-3</v>
      </c>
      <c r="CE27" s="648"/>
    </row>
    <row r="28" spans="11:83" x14ac:dyDescent="0.25">
      <c r="K28" s="171">
        <f ca="1"/>
        <v>45909</v>
      </c>
      <c r="L28" s="172">
        <f ca="1"/>
        <v>4.5771804032572255E-3</v>
      </c>
      <c r="M28" s="172">
        <f ca="1"/>
        <v>5.7046489473124443E-3</v>
      </c>
      <c r="N28" s="173">
        <f ca="1"/>
        <v>6.8891601080561934E-3</v>
      </c>
      <c r="P28" s="50"/>
      <c r="Q28" s="87" t="s">
        <v>442</v>
      </c>
      <c r="R28" s="668" t="str">
        <f t="array" aca="1" ref="R28:R31" ca="1">_xll.meLWOCurveCalibrate(R20,R21,R14,R22,R23)</f>
        <v>USD_OIS_CURVE@46:3</v>
      </c>
      <c r="S28" s="52" t="s">
        <v>424</v>
      </c>
      <c r="T28" s="69"/>
      <c r="U28" s="70"/>
      <c r="V28" s="64"/>
      <c r="W28" s="64"/>
      <c r="X28" s="65"/>
      <c r="Y28" s="57"/>
      <c r="Z28" s="69"/>
      <c r="AA28" s="71"/>
      <c r="AB28" s="57"/>
      <c r="AC28" s="69"/>
      <c r="AD28" s="71"/>
      <c r="AE28" s="53"/>
      <c r="AG28" s="106"/>
      <c r="AH28" s="87" t="s">
        <v>442</v>
      </c>
      <c r="AI28" s="668" t="str">
        <f t="array" aca="1" ref="AI28:AI31" ca="1">IF(ExistsUSDOIS,_xll.meLWOCurveCalibrate(AI21,AI22,AI14,AI23,AI24),"#LOAD DEPENDENCY CURVE")</f>
        <v>USD_SWAP_3M_CURVE@47:3</v>
      </c>
      <c r="AJ28" s="52" t="s">
        <v>424</v>
      </c>
      <c r="AK28" s="52"/>
      <c r="AL28" s="52"/>
      <c r="AM28" s="52"/>
      <c r="AN28" s="121"/>
      <c r="AO28" s="127"/>
      <c r="AP28" s="127"/>
      <c r="AQ28" s="123"/>
      <c r="AR28" s="128"/>
      <c r="AS28" s="52"/>
      <c r="AT28" s="121"/>
      <c r="AU28" s="124"/>
      <c r="AV28" s="134"/>
      <c r="AW28" s="108"/>
      <c r="AY28" s="50"/>
      <c r="AZ28" s="52"/>
      <c r="BA28" s="52"/>
      <c r="BB28" s="52"/>
      <c r="BC28" s="52"/>
      <c r="BD28" s="52"/>
      <c r="BE28" s="53"/>
      <c r="BH28" s="50"/>
      <c r="BI28" s="52"/>
      <c r="BJ28" s="52"/>
      <c r="BK28" s="52"/>
      <c r="BL28" s="52"/>
      <c r="BM28" s="52"/>
      <c r="BN28" s="53"/>
      <c r="CA28" s="649">
        <f ca="1"/>
        <v>44690</v>
      </c>
      <c r="CB28" s="648">
        <f ca="1"/>
        <v>1.23112652392621E-4</v>
      </c>
      <c r="CC28" s="648">
        <f ca="1"/>
        <v>2.04290764043561E-3</v>
      </c>
      <c r="CD28" s="648">
        <f ca="1"/>
        <v>5.6168759525921002E-3</v>
      </c>
      <c r="CE28" s="648"/>
    </row>
    <row r="29" spans="11:83" x14ac:dyDescent="0.25">
      <c r="K29" s="171">
        <f ca="1"/>
        <v>46000</v>
      </c>
      <c r="L29" s="172">
        <f ca="1"/>
        <v>5.0012787708028483E-3</v>
      </c>
      <c r="M29" s="172">
        <f ca="1"/>
        <v>6.1282259390492639E-3</v>
      </c>
      <c r="N29" s="173">
        <f ca="1"/>
        <v>7.3147121766514635E-3</v>
      </c>
      <c r="P29" s="50"/>
      <c r="Q29" s="90" t="s">
        <v>455</v>
      </c>
      <c r="R29" s="88" t="str">
        <f ca="1"/>
        <v>USDYC</v>
      </c>
      <c r="S29" s="52" t="s">
        <v>424</v>
      </c>
      <c r="T29" s="69"/>
      <c r="U29" s="70"/>
      <c r="V29" s="64"/>
      <c r="W29" s="64"/>
      <c r="X29" s="65"/>
      <c r="Y29" s="57"/>
      <c r="Z29" s="69"/>
      <c r="AA29" s="71"/>
      <c r="AB29" s="57"/>
      <c r="AC29" s="69"/>
      <c r="AD29" s="71"/>
      <c r="AE29" s="53"/>
      <c r="AG29" s="106"/>
      <c r="AH29" s="90" t="s">
        <v>455</v>
      </c>
      <c r="AI29" s="88" t="str">
        <f ca="1"/>
        <v>USDYC</v>
      </c>
      <c r="AJ29" s="52" t="s">
        <v>424</v>
      </c>
      <c r="AK29" s="52"/>
      <c r="AL29" s="52"/>
      <c r="AM29" s="52"/>
      <c r="AN29" s="121"/>
      <c r="AO29" s="127"/>
      <c r="AP29" s="127"/>
      <c r="AQ29" s="123"/>
      <c r="AR29" s="128"/>
      <c r="AS29" s="52"/>
      <c r="AT29" s="121"/>
      <c r="AU29" s="124"/>
      <c r="AV29" s="134"/>
      <c r="AW29" s="108"/>
      <c r="AY29" s="50"/>
      <c r="AZ29" s="52"/>
      <c r="BA29" s="52"/>
      <c r="BB29" s="52"/>
      <c r="BC29" s="52"/>
      <c r="BD29" s="52"/>
      <c r="BE29" s="53"/>
      <c r="BH29" s="50"/>
      <c r="BI29" s="52"/>
      <c r="BJ29" s="52"/>
      <c r="BK29" s="52"/>
      <c r="BL29" s="52"/>
      <c r="BM29" s="52"/>
      <c r="BN29" s="53"/>
      <c r="BO29" s="2" t="s">
        <v>662</v>
      </c>
      <c r="BS29" s="621" t="s">
        <v>662</v>
      </c>
      <c r="BW29" s="2" t="s">
        <v>662</v>
      </c>
      <c r="CA29" s="649">
        <f ca="1"/>
        <v>44721</v>
      </c>
      <c r="CB29" s="648">
        <f ca="1"/>
        <v>1.2974763791362499E-4</v>
      </c>
      <c r="CC29" s="648">
        <f ca="1"/>
        <v>2.0403234844205099E-3</v>
      </c>
      <c r="CD29" s="648">
        <f ca="1"/>
        <v>5.5593184172941998E-3</v>
      </c>
      <c r="CE29" s="648"/>
    </row>
    <row r="30" spans="11:83" x14ac:dyDescent="0.25">
      <c r="K30" s="171">
        <f ca="1"/>
        <v>46090</v>
      </c>
      <c r="L30" s="172">
        <f ca="1"/>
        <v>5.4176484991783598E-3</v>
      </c>
      <c r="M30" s="172">
        <f ca="1"/>
        <v>6.5370326797305322E-3</v>
      </c>
      <c r="N30" s="173">
        <f ca="1"/>
        <v>7.7340712774110008E-3</v>
      </c>
      <c r="P30" s="50"/>
      <c r="Q30" s="90" t="s">
        <v>456</v>
      </c>
      <c r="R30" s="88" t="str">
        <f ca="1"/>
        <v>OIS:USDOIS:USDDF:USDDF_USDCSA:USDDF_NOCSA</v>
      </c>
      <c r="S30" s="52" t="s">
        <v>424</v>
      </c>
      <c r="T30" s="69"/>
      <c r="U30" s="70"/>
      <c r="V30" s="64"/>
      <c r="W30" s="64"/>
      <c r="X30" s="91"/>
      <c r="Y30" s="57"/>
      <c r="Z30" s="69"/>
      <c r="AA30" s="71"/>
      <c r="AB30" s="57"/>
      <c r="AC30" s="69"/>
      <c r="AD30" s="71"/>
      <c r="AE30" s="53"/>
      <c r="AG30" s="106"/>
      <c r="AH30" s="90" t="s">
        <v>456</v>
      </c>
      <c r="AI30" s="88" t="str">
        <f ca="1"/>
        <v>STD:USD3ML</v>
      </c>
      <c r="AJ30" s="52" t="s">
        <v>424</v>
      </c>
      <c r="AK30" s="52"/>
      <c r="AL30" s="52"/>
      <c r="AM30" s="52"/>
      <c r="AN30" s="121"/>
      <c r="AO30" s="127"/>
      <c r="AP30" s="127"/>
      <c r="AQ30" s="123"/>
      <c r="AR30" s="128"/>
      <c r="AS30" s="52"/>
      <c r="AT30" s="121"/>
      <c r="AU30" s="124"/>
      <c r="AV30" s="134"/>
      <c r="AW30" s="108"/>
      <c r="AY30" s="50"/>
      <c r="AZ30" s="52"/>
      <c r="BA30" s="52"/>
      <c r="BB30" s="52"/>
      <c r="BC30" s="52"/>
      <c r="BD30" s="52"/>
      <c r="BE30" s="53"/>
      <c r="BH30" s="50"/>
      <c r="BI30" s="52"/>
      <c r="BJ30" s="52"/>
      <c r="BK30" s="52"/>
      <c r="BL30" s="52"/>
      <c r="BM30" s="52"/>
      <c r="BN30" s="53"/>
      <c r="BO30" t="s">
        <v>434</v>
      </c>
      <c r="BP30" t="s">
        <v>2</v>
      </c>
      <c r="BS30" s="620" t="s">
        <v>434</v>
      </c>
      <c r="BT30" s="620" t="s">
        <v>2</v>
      </c>
      <c r="BW30" t="s">
        <v>434</v>
      </c>
      <c r="BX30" t="s">
        <v>2</v>
      </c>
      <c r="CA30" s="649">
        <f ca="1"/>
        <v>44753</v>
      </c>
      <c r="CB30" s="648">
        <f ca="1"/>
        <v>1.4297959888054401E-4</v>
      </c>
      <c r="CC30" s="648">
        <f ca="1"/>
        <v>2.0821278323145298E-3</v>
      </c>
      <c r="CD30" s="648">
        <f ca="1"/>
        <v>5.6039166290578098E-3</v>
      </c>
      <c r="CE30" s="648"/>
    </row>
    <row r="31" spans="11:83" x14ac:dyDescent="0.25">
      <c r="K31" s="171">
        <f ca="1"/>
        <v>46182</v>
      </c>
      <c r="L31" s="172">
        <f ca="1"/>
        <v>5.8374378945834186E-3</v>
      </c>
      <c r="M31" s="172">
        <f ca="1"/>
        <v>6.9446736614074099E-3</v>
      </c>
      <c r="N31" s="173">
        <f ca="1"/>
        <v>8.149085675359543E-3</v>
      </c>
      <c r="P31" s="50"/>
      <c r="Q31" s="92" t="s">
        <v>457</v>
      </c>
      <c r="R31" s="89" t="str">
        <f ca="1"/>
        <v>0.016000 sec</v>
      </c>
      <c r="S31" s="52" t="s">
        <v>424</v>
      </c>
      <c r="T31" s="93"/>
      <c r="U31" s="94"/>
      <c r="V31" s="95"/>
      <c r="W31" s="95"/>
      <c r="X31" s="96"/>
      <c r="Y31" s="57"/>
      <c r="Z31" s="93"/>
      <c r="AA31" s="97"/>
      <c r="AB31" s="57"/>
      <c r="AC31" s="93"/>
      <c r="AD31" s="97"/>
      <c r="AE31" s="53"/>
      <c r="AG31" s="106"/>
      <c r="AH31" s="92" t="s">
        <v>457</v>
      </c>
      <c r="AI31" s="89" t="str">
        <f ca="1"/>
        <v>0.012000 sec</v>
      </c>
      <c r="AJ31" s="52" t="s">
        <v>424</v>
      </c>
      <c r="AK31" s="52"/>
      <c r="AL31" s="52"/>
      <c r="AM31" s="52"/>
      <c r="AN31" s="135"/>
      <c r="AO31" s="136"/>
      <c r="AP31" s="136"/>
      <c r="AQ31" s="137"/>
      <c r="AR31" s="138"/>
      <c r="AS31" s="52"/>
      <c r="AT31" s="121"/>
      <c r="AU31" s="124"/>
      <c r="AV31" s="134"/>
      <c r="AW31" s="108"/>
      <c r="AY31" s="50"/>
      <c r="AZ31" s="52"/>
      <c r="BA31" s="52"/>
      <c r="BB31" s="52"/>
      <c r="BC31" s="52"/>
      <c r="BD31" s="52"/>
      <c r="BE31" s="53"/>
      <c r="BH31" s="50"/>
      <c r="BI31" s="52"/>
      <c r="BJ31" s="52"/>
      <c r="BK31" s="52"/>
      <c r="BL31" s="52"/>
      <c r="BM31" s="52"/>
      <c r="BN31" s="53"/>
      <c r="BO31" t="s">
        <v>435</v>
      </c>
      <c r="BP31" t="s">
        <v>1084</v>
      </c>
      <c r="BS31" s="620" t="s">
        <v>435</v>
      </c>
      <c r="BT31" s="620" t="s">
        <v>1084</v>
      </c>
      <c r="BW31" t="s">
        <v>435</v>
      </c>
      <c r="BX31" t="s">
        <v>1084</v>
      </c>
      <c r="CA31" s="649">
        <f ca="1"/>
        <v>44782</v>
      </c>
      <c r="CB31" s="648">
        <f ca="1"/>
        <v>1.6086716351004801E-4</v>
      </c>
      <c r="CC31" s="648">
        <f ca="1"/>
        <v>2.1434705318075001E-3</v>
      </c>
      <c r="CD31" s="648">
        <f ca="1"/>
        <v>5.7379689329551103E-3</v>
      </c>
      <c r="CE31" s="648"/>
    </row>
    <row r="32" spans="11:83" x14ac:dyDescent="0.25">
      <c r="K32" s="171">
        <f ca="1"/>
        <v>46274</v>
      </c>
      <c r="L32" s="172">
        <f ca="1"/>
        <v>6.2482713476007751E-3</v>
      </c>
      <c r="M32" s="172">
        <f ca="1"/>
        <v>7.3461877141012526E-3</v>
      </c>
      <c r="N32" s="173">
        <f ca="1"/>
        <v>8.5488259963429156E-3</v>
      </c>
      <c r="P32" s="50"/>
      <c r="Q32" s="98"/>
      <c r="R32" s="99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3"/>
      <c r="AG32" s="106"/>
      <c r="AH32" s="98"/>
      <c r="AI32" s="99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135"/>
      <c r="AU32" s="139"/>
      <c r="AV32" s="140"/>
      <c r="AW32" s="108"/>
      <c r="AY32" s="50"/>
      <c r="AZ32" s="52"/>
      <c r="BA32" s="52"/>
      <c r="BB32" s="52"/>
      <c r="BC32" s="52"/>
      <c r="BD32" s="52"/>
      <c r="BE32" s="53"/>
      <c r="BH32" s="50"/>
      <c r="BI32" s="52"/>
      <c r="BJ32" s="52"/>
      <c r="BK32" s="52"/>
      <c r="BL32" s="52"/>
      <c r="BM32" s="52"/>
      <c r="BN32" s="53"/>
      <c r="BO32" t="s">
        <v>438</v>
      </c>
      <c r="BP32" t="s">
        <v>439</v>
      </c>
      <c r="BS32" s="620" t="s">
        <v>438</v>
      </c>
      <c r="BT32" s="620" t="s">
        <v>439</v>
      </c>
      <c r="BW32" t="s">
        <v>438</v>
      </c>
      <c r="BX32" t="s">
        <v>439</v>
      </c>
      <c r="CA32" s="649">
        <f ca="1"/>
        <v>44813</v>
      </c>
      <c r="CB32" s="648">
        <f ca="1"/>
        <v>1.87117448788855E-4</v>
      </c>
      <c r="CC32" s="648">
        <f ca="1"/>
        <v>2.2163087332301799E-3</v>
      </c>
      <c r="CD32" s="648">
        <f ca="1"/>
        <v>5.9895793143916101E-3</v>
      </c>
      <c r="CE32" s="648"/>
    </row>
    <row r="33" spans="11:83" x14ac:dyDescent="0.25">
      <c r="K33" s="171">
        <f ca="1"/>
        <v>46365</v>
      </c>
      <c r="L33" s="172">
        <f ca="1"/>
        <v>6.6428911207772777E-3</v>
      </c>
      <c r="M33" s="172">
        <f ca="1"/>
        <v>7.7259319819249998E-3</v>
      </c>
      <c r="N33" s="173">
        <f ca="1"/>
        <v>8.9151168825092608E-3</v>
      </c>
      <c r="P33" s="50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3"/>
      <c r="AG33" s="106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108"/>
      <c r="AY33" s="50"/>
      <c r="AZ33" s="52"/>
      <c r="BA33" s="52"/>
      <c r="BB33" s="52"/>
      <c r="BC33" s="52"/>
      <c r="BD33" s="52"/>
      <c r="BE33" s="53"/>
      <c r="BH33" s="50"/>
      <c r="BI33" s="52"/>
      <c r="BJ33" s="52"/>
      <c r="BK33" s="52"/>
      <c r="BL33" s="52"/>
      <c r="BM33" s="52"/>
      <c r="BN33" s="53"/>
      <c r="BO33" t="s">
        <v>440</v>
      </c>
      <c r="BP33" s="360">
        <f ca="1">'STATIC DATA'!C5</f>
        <v>44083</v>
      </c>
      <c r="BS33" s="620" t="s">
        <v>440</v>
      </c>
      <c r="BT33" s="649">
        <f ca="1">'STATIC DATA'!G5</f>
        <v>44083</v>
      </c>
      <c r="BW33" t="s">
        <v>440</v>
      </c>
      <c r="BX33" s="360">
        <f ca="1">'STATIC DATA'!K5</f>
        <v>44083</v>
      </c>
      <c r="CA33" s="649">
        <f ca="1"/>
        <v>44844</v>
      </c>
      <c r="CB33" s="648">
        <f ca="1"/>
        <v>2.17733057903403E-4</v>
      </c>
      <c r="CC33" s="648">
        <f ca="1"/>
        <v>2.2917286387519301E-3</v>
      </c>
      <c r="CD33" s="648">
        <f ca="1"/>
        <v>6.2724132412039996E-3</v>
      </c>
      <c r="CE33" s="648"/>
    </row>
    <row r="34" spans="11:83" x14ac:dyDescent="0.25">
      <c r="K34" s="171">
        <f ca="1"/>
        <v>46455</v>
      </c>
      <c r="L34" s="172">
        <f ca="1"/>
        <v>7.0188077934474477E-3</v>
      </c>
      <c r="M34" s="172">
        <f ca="1"/>
        <v>8.0590883497262053E-3</v>
      </c>
      <c r="N34" s="173">
        <f ca="1"/>
        <v>9.2501306077868925E-3</v>
      </c>
      <c r="P34" s="50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3"/>
      <c r="AG34" s="106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108"/>
      <c r="AY34" s="50"/>
      <c r="AZ34" s="52"/>
      <c r="BA34" s="52"/>
      <c r="BB34" s="52"/>
      <c r="BC34" s="52"/>
      <c r="BD34" s="52"/>
      <c r="BE34" s="53"/>
      <c r="BH34" s="50"/>
      <c r="BI34" s="52"/>
      <c r="BJ34" s="52"/>
      <c r="BK34" s="52"/>
      <c r="BL34" s="52"/>
      <c r="BM34" s="52"/>
      <c r="BN34" s="53"/>
      <c r="CA34" s="649">
        <f ca="1"/>
        <v>44874</v>
      </c>
      <c r="CB34" s="648">
        <f ca="1"/>
        <v>2.5392761901166298E-4</v>
      </c>
      <c r="CC34" s="648">
        <f ca="1"/>
        <v>2.3658587781281498E-3</v>
      </c>
      <c r="CD34" s="648">
        <f ca="1"/>
        <v>6.53679401375842E-3</v>
      </c>
      <c r="CE34" s="648"/>
    </row>
    <row r="35" spans="11:83" x14ac:dyDescent="0.25">
      <c r="K35" s="171">
        <f ca="1"/>
        <v>46547</v>
      </c>
      <c r="L35" s="172">
        <f ca="1"/>
        <v>7.3853695802116983E-3</v>
      </c>
      <c r="M35" s="172">
        <f ca="1"/>
        <v>8.3690740605736856E-3</v>
      </c>
      <c r="N35" s="173">
        <f ca="1"/>
        <v>9.5580780229014475E-3</v>
      </c>
      <c r="P35" s="50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3"/>
      <c r="AG35" s="106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108"/>
      <c r="AY35" s="50"/>
      <c r="AZ35" s="52"/>
      <c r="BA35" s="52"/>
      <c r="BB35" s="52"/>
      <c r="BC35" s="52"/>
      <c r="BD35" s="52"/>
      <c r="BE35" s="53"/>
      <c r="BH35" s="50"/>
      <c r="BI35" s="52"/>
      <c r="BJ35" s="52"/>
      <c r="BK35" s="52"/>
      <c r="BL35" s="52"/>
      <c r="BM35" s="52"/>
      <c r="BN35" s="53"/>
      <c r="BO35" s="2" t="s">
        <v>441</v>
      </c>
      <c r="BS35" s="621" t="s">
        <v>441</v>
      </c>
      <c r="BW35" s="2" t="s">
        <v>441</v>
      </c>
      <c r="CA35" s="649">
        <f ca="1"/>
        <v>44904</v>
      </c>
      <c r="CB35" s="648">
        <f ca="1"/>
        <v>2.97189773617036E-4</v>
      </c>
      <c r="CC35" s="648">
        <f ca="1"/>
        <v>2.4389982069795701E-3</v>
      </c>
      <c r="CD35" s="648">
        <f ca="1"/>
        <v>6.7904002975982796E-3</v>
      </c>
      <c r="CE35" s="648"/>
    </row>
    <row r="36" spans="11:83" x14ac:dyDescent="0.25">
      <c r="K36" s="171">
        <f ca="1"/>
        <v>46639</v>
      </c>
      <c r="L36" s="172">
        <f ca="1"/>
        <v>7.7309901274335143E-3</v>
      </c>
      <c r="M36" s="172">
        <f ca="1"/>
        <v>8.6512995564740902E-3</v>
      </c>
      <c r="N36" s="173">
        <f ca="1"/>
        <v>9.8323183629564822E-3</v>
      </c>
      <c r="P36" s="50"/>
      <c r="Q36" s="52"/>
      <c r="R36" s="628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3"/>
      <c r="AG36" s="106"/>
      <c r="AH36" s="52"/>
      <c r="AI36" s="52"/>
      <c r="AJ36" s="52" t="s">
        <v>424</v>
      </c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108"/>
      <c r="AY36" s="50"/>
      <c r="AZ36" s="52"/>
      <c r="BA36" s="52"/>
      <c r="BB36" s="52"/>
      <c r="BC36" s="52"/>
      <c r="BD36" s="52"/>
      <c r="BE36" s="53"/>
      <c r="BH36" s="50"/>
      <c r="BI36" s="52"/>
      <c r="BJ36" s="52"/>
      <c r="BK36" s="52"/>
      <c r="BL36" s="52"/>
      <c r="BM36" s="52"/>
      <c r="BN36" s="53"/>
      <c r="BO36" t="s">
        <v>442</v>
      </c>
      <c r="BP36" t="s">
        <v>1100</v>
      </c>
      <c r="BS36" s="620" t="s">
        <v>442</v>
      </c>
      <c r="BT36" s="620" t="s">
        <v>1100</v>
      </c>
      <c r="BW36" t="s">
        <v>442</v>
      </c>
      <c r="BX36" t="s">
        <v>1100</v>
      </c>
      <c r="CA36" s="649">
        <f ca="1"/>
        <v>44935</v>
      </c>
      <c r="CB36" s="648">
        <f ca="1"/>
        <v>3.4478727608977598E-4</v>
      </c>
      <c r="CC36" s="648">
        <f ca="1"/>
        <v>2.5116542954908799E-3</v>
      </c>
      <c r="CD36" s="648">
        <f ca="1"/>
        <v>7.0167427314071999E-3</v>
      </c>
      <c r="CE36" s="648"/>
    </row>
    <row r="37" spans="11:83" x14ac:dyDescent="0.25">
      <c r="K37" s="171">
        <f ca="1"/>
        <v>46730</v>
      </c>
      <c r="L37" s="172">
        <f ca="1"/>
        <v>8.0554183090355402E-3</v>
      </c>
      <c r="M37" s="172">
        <f ca="1"/>
        <v>8.9278398519096781E-3</v>
      </c>
      <c r="N37" s="173">
        <f ca="1"/>
        <v>1.0123199004027264E-2</v>
      </c>
      <c r="P37" s="50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3"/>
      <c r="AG37" s="106"/>
      <c r="AH37" s="52"/>
      <c r="AI37" s="52"/>
      <c r="AJ37" s="52" t="s">
        <v>424</v>
      </c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108"/>
      <c r="AY37" s="50"/>
      <c r="AZ37" s="52"/>
      <c r="BA37" s="52"/>
      <c r="BB37" s="52"/>
      <c r="BC37" s="52"/>
      <c r="BD37" s="52"/>
      <c r="BE37" s="53"/>
      <c r="BH37" s="50"/>
      <c r="BI37" s="52"/>
      <c r="BJ37" s="52"/>
      <c r="BK37" s="52"/>
      <c r="BL37" s="52"/>
      <c r="BM37" s="52"/>
      <c r="BN37" s="53"/>
      <c r="BO37" t="s">
        <v>444</v>
      </c>
      <c r="BP37" s="444" t="str">
        <f ca="1">_xll.meLWOCurveMarketDataCreate(BP36,BO29,BO30:BP33)</f>
        <v>USD_FXFWD_MARKET_DATA@21:3</v>
      </c>
      <c r="BS37" s="620" t="s">
        <v>444</v>
      </c>
      <c r="BT37" s="652" t="str">
        <f ca="1">_xll.meLWOCurveMarketDataCreate(BT36,BS29,BS30:BT33)</f>
        <v>USD_FXFWD_MARKET_DATA@19:3</v>
      </c>
      <c r="BW37" t="s">
        <v>444</v>
      </c>
      <c r="BX37" s="444" t="str">
        <f ca="1">_xll.meLWOCurveMarketDataCreate(BX36,BW29,BW30:BX33)</f>
        <v>USD_FXFWD_MARKET_DATA@22:3</v>
      </c>
      <c r="CA37" s="649">
        <f ca="1"/>
        <v>44966</v>
      </c>
      <c r="CB37" s="648">
        <f ca="1"/>
        <v>3.9998516419004302E-4</v>
      </c>
      <c r="CC37" s="648">
        <f ca="1"/>
        <v>2.5812261721481601E-3</v>
      </c>
      <c r="CD37" s="648">
        <f ca="1"/>
        <v>7.2315802780398503E-3</v>
      </c>
      <c r="CE37" s="648"/>
    </row>
    <row r="38" spans="11:83" x14ac:dyDescent="0.25">
      <c r="K38" s="171">
        <f ca="1"/>
        <v>46821</v>
      </c>
      <c r="L38" s="172">
        <f ca="1"/>
        <v>8.3676332904212523E-3</v>
      </c>
      <c r="M38" s="172">
        <f ca="1"/>
        <v>9.2260270054660941E-3</v>
      </c>
      <c r="N38" s="173">
        <f ca="1"/>
        <v>1.0442963789956619E-2</v>
      </c>
      <c r="P38" s="50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3"/>
      <c r="AG38" s="106"/>
      <c r="AH38" s="52"/>
      <c r="AI38" s="52"/>
      <c r="AJ38" s="52" t="s">
        <v>424</v>
      </c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108"/>
      <c r="AY38" s="50"/>
      <c r="AZ38" s="52"/>
      <c r="BA38" s="52"/>
      <c r="BB38" s="52"/>
      <c r="BC38" s="52"/>
      <c r="BD38" s="52"/>
      <c r="BE38" s="53"/>
      <c r="BH38" s="50"/>
      <c r="BI38" s="52"/>
      <c r="BJ38" s="52"/>
      <c r="BK38" s="52"/>
      <c r="BL38" s="52"/>
      <c r="BM38" s="52"/>
      <c r="BN38" s="53"/>
      <c r="CA38" s="649">
        <f ca="1"/>
        <v>44994</v>
      </c>
      <c r="CB38" s="648">
        <f ca="1"/>
        <v>4.55094423346127E-4</v>
      </c>
      <c r="CC38" s="648">
        <f ca="1"/>
        <v>2.6418108209487899E-3</v>
      </c>
      <c r="CD38" s="648">
        <f ca="1"/>
        <v>7.4088465075750299E-3</v>
      </c>
      <c r="CE38" s="648"/>
    </row>
    <row r="39" spans="11:83" x14ac:dyDescent="0.25">
      <c r="K39" s="171">
        <f ca="1"/>
        <v>46913</v>
      </c>
      <c r="L39" s="172">
        <f ca="1"/>
        <v>8.6731729200457807E-3</v>
      </c>
      <c r="M39" s="172">
        <f ca="1"/>
        <v>9.5475486168596687E-3</v>
      </c>
      <c r="N39" s="173">
        <f ca="1"/>
        <v>1.0791523310708763E-2</v>
      </c>
      <c r="P39" s="50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3"/>
      <c r="AG39" s="106"/>
      <c r="AH39" s="52"/>
      <c r="AI39" s="52"/>
      <c r="AJ39" s="52" t="s">
        <v>424</v>
      </c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108"/>
      <c r="AY39" s="50"/>
      <c r="AZ39" s="52"/>
      <c r="BA39" s="52"/>
      <c r="BB39" s="52"/>
      <c r="BC39" s="52"/>
      <c r="BD39" s="52"/>
      <c r="BE39" s="53"/>
      <c r="BH39" s="50"/>
      <c r="BI39" s="52"/>
      <c r="BJ39" s="52"/>
      <c r="BK39" s="52"/>
      <c r="BL39" s="52"/>
      <c r="BM39" s="52"/>
      <c r="BN39" s="53"/>
      <c r="BO39" s="2" t="s">
        <v>447</v>
      </c>
      <c r="BS39" s="621" t="s">
        <v>447</v>
      </c>
      <c r="BW39" s="2" t="s">
        <v>447</v>
      </c>
      <c r="CA39" s="649">
        <f ca="1"/>
        <v>45026</v>
      </c>
      <c r="CB39" s="648">
        <f ca="1"/>
        <v>5.2426836799846096E-4</v>
      </c>
      <c r="CC39" s="648">
        <f ca="1"/>
        <v>2.7088225861586399E-3</v>
      </c>
      <c r="CD39" s="648">
        <f ca="1"/>
        <v>7.5919924102585698E-3</v>
      </c>
      <c r="CE39" s="648"/>
    </row>
    <row r="40" spans="11:83" x14ac:dyDescent="0.25">
      <c r="K40" s="171">
        <f ca="1"/>
        <v>47007</v>
      </c>
      <c r="L40" s="172">
        <f ca="1"/>
        <v>8.9631708692724937E-3</v>
      </c>
      <c r="M40" s="172">
        <f ca="1"/>
        <v>9.8975482699045613E-3</v>
      </c>
      <c r="N40" s="173">
        <f ca="1"/>
        <v>1.1158814748184915E-2</v>
      </c>
      <c r="P40" s="50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3"/>
      <c r="AG40" s="106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108"/>
      <c r="AY40" s="50"/>
      <c r="AZ40" s="52"/>
      <c r="BA40" s="52"/>
      <c r="BB40" s="52"/>
      <c r="BC40" s="52"/>
      <c r="BD40" s="52"/>
      <c r="BE40" s="53"/>
      <c r="BH40" s="50"/>
      <c r="BI40" s="52"/>
      <c r="BJ40" s="52"/>
      <c r="BK40" s="52"/>
      <c r="BL40" s="52"/>
      <c r="BM40" s="52"/>
      <c r="BN40" s="53"/>
      <c r="BO40" t="s">
        <v>442</v>
      </c>
      <c r="BP40" t="s">
        <v>1102</v>
      </c>
      <c r="BS40" s="620" t="s">
        <v>442</v>
      </c>
      <c r="BT40" s="620" t="s">
        <v>1130</v>
      </c>
      <c r="BW40" t="s">
        <v>442</v>
      </c>
      <c r="BX40" t="s">
        <v>1627</v>
      </c>
      <c r="CA40" s="649">
        <f ca="1"/>
        <v>45055</v>
      </c>
      <c r="CB40" s="648">
        <f ca="1"/>
        <v>5.9276955328258104E-4</v>
      </c>
      <c r="CC40" s="648">
        <f ca="1"/>
        <v>2.7675046904883098E-3</v>
      </c>
      <c r="CD40" s="648">
        <f ca="1"/>
        <v>7.7401374291508297E-3</v>
      </c>
      <c r="CE40" s="648"/>
    </row>
    <row r="41" spans="11:83" x14ac:dyDescent="0.25">
      <c r="K41" s="171">
        <f ca="1"/>
        <v>47098</v>
      </c>
      <c r="L41" s="172">
        <f ca="1"/>
        <v>9.231322239660833E-3</v>
      </c>
      <c r="M41" s="172">
        <f ca="1"/>
        <v>1.0221031201232017E-2</v>
      </c>
      <c r="N41" s="173">
        <f ca="1"/>
        <v>1.1470776778864957E-2</v>
      </c>
      <c r="P41" s="50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3"/>
      <c r="AG41" s="106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108"/>
      <c r="AY41" s="50"/>
      <c r="AZ41" s="52"/>
      <c r="BA41" s="52"/>
      <c r="BB41" s="52"/>
      <c r="BC41" s="52"/>
      <c r="BD41" s="52"/>
      <c r="BE41" s="53"/>
      <c r="BH41" s="50"/>
      <c r="BI41" s="52"/>
      <c r="BJ41" s="52"/>
      <c r="BK41" s="52"/>
      <c r="BL41" s="52"/>
      <c r="BM41" s="52"/>
      <c r="BN41" s="53"/>
      <c r="BO41" t="s">
        <v>450</v>
      </c>
      <c r="BP41" t="str">
        <f>BP6</f>
        <v>USD_EURCSA@16:1</v>
      </c>
      <c r="BS41" s="620" t="s">
        <v>450</v>
      </c>
      <c r="BT41" s="620" t="str">
        <f>BT6</f>
        <v>USD_JPYCSA@15:1</v>
      </c>
      <c r="BW41" t="s">
        <v>450</v>
      </c>
      <c r="BX41" t="str">
        <f>BX6</f>
        <v>USD_CNHCSA@14:1</v>
      </c>
      <c r="CA41" s="649">
        <f ca="1"/>
        <v>45086</v>
      </c>
      <c r="CB41" s="648">
        <f ca="1"/>
        <v>6.7477802979887497E-4</v>
      </c>
      <c r="CC41" s="648">
        <f ca="1"/>
        <v>2.8279614922172599E-3</v>
      </c>
      <c r="CD41" s="648">
        <f ca="1"/>
        <v>7.8840537958413705E-3</v>
      </c>
      <c r="CE41" s="648"/>
    </row>
    <row r="42" spans="11:83" x14ac:dyDescent="0.25">
      <c r="K42" s="171">
        <f ca="1"/>
        <v>47186</v>
      </c>
      <c r="L42" s="172">
        <f ca="1"/>
        <v>9.4775897005912775E-3</v>
      </c>
      <c r="M42" s="172">
        <f ca="1"/>
        <v>1.0492217592414867E-2</v>
      </c>
      <c r="N42" s="173">
        <f ca="1"/>
        <v>1.1716526468674854E-2</v>
      </c>
      <c r="P42" s="50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3"/>
      <c r="AG42" s="106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108"/>
      <c r="AY42" s="50"/>
      <c r="AZ42" s="52"/>
      <c r="BA42" s="52"/>
      <c r="BB42" s="52"/>
      <c r="BC42" s="52"/>
      <c r="BD42" s="52"/>
      <c r="BE42" s="53"/>
      <c r="BH42" s="50"/>
      <c r="BI42" s="52"/>
      <c r="BJ42" s="52"/>
      <c r="BK42" s="52"/>
      <c r="BL42" s="52"/>
      <c r="BM42" s="52"/>
      <c r="BN42" s="53"/>
      <c r="BO42" t="s">
        <v>452</v>
      </c>
      <c r="BP42" t="str">
        <f ca="1">BA23</f>
        <v>USDYC</v>
      </c>
      <c r="BS42" s="620" t="s">
        <v>452</v>
      </c>
      <c r="BT42" s="620" t="s">
        <v>437</v>
      </c>
      <c r="BW42" t="s">
        <v>452</v>
      </c>
      <c r="BX42" t="s">
        <v>437</v>
      </c>
      <c r="CA42" s="649">
        <f ca="1"/>
        <v>45117</v>
      </c>
      <c r="CB42" s="648">
        <f ca="1"/>
        <v>7.5785327773303704E-4</v>
      </c>
      <c r="CC42" s="648">
        <f ca="1"/>
        <v>2.8866412517376799E-3</v>
      </c>
      <c r="CD42" s="648">
        <f ca="1"/>
        <v>7.9999833422572907E-3</v>
      </c>
      <c r="CE42" s="648"/>
    </row>
    <row r="43" spans="11:83" x14ac:dyDescent="0.25">
      <c r="K43" s="171">
        <f ca="1"/>
        <v>47280</v>
      </c>
      <c r="L43" s="172">
        <f ca="1"/>
        <v>9.7160946112720172E-3</v>
      </c>
      <c r="M43" s="172">
        <f ca="1"/>
        <v>1.0737439403551693E-2</v>
      </c>
      <c r="N43" s="173">
        <f ca="1"/>
        <v>1.191511659343329E-2</v>
      </c>
      <c r="P43" s="50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3"/>
      <c r="AG43" s="106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108"/>
      <c r="AY43" s="50"/>
      <c r="AZ43" s="52"/>
      <c r="BA43" s="52"/>
      <c r="BB43" s="52"/>
      <c r="BC43" s="52"/>
      <c r="BD43" s="52"/>
      <c r="BE43" s="53"/>
      <c r="BH43" s="50"/>
      <c r="BI43" s="52"/>
      <c r="BJ43" s="52"/>
      <c r="BK43" s="52"/>
      <c r="BL43" s="52"/>
      <c r="BM43" s="52"/>
      <c r="BN43" s="53"/>
      <c r="BO43" t="s">
        <v>453</v>
      </c>
      <c r="BP43" t="s">
        <v>929</v>
      </c>
      <c r="BS43" s="620" t="s">
        <v>453</v>
      </c>
      <c r="BT43" s="620" t="s">
        <v>1131</v>
      </c>
      <c r="BW43" t="s">
        <v>453</v>
      </c>
      <c r="BX43" t="s">
        <v>1255</v>
      </c>
      <c r="CA43" s="649">
        <f ca="1"/>
        <v>45147</v>
      </c>
      <c r="CB43" s="648">
        <f ca="1"/>
        <v>8.4703524106722098E-4</v>
      </c>
      <c r="CC43" s="648">
        <f ca="1"/>
        <v>2.9457578538271698E-3</v>
      </c>
      <c r="CD43" s="648">
        <f ca="1"/>
        <v>8.0981703670080195E-3</v>
      </c>
      <c r="CE43" s="648"/>
    </row>
    <row r="44" spans="11:83" x14ac:dyDescent="0.25">
      <c r="K44" s="171">
        <f ca="1"/>
        <v>47371</v>
      </c>
      <c r="L44" s="172">
        <f ca="1"/>
        <v>9.9304229568970576E-3</v>
      </c>
      <c r="M44" s="172">
        <f ca="1"/>
        <v>1.0934207573170795E-2</v>
      </c>
      <c r="N44" s="173">
        <f ca="1"/>
        <v>1.2054491596492686E-2</v>
      </c>
      <c r="P44" s="50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3"/>
      <c r="AG44" s="106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108"/>
      <c r="AY44" s="50"/>
      <c r="AZ44" s="52"/>
      <c r="BA44" s="52"/>
      <c r="BB44" s="52"/>
      <c r="BC44" s="52"/>
      <c r="BD44" s="52"/>
      <c r="BE44" s="53"/>
      <c r="BH44" s="50"/>
      <c r="BI44" s="52"/>
      <c r="BJ44" s="52"/>
      <c r="BK44" s="52"/>
      <c r="BL44" s="52"/>
      <c r="BM44" s="52"/>
      <c r="BN44" s="53"/>
      <c r="CA44" s="649">
        <f ca="1"/>
        <v>45180</v>
      </c>
      <c r="CB44" s="648">
        <f ca="1"/>
        <v>9.5218924657025996E-4</v>
      </c>
      <c r="CC44" s="648">
        <f ca="1"/>
        <v>3.01946987700766E-3</v>
      </c>
      <c r="CD44" s="648">
        <f ca="1"/>
        <v>8.1854432351402794E-3</v>
      </c>
      <c r="CE44" s="648"/>
    </row>
    <row r="45" spans="11:83" x14ac:dyDescent="0.25">
      <c r="K45" s="171">
        <f ca="1"/>
        <v>47462</v>
      </c>
      <c r="L45" s="172">
        <f ca="1"/>
        <v>1.0124521700774575E-2</v>
      </c>
      <c r="M45" s="172">
        <f ca="1"/>
        <v>1.1101120774270135E-2</v>
      </c>
      <c r="N45" s="173">
        <f ca="1"/>
        <v>1.2180248465894746E-2</v>
      </c>
      <c r="P45" s="50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3"/>
      <c r="AG45" s="106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108"/>
      <c r="AY45" s="50"/>
      <c r="AZ45" s="52"/>
      <c r="BA45" s="52"/>
      <c r="BB45" s="52"/>
      <c r="BC45" s="52"/>
      <c r="BD45" s="52"/>
      <c r="BE45" s="53"/>
      <c r="BH45" s="50"/>
      <c r="BI45" s="52"/>
      <c r="BJ45" s="52"/>
      <c r="BK45" s="52"/>
      <c r="BL45" s="52"/>
      <c r="BM45" s="52"/>
      <c r="BN45" s="53"/>
      <c r="BO45" s="2" t="s">
        <v>454</v>
      </c>
      <c r="BS45" s="621" t="s">
        <v>454</v>
      </c>
      <c r="BW45" s="2" t="s">
        <v>454</v>
      </c>
      <c r="CA45" s="649">
        <f ca="1"/>
        <v>45208</v>
      </c>
      <c r="CB45" s="648">
        <f ca="1"/>
        <v>1.0471431639391699E-3</v>
      </c>
      <c r="CC45" s="648">
        <f ca="1"/>
        <v>3.0932904939378102E-3</v>
      </c>
      <c r="CD45" s="648">
        <f ca="1"/>
        <v>8.2563445113504105E-3</v>
      </c>
      <c r="CE45" s="648"/>
    </row>
    <row r="46" spans="11:83" x14ac:dyDescent="0.25">
      <c r="K46" s="171">
        <f ca="1"/>
        <v>47553</v>
      </c>
      <c r="L46" s="172">
        <f ca="1"/>
        <v>1.0297243284609958E-2</v>
      </c>
      <c r="M46" s="172">
        <f ca="1"/>
        <v>1.1242219359086172E-2</v>
      </c>
      <c r="N46" s="173">
        <f ca="1"/>
        <v>1.2304629955627359E-2</v>
      </c>
      <c r="P46" s="50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3"/>
      <c r="AG46" s="106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108"/>
      <c r="AY46" s="50"/>
      <c r="AZ46" s="52"/>
      <c r="BA46" s="52"/>
      <c r="BB46" s="52"/>
      <c r="BC46" s="52"/>
      <c r="BD46" s="52"/>
      <c r="BE46" s="53"/>
      <c r="BH46" s="50"/>
      <c r="BI46" s="52"/>
      <c r="BJ46" s="52"/>
      <c r="BK46" s="52"/>
      <c r="BL46" s="52"/>
      <c r="BM46" s="52"/>
      <c r="BN46" s="53"/>
      <c r="BO46" t="s">
        <v>442</v>
      </c>
      <c r="BP46" s="647" t="str">
        <f t="array" aca="1" ref="BP46:BP49" ca="1">IF(AND(ExistsUSD3M,ExistsEURXCCY),_xll.meLWOCurveCalibrate(BP40,BP41,BP37,BP42,BP43),"LOAD DEPENDENCY")</f>
        <v>USD_EURCSA_CURVE@58:2</v>
      </c>
      <c r="BS46" s="620" t="s">
        <v>442</v>
      </c>
      <c r="BT46" s="647" t="str">
        <f t="array" aca="1" ref="BT46:BT49" ca="1">IF(AND(ExistsUSD3M,ExistsJPYXCCY),_xll.meLWOCurveCalibrate(BT40,BT41,BT37,BT42,BT43),"LOAD DEPENDENCY")</f>
        <v>USD_JPYCSA_CURVE@55:3</v>
      </c>
      <c r="BW46" t="s">
        <v>442</v>
      </c>
      <c r="BX46" s="647" t="str">
        <f t="array" aca="1" ref="BX46:BX49" ca="1">IF(AND(ExistsUSD3M,ExistsCNHXCCY),_xll.meLWOCurveCalibrate(BX40,BX41,BX37,BX42,BX43),"LOAD DEPENDENCY")</f>
        <v>LOAD DEPENDENCY</v>
      </c>
      <c r="CA46" s="649">
        <f ca="1"/>
        <v>45239</v>
      </c>
      <c r="CB46" s="648">
        <f ca="1"/>
        <v>1.1583350349298001E-3</v>
      </c>
      <c r="CC46" s="648">
        <f ca="1"/>
        <v>3.18822277344568E-3</v>
      </c>
      <c r="CD46" s="648">
        <f ca="1"/>
        <v>8.3479549923915208E-3</v>
      </c>
      <c r="CE46" s="648"/>
    </row>
    <row r="47" spans="11:83" x14ac:dyDescent="0.25">
      <c r="K47" s="171">
        <f ca="1"/>
        <v>47644</v>
      </c>
      <c r="L47" s="172">
        <f ca="1"/>
        <v>1.0447445995445722E-2</v>
      </c>
      <c r="M47" s="172">
        <f ca="1"/>
        <v>1.1357896103881321E-2</v>
      </c>
      <c r="N47" s="173">
        <f ca="1"/>
        <v>1.2423189833999081E-2</v>
      </c>
      <c r="P47" s="50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3"/>
      <c r="AG47" s="106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108"/>
      <c r="AY47" s="50"/>
      <c r="AZ47" s="52"/>
      <c r="BA47" s="52"/>
      <c r="BB47" s="52"/>
      <c r="BC47" s="52"/>
      <c r="BD47" s="52"/>
      <c r="BE47" s="53"/>
      <c r="BH47" s="50"/>
      <c r="BI47" s="52"/>
      <c r="BJ47" s="52"/>
      <c r="BK47" s="52"/>
      <c r="BL47" s="52"/>
      <c r="BM47" s="52"/>
      <c r="BN47" s="53"/>
      <c r="BO47" t="s">
        <v>455</v>
      </c>
      <c r="BP47" t="str">
        <f ca="1"/>
        <v>USDYC</v>
      </c>
      <c r="BS47" s="620" t="s">
        <v>455</v>
      </c>
      <c r="BT47" s="620" t="str">
        <f ca="1"/>
        <v>USDYC</v>
      </c>
      <c r="BW47" t="s">
        <v>455</v>
      </c>
      <c r="BX47" t="str">
        <f ca="1"/>
        <v>LOAD DEPENDENCY</v>
      </c>
      <c r="CA47" s="649">
        <f ca="1"/>
        <v>45271</v>
      </c>
      <c r="CB47" s="648">
        <f ca="1"/>
        <v>1.27980388646698E-3</v>
      </c>
      <c r="CC47" s="648">
        <f ca="1"/>
        <v>3.3009284586964002E-3</v>
      </c>
      <c r="CD47" s="648">
        <f ca="1"/>
        <v>8.4570164394648702E-3</v>
      </c>
      <c r="CE47" s="648"/>
    </row>
    <row r="48" spans="11:83" x14ac:dyDescent="0.25">
      <c r="K48" s="171">
        <f ca="1"/>
        <v>47735</v>
      </c>
      <c r="L48" s="172">
        <f ca="1"/>
        <v>1.0573956930207141E-2</v>
      </c>
      <c r="M48" s="172">
        <f ca="1"/>
        <v>1.1449979874987999E-2</v>
      </c>
      <c r="N48" s="173">
        <f ca="1"/>
        <v>1.2535083166973561E-2</v>
      </c>
      <c r="P48" s="50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3"/>
      <c r="AG48" s="106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108"/>
      <c r="AY48" s="50"/>
      <c r="AZ48" s="52"/>
      <c r="BA48" s="52"/>
      <c r="BB48" s="52"/>
      <c r="BC48" s="52"/>
      <c r="BD48" s="52"/>
      <c r="BE48" s="53"/>
      <c r="BH48" s="50"/>
      <c r="BI48" s="52"/>
      <c r="BJ48" s="52"/>
      <c r="BK48" s="52"/>
      <c r="BL48" s="52"/>
      <c r="BM48" s="52"/>
      <c r="BN48" s="53"/>
      <c r="BO48" t="s">
        <v>456</v>
      </c>
      <c r="BP48" t="str">
        <f ca="1"/>
        <v>FwdFXConstEUR:USDDF_EURCSA</v>
      </c>
      <c r="BS48" s="620" t="s">
        <v>456</v>
      </c>
      <c r="BT48" s="620" t="str">
        <f ca="1"/>
        <v>FwdFXConstJPY:USDDF_JPYCSA</v>
      </c>
      <c r="BW48" t="s">
        <v>456</v>
      </c>
      <c r="BX48" t="str">
        <f ca="1"/>
        <v>LOAD DEPENDENCY</v>
      </c>
      <c r="CA48" s="649">
        <f ca="1"/>
        <v>45300</v>
      </c>
      <c r="CB48" s="648">
        <f ca="1"/>
        <v>1.3957983782386699E-3</v>
      </c>
      <c r="CC48" s="648">
        <f ca="1"/>
        <v>3.41605423799123E-3</v>
      </c>
      <c r="CD48" s="648">
        <f ca="1"/>
        <v>8.5685915674016695E-3</v>
      </c>
      <c r="CE48" s="648"/>
    </row>
    <row r="49" spans="11:83" x14ac:dyDescent="0.25">
      <c r="K49" s="171" t="e">
        <f ca="1"/>
        <v>#N/A</v>
      </c>
      <c r="L49" s="172" t="e">
        <f ca="1"/>
        <v>#N/A</v>
      </c>
      <c r="M49" s="172" t="e">
        <f ca="1"/>
        <v>#N/A</v>
      </c>
      <c r="N49" s="173" t="e">
        <f ca="1"/>
        <v>#N/A</v>
      </c>
      <c r="P49" s="50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3"/>
      <c r="AG49" s="106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108"/>
      <c r="AY49" s="50"/>
      <c r="AZ49" s="52"/>
      <c r="BA49" s="52"/>
      <c r="BB49" s="52"/>
      <c r="BC49" s="52"/>
      <c r="BD49" s="52"/>
      <c r="BE49" s="53"/>
      <c r="BH49" s="50"/>
      <c r="BI49" s="52"/>
      <c r="BJ49" s="52"/>
      <c r="BK49" s="52"/>
      <c r="BL49" s="52"/>
      <c r="BM49" s="52"/>
      <c r="BN49" s="53"/>
      <c r="BO49" t="s">
        <v>664</v>
      </c>
      <c r="BP49" t="str">
        <f ca="1"/>
        <v>0.001000 sec</v>
      </c>
      <c r="BS49" s="620" t="s">
        <v>664</v>
      </c>
      <c r="BT49" s="620" t="str">
        <f ca="1"/>
        <v>0.001000 sec</v>
      </c>
      <c r="BW49" t="s">
        <v>664</v>
      </c>
      <c r="BX49" t="str">
        <f ca="1"/>
        <v>LOAD DEPENDENCY</v>
      </c>
      <c r="CA49" s="649">
        <f ca="1"/>
        <v>45331</v>
      </c>
      <c r="CB49" s="648">
        <f ca="1"/>
        <v>1.5303756174045501E-3</v>
      </c>
      <c r="CC49" s="648">
        <f ca="1"/>
        <v>3.5525584778276099E-3</v>
      </c>
      <c r="CD49" s="648">
        <f ca="1"/>
        <v>8.7060016088003397E-3</v>
      </c>
      <c r="CE49" s="648"/>
    </row>
    <row r="50" spans="11:83" x14ac:dyDescent="0.25">
      <c r="K50" s="171" t="e">
        <f ca="1"/>
        <v>#N/A</v>
      </c>
      <c r="L50" s="172" t="e">
        <f ca="1"/>
        <v>#N/A</v>
      </c>
      <c r="M50" s="172" t="e">
        <f ca="1"/>
        <v>#N/A</v>
      </c>
      <c r="N50" s="173" t="e">
        <f ca="1"/>
        <v>#N/A</v>
      </c>
      <c r="P50" s="50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3"/>
      <c r="AG50" s="106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108"/>
      <c r="AY50" s="50"/>
      <c r="AZ50" s="52"/>
      <c r="BA50" s="52"/>
      <c r="BB50" s="52"/>
      <c r="BC50" s="52"/>
      <c r="BD50" s="52"/>
      <c r="BE50" s="53"/>
      <c r="BH50" s="50"/>
      <c r="BI50" s="52"/>
      <c r="BJ50" s="52"/>
      <c r="BK50" s="52"/>
      <c r="BL50" s="52"/>
      <c r="BM50" s="52"/>
      <c r="BN50" s="53"/>
      <c r="BP50" s="620"/>
      <c r="CA50" s="649">
        <f ca="1"/>
        <v>45362</v>
      </c>
      <c r="CB50" s="648">
        <f ca="1"/>
        <v>1.6627967752302999E-3</v>
      </c>
      <c r="CC50" s="648">
        <f ca="1"/>
        <v>3.70264614406291E-3</v>
      </c>
      <c r="CD50" s="648">
        <f ca="1"/>
        <v>8.8478631394295695E-3</v>
      </c>
      <c r="CE50" s="648"/>
    </row>
    <row r="51" spans="11:83" x14ac:dyDescent="0.25">
      <c r="K51" s="171" t="e">
        <f ca="1"/>
        <v>#N/A</v>
      </c>
      <c r="L51" s="172" t="e">
        <f ca="1"/>
        <v>#N/A</v>
      </c>
      <c r="M51" s="172" t="e">
        <f ca="1"/>
        <v>#N/A</v>
      </c>
      <c r="N51" s="173" t="e">
        <f ca="1"/>
        <v>#N/A</v>
      </c>
      <c r="P51" s="50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3"/>
      <c r="AG51" s="106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108"/>
      <c r="AY51" s="50"/>
      <c r="AZ51" s="52"/>
      <c r="BA51" s="52"/>
      <c r="BB51" s="52"/>
      <c r="BC51" s="52"/>
      <c r="BD51" s="52"/>
      <c r="BE51" s="53"/>
      <c r="BH51" s="50"/>
      <c r="BI51" s="52"/>
      <c r="BJ51" s="52"/>
      <c r="BK51" s="52"/>
      <c r="BL51" s="52"/>
      <c r="BM51" s="52"/>
      <c r="BN51" s="53"/>
      <c r="CA51" s="649">
        <f ca="1"/>
        <v>45391</v>
      </c>
      <c r="CB51" s="648">
        <f ca="1"/>
        <v>1.7966109596834301E-3</v>
      </c>
      <c r="CC51" s="648">
        <f ca="1"/>
        <v>3.8551153146259899E-3</v>
      </c>
      <c r="CD51" s="648">
        <f ca="1"/>
        <v>8.9975955526977805E-3</v>
      </c>
      <c r="CE51" s="648"/>
    </row>
    <row r="52" spans="11:83" x14ac:dyDescent="0.25">
      <c r="K52" s="171" t="e">
        <f ca="1"/>
        <v>#N/A</v>
      </c>
      <c r="L52" s="172" t="e">
        <f ca="1"/>
        <v>#N/A</v>
      </c>
      <c r="M52" s="172" t="e">
        <f ca="1"/>
        <v>#N/A</v>
      </c>
      <c r="N52" s="173" t="e">
        <f ca="1"/>
        <v>#N/A</v>
      </c>
      <c r="P52" s="50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3"/>
      <c r="AG52" s="106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108"/>
      <c r="AY52" s="50"/>
      <c r="AZ52" s="52"/>
      <c r="BA52" s="52"/>
      <c r="BB52" s="52"/>
      <c r="BC52" s="52"/>
      <c r="BD52" s="52"/>
      <c r="BE52" s="53"/>
      <c r="BH52" s="50"/>
      <c r="BI52" s="52"/>
      <c r="BJ52" s="52"/>
      <c r="BK52" s="52"/>
      <c r="BL52" s="52"/>
      <c r="BM52" s="52"/>
      <c r="BN52" s="53"/>
      <c r="CA52" s="649">
        <f ca="1"/>
        <v>45421</v>
      </c>
      <c r="CB52" s="648">
        <f ca="1"/>
        <v>1.94106786148397E-3</v>
      </c>
      <c r="CC52" s="648">
        <f ca="1"/>
        <v>4.0250637700692199E-3</v>
      </c>
      <c r="CD52" s="648">
        <f ca="1"/>
        <v>9.1653244046252906E-3</v>
      </c>
      <c r="CE52" s="648"/>
    </row>
    <row r="53" spans="11:83" x14ac:dyDescent="0.25">
      <c r="K53" s="171" t="e">
        <f ca="1"/>
        <v>#N/A</v>
      </c>
      <c r="L53" s="172" t="e">
        <f ca="1"/>
        <v>#N/A</v>
      </c>
      <c r="M53" s="172" t="e">
        <f ca="1"/>
        <v>#N/A</v>
      </c>
      <c r="N53" s="173" t="e">
        <f ca="1"/>
        <v>#N/A</v>
      </c>
      <c r="P53" s="50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3"/>
      <c r="AG53" s="106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108"/>
      <c r="AY53" s="50"/>
      <c r="AZ53" s="52"/>
      <c r="BA53" s="52"/>
      <c r="BB53" s="52"/>
      <c r="BC53" s="52"/>
      <c r="BD53" s="52"/>
      <c r="BE53" s="53"/>
      <c r="BH53" s="50"/>
      <c r="BI53" s="52"/>
      <c r="BJ53" s="52"/>
      <c r="BK53" s="52"/>
      <c r="BL53" s="52"/>
      <c r="BM53" s="52"/>
      <c r="BN53" s="53"/>
      <c r="CA53" s="649">
        <f ca="1"/>
        <v>45453</v>
      </c>
      <c r="CB53" s="648">
        <f ca="1"/>
        <v>2.1019226018115299E-3</v>
      </c>
      <c r="CC53" s="648">
        <f ca="1"/>
        <v>4.22003915608298E-3</v>
      </c>
      <c r="CD53" s="648">
        <f ca="1"/>
        <v>9.3586714131888293E-3</v>
      </c>
      <c r="CE53" s="648"/>
    </row>
    <row r="54" spans="11:83" x14ac:dyDescent="0.25">
      <c r="K54" s="171" t="e">
        <f ca="1"/>
        <v>#N/A</v>
      </c>
      <c r="L54" s="172" t="e">
        <f ca="1"/>
        <v>#N/A</v>
      </c>
      <c r="M54" s="172" t="e">
        <f ca="1"/>
        <v>#N/A</v>
      </c>
      <c r="N54" s="173" t="e">
        <f ca="1"/>
        <v>#N/A</v>
      </c>
      <c r="P54" s="50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3"/>
      <c r="AG54" s="106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108"/>
      <c r="AY54" s="50"/>
      <c r="AZ54" s="52"/>
      <c r="BA54" s="52"/>
      <c r="BB54" s="52"/>
      <c r="BC54" s="52"/>
      <c r="BD54" s="52"/>
      <c r="BE54" s="53"/>
      <c r="BH54" s="50"/>
      <c r="BI54" s="52"/>
      <c r="BJ54" s="52"/>
      <c r="BK54" s="52"/>
      <c r="BL54" s="52"/>
      <c r="BM54" s="52"/>
      <c r="BN54" s="53"/>
      <c r="CA54" s="649">
        <f ca="1"/>
        <v>45482</v>
      </c>
      <c r="CB54" s="648">
        <f ca="1"/>
        <v>2.2538148919970598E-3</v>
      </c>
      <c r="CC54" s="648">
        <f ca="1"/>
        <v>4.4081441906232499E-3</v>
      </c>
      <c r="CD54" s="648">
        <f ca="1"/>
        <v>9.5468258366704709E-3</v>
      </c>
      <c r="CE54" s="648"/>
    </row>
    <row r="55" spans="11:83" x14ac:dyDescent="0.25">
      <c r="K55" s="171" t="e">
        <f ca="1"/>
        <v>#N/A</v>
      </c>
      <c r="L55" s="172" t="e">
        <f ca="1"/>
        <v>#N/A</v>
      </c>
      <c r="M55" s="172" t="e">
        <f ca="1"/>
        <v>#N/A</v>
      </c>
      <c r="N55" s="173" t="e">
        <f ca="1"/>
        <v>#N/A</v>
      </c>
      <c r="P55" s="50"/>
      <c r="Q55" s="102"/>
      <c r="R55" s="55"/>
      <c r="S55" s="52"/>
      <c r="T55" s="52"/>
      <c r="U55" s="52"/>
      <c r="V55" s="52"/>
      <c r="W55" s="52"/>
      <c r="X55" s="52"/>
      <c r="Y55" s="57"/>
      <c r="Z55" s="52"/>
      <c r="AA55" s="52"/>
      <c r="AB55" s="57"/>
      <c r="AC55" s="52"/>
      <c r="AD55" s="52"/>
      <c r="AE55" s="53"/>
      <c r="AG55" s="106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108"/>
      <c r="AY55" s="50"/>
      <c r="AZ55" s="52"/>
      <c r="BA55" s="52"/>
      <c r="BB55" s="52"/>
      <c r="BC55" s="52"/>
      <c r="BD55" s="52"/>
      <c r="BE55" s="53"/>
      <c r="BH55" s="50"/>
      <c r="BI55" s="52"/>
      <c r="BJ55" s="52"/>
      <c r="BK55" s="52"/>
      <c r="BL55" s="52"/>
      <c r="BM55" s="52"/>
      <c r="BN55" s="53"/>
      <c r="CA55" s="649">
        <f ca="1"/>
        <v>45513</v>
      </c>
      <c r="CB55" s="648">
        <f ca="1"/>
        <v>2.4282974663858499E-3</v>
      </c>
      <c r="CC55" s="648">
        <f ca="1"/>
        <v>4.6162141570503497E-3</v>
      </c>
      <c r="CD55" s="648">
        <f ca="1"/>
        <v>9.7690608984102693E-3</v>
      </c>
      <c r="CE55" s="648"/>
    </row>
    <row r="56" spans="11:83" x14ac:dyDescent="0.25">
      <c r="K56" s="171" t="e">
        <f ca="1"/>
        <v>#N/A</v>
      </c>
      <c r="L56" s="172" t="e">
        <f ca="1"/>
        <v>#N/A</v>
      </c>
      <c r="M56" s="172" t="e">
        <f ca="1"/>
        <v>#N/A</v>
      </c>
      <c r="N56" s="173" t="e">
        <f ca="1"/>
        <v>#N/A</v>
      </c>
      <c r="P56" s="50"/>
      <c r="Q56" s="102"/>
      <c r="R56" s="55"/>
      <c r="S56" s="52"/>
      <c r="T56" s="52"/>
      <c r="U56" s="52"/>
      <c r="V56" s="52"/>
      <c r="W56" s="52"/>
      <c r="X56" s="52"/>
      <c r="Y56" s="57"/>
      <c r="Z56" s="52"/>
      <c r="AA56" s="52"/>
      <c r="AB56" s="57"/>
      <c r="AC56" s="52"/>
      <c r="AD56" s="52"/>
      <c r="AE56" s="53"/>
      <c r="AG56" s="106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108"/>
      <c r="AY56" s="50"/>
      <c r="AZ56" s="52"/>
      <c r="BA56" s="52"/>
      <c r="BB56" s="52"/>
      <c r="BC56" s="52"/>
      <c r="BD56" s="52"/>
      <c r="BE56" s="53"/>
      <c r="BH56" s="50"/>
      <c r="BI56" s="52"/>
      <c r="BJ56" s="52"/>
      <c r="BK56" s="52"/>
      <c r="BL56" s="52"/>
      <c r="BM56" s="52"/>
      <c r="BN56" s="53"/>
      <c r="CA56" s="649">
        <f ca="1"/>
        <v>45544</v>
      </c>
      <c r="CB56" s="648">
        <f ca="1"/>
        <v>2.5983860697480301E-3</v>
      </c>
      <c r="CC56" s="648">
        <f ca="1"/>
        <v>4.82511687705543E-3</v>
      </c>
      <c r="CD56" s="648">
        <f ca="1"/>
        <v>9.9906084764283792E-3</v>
      </c>
      <c r="CE56" s="648"/>
    </row>
    <row r="57" spans="11:83" x14ac:dyDescent="0.25">
      <c r="K57" s="171" t="e">
        <f ca="1"/>
        <v>#N/A</v>
      </c>
      <c r="L57" s="172" t="e">
        <f ca="1"/>
        <v>#N/A</v>
      </c>
      <c r="M57" s="172" t="e">
        <f ca="1"/>
        <v>#N/A</v>
      </c>
      <c r="N57" s="173" t="e">
        <f ca="1"/>
        <v>#N/A</v>
      </c>
      <c r="P57" s="50"/>
      <c r="Q57" s="102"/>
      <c r="R57" s="55"/>
      <c r="S57" s="52"/>
      <c r="T57" s="52"/>
      <c r="U57" s="52"/>
      <c r="V57" s="52"/>
      <c r="W57" s="52"/>
      <c r="X57" s="52"/>
      <c r="Y57" s="57"/>
      <c r="Z57" s="52"/>
      <c r="AA57" s="52"/>
      <c r="AB57" s="57"/>
      <c r="AC57" s="52"/>
      <c r="AD57" s="52"/>
      <c r="AE57" s="53"/>
      <c r="AG57" s="106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108"/>
      <c r="AY57" s="50"/>
      <c r="AZ57" s="52"/>
      <c r="BA57" s="52"/>
      <c r="BB57" s="52"/>
      <c r="BC57" s="52"/>
      <c r="BD57" s="52"/>
      <c r="BE57" s="53"/>
      <c r="BH57" s="50"/>
      <c r="BI57" s="52"/>
      <c r="BJ57" s="52"/>
      <c r="BK57" s="52"/>
      <c r="BL57" s="52"/>
      <c r="BM57" s="52"/>
      <c r="BN57" s="53"/>
      <c r="CA57" s="649">
        <f ca="1"/>
        <v>45574</v>
      </c>
      <c r="CB57" s="648">
        <f ca="1"/>
        <v>2.7717433665848199E-3</v>
      </c>
      <c r="CC57" s="648">
        <f ca="1"/>
        <v>5.0228229623179004E-3</v>
      </c>
      <c r="CD57" s="648">
        <f ca="1"/>
        <v>1.02187627628487E-2</v>
      </c>
      <c r="CE57" s="648"/>
    </row>
    <row r="58" spans="11:83" x14ac:dyDescent="0.25">
      <c r="K58" s="171" t="e">
        <f ca="1"/>
        <v>#N/A</v>
      </c>
      <c r="L58" s="172" t="e">
        <f ca="1"/>
        <v>#N/A</v>
      </c>
      <c r="M58" s="172" t="e">
        <f ca="1"/>
        <v>#N/A</v>
      </c>
      <c r="N58" s="173" t="e">
        <f ca="1"/>
        <v>#N/A</v>
      </c>
      <c r="P58" s="50"/>
      <c r="Q58" s="102"/>
      <c r="R58" s="55"/>
      <c r="S58" s="52"/>
      <c r="T58" s="52"/>
      <c r="U58" s="52"/>
      <c r="V58" s="52"/>
      <c r="W58" s="52"/>
      <c r="X58" s="52"/>
      <c r="Y58" s="57"/>
      <c r="Z58" s="52"/>
      <c r="AA58" s="52"/>
      <c r="AB58" s="57"/>
      <c r="AC58" s="52"/>
      <c r="AD58" s="52"/>
      <c r="AE58" s="53"/>
      <c r="AG58" s="106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108"/>
      <c r="AY58" s="50"/>
      <c r="AZ58" s="52"/>
      <c r="BA58" s="52"/>
      <c r="BB58" s="52"/>
      <c r="BC58" s="52"/>
      <c r="BD58" s="52"/>
      <c r="BE58" s="53"/>
      <c r="BH58" s="50"/>
      <c r="BI58" s="52"/>
      <c r="BJ58" s="52"/>
      <c r="BK58" s="52"/>
      <c r="BL58" s="52"/>
      <c r="BM58" s="52"/>
      <c r="BN58" s="53"/>
      <c r="CA58" s="649">
        <f ca="1"/>
        <v>45607</v>
      </c>
      <c r="CB58" s="648">
        <f ca="1"/>
        <v>2.9618587605733499E-3</v>
      </c>
      <c r="CC58" s="648">
        <f ca="1"/>
        <v>5.2345051735983297E-3</v>
      </c>
      <c r="CD58" s="648">
        <f ca="1"/>
        <v>1.04672676904477E-2</v>
      </c>
      <c r="CE58" s="648"/>
    </row>
    <row r="59" spans="11:83" x14ac:dyDescent="0.25">
      <c r="K59" s="171" t="e">
        <f ca="1"/>
        <v>#N/A</v>
      </c>
      <c r="L59" s="172" t="e">
        <f ca="1"/>
        <v>#N/A</v>
      </c>
      <c r="M59" s="172" t="e">
        <f ca="1"/>
        <v>#N/A</v>
      </c>
      <c r="N59" s="173" t="e">
        <f ca="1"/>
        <v>#N/A</v>
      </c>
      <c r="P59" s="50"/>
      <c r="Q59" s="102"/>
      <c r="R59" s="55"/>
      <c r="S59" s="52"/>
      <c r="T59" s="52"/>
      <c r="U59" s="52"/>
      <c r="V59" s="52"/>
      <c r="W59" s="52"/>
      <c r="X59" s="52"/>
      <c r="Y59" s="57"/>
      <c r="Z59" s="52"/>
      <c r="AA59" s="52"/>
      <c r="AB59" s="57"/>
      <c r="AC59" s="52"/>
      <c r="AD59" s="52"/>
      <c r="AE59" s="53"/>
      <c r="AG59" s="106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108"/>
      <c r="AY59" s="50"/>
      <c r="AZ59" s="52"/>
      <c r="BA59" s="52"/>
      <c r="BB59" s="52"/>
      <c r="BC59" s="52"/>
      <c r="BD59" s="52"/>
      <c r="BE59" s="53"/>
      <c r="BH59" s="50"/>
      <c r="BI59" s="52"/>
      <c r="BJ59" s="52"/>
      <c r="BK59" s="52"/>
      <c r="BL59" s="52"/>
      <c r="BM59" s="52"/>
      <c r="BN59" s="53"/>
      <c r="CA59" s="649">
        <f ca="1"/>
        <v>45635</v>
      </c>
      <c r="CB59" s="648">
        <f ca="1"/>
        <v>3.1226928419054302E-3</v>
      </c>
      <c r="CC59" s="648">
        <f ca="1"/>
        <v>5.41006421042652E-3</v>
      </c>
      <c r="CD59" s="648">
        <f ca="1"/>
        <v>1.06760814265067E-2</v>
      </c>
      <c r="CE59" s="648"/>
    </row>
    <row r="60" spans="11:83" x14ac:dyDescent="0.25">
      <c r="K60" s="171" t="e">
        <f ca="1"/>
        <v>#N/A</v>
      </c>
      <c r="L60" s="172" t="e">
        <f ca="1"/>
        <v>#N/A</v>
      </c>
      <c r="M60" s="172" t="e">
        <f ca="1"/>
        <v>#N/A</v>
      </c>
      <c r="N60" s="173" t="e">
        <f ca="1"/>
        <v>#N/A</v>
      </c>
      <c r="P60" s="50"/>
      <c r="Q60" s="102"/>
      <c r="R60" s="55"/>
      <c r="S60" s="52"/>
      <c r="T60" s="52"/>
      <c r="U60" s="52"/>
      <c r="V60" s="52"/>
      <c r="W60" s="52"/>
      <c r="X60" s="52"/>
      <c r="Y60" s="57"/>
      <c r="Z60" s="52"/>
      <c r="AA60" s="52"/>
      <c r="AB60" s="57"/>
      <c r="AC60" s="52"/>
      <c r="AD60" s="52"/>
      <c r="AE60" s="53"/>
      <c r="AG60" s="106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108"/>
      <c r="AY60" s="50"/>
      <c r="AZ60" s="52"/>
      <c r="BA60" s="52"/>
      <c r="BB60" s="52"/>
      <c r="BC60" s="52"/>
      <c r="BD60" s="52"/>
      <c r="BE60" s="53"/>
      <c r="BH60" s="50"/>
      <c r="BI60" s="52"/>
      <c r="BJ60" s="52"/>
      <c r="BK60" s="52"/>
      <c r="BL60" s="52"/>
      <c r="BM60" s="52"/>
      <c r="BN60" s="53"/>
      <c r="CA60" s="649">
        <f ca="1"/>
        <v>45666</v>
      </c>
      <c r="CB60" s="648">
        <f ca="1"/>
        <v>3.2995042530176502E-3</v>
      </c>
      <c r="CC60" s="648">
        <f ca="1"/>
        <v>5.6005802096832698E-3</v>
      </c>
      <c r="CD60" s="648">
        <f ca="1"/>
        <v>1.0904346870893001E-2</v>
      </c>
      <c r="CE60" s="648"/>
    </row>
    <row r="61" spans="11:83" x14ac:dyDescent="0.25">
      <c r="K61" s="171" t="e">
        <f ca="1"/>
        <v>#N/A</v>
      </c>
      <c r="L61" s="172" t="e">
        <f ca="1"/>
        <v>#N/A</v>
      </c>
      <c r="M61" s="172" t="e">
        <f ca="1"/>
        <v>#N/A</v>
      </c>
      <c r="N61" s="173" t="e">
        <f ca="1"/>
        <v>#N/A</v>
      </c>
      <c r="P61" s="50"/>
      <c r="Q61" s="102"/>
      <c r="R61" s="55"/>
      <c r="S61" s="52"/>
      <c r="T61" s="52"/>
      <c r="U61" s="52"/>
      <c r="V61" s="52"/>
      <c r="W61" s="52"/>
      <c r="X61" s="52"/>
      <c r="Y61" s="57"/>
      <c r="Z61" s="52"/>
      <c r="AA61" s="52"/>
      <c r="AB61" s="57"/>
      <c r="AC61" s="52"/>
      <c r="AD61" s="52"/>
      <c r="AE61" s="53"/>
      <c r="AG61" s="106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108"/>
      <c r="AY61" s="50"/>
      <c r="AZ61" s="52"/>
      <c r="BA61" s="52"/>
      <c r="BB61" s="52"/>
      <c r="BC61" s="52"/>
      <c r="BD61" s="52"/>
      <c r="BE61" s="53"/>
      <c r="BH61" s="50"/>
      <c r="BI61" s="52"/>
      <c r="BJ61" s="52"/>
      <c r="BK61" s="52"/>
      <c r="BL61" s="52"/>
      <c r="BM61" s="52"/>
      <c r="BN61" s="53"/>
      <c r="CA61" s="649">
        <f ca="1"/>
        <v>45698</v>
      </c>
      <c r="CB61" s="648">
        <f ca="1"/>
        <v>3.4797310517825802E-3</v>
      </c>
      <c r="CC61" s="648">
        <f ca="1"/>
        <v>5.7920732396432298E-3</v>
      </c>
      <c r="CD61" s="648">
        <f ca="1"/>
        <v>1.11358568758196E-2</v>
      </c>
      <c r="CE61" s="648"/>
    </row>
    <row r="62" spans="11:83" x14ac:dyDescent="0.25">
      <c r="K62" s="171" t="e">
        <f ca="1"/>
        <v>#N/A</v>
      </c>
      <c r="L62" s="172" t="e">
        <f ca="1"/>
        <v>#N/A</v>
      </c>
      <c r="M62" s="172" t="e">
        <f ca="1"/>
        <v>#N/A</v>
      </c>
      <c r="N62" s="173" t="e">
        <f ca="1"/>
        <v>#N/A</v>
      </c>
      <c r="P62" s="50"/>
      <c r="Q62" s="102"/>
      <c r="R62" s="55"/>
      <c r="S62" s="52"/>
      <c r="T62" s="52"/>
      <c r="U62" s="52"/>
      <c r="V62" s="52"/>
      <c r="W62" s="52"/>
      <c r="X62" s="52"/>
      <c r="Y62" s="57"/>
      <c r="Z62" s="52"/>
      <c r="AA62" s="52"/>
      <c r="AB62" s="57"/>
      <c r="AC62" s="52"/>
      <c r="AD62" s="52"/>
      <c r="AE62" s="53"/>
      <c r="AG62" s="106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108"/>
      <c r="AY62" s="50"/>
      <c r="AZ62" s="52"/>
      <c r="BA62" s="52"/>
      <c r="BB62" s="52"/>
      <c r="BC62" s="52"/>
      <c r="BD62" s="52"/>
      <c r="BE62" s="53"/>
      <c r="BH62" s="50"/>
      <c r="BI62" s="52"/>
      <c r="BJ62" s="52"/>
      <c r="BK62" s="52"/>
      <c r="BL62" s="52"/>
      <c r="BM62" s="52"/>
      <c r="BN62" s="53"/>
      <c r="CA62" s="649">
        <f ca="1"/>
        <v>45726</v>
      </c>
      <c r="CB62" s="648">
        <f ca="1"/>
        <v>3.6355254132753099E-3</v>
      </c>
      <c r="CC62" s="648">
        <f ca="1"/>
        <v>5.9542334954472203E-3</v>
      </c>
      <c r="CD62" s="648">
        <f ca="1"/>
        <v>1.1334991390061401E-2</v>
      </c>
      <c r="CE62" s="648"/>
    </row>
    <row r="63" spans="11:83" x14ac:dyDescent="0.25">
      <c r="K63" s="171" t="e">
        <f ca="1"/>
        <v>#N/A</v>
      </c>
      <c r="L63" s="172" t="e">
        <f ca="1"/>
        <v>#N/A</v>
      </c>
      <c r="M63" s="172" t="e">
        <f ca="1"/>
        <v>#N/A</v>
      </c>
      <c r="N63" s="173" t="e">
        <f ca="1"/>
        <v>#N/A</v>
      </c>
      <c r="P63" s="50"/>
      <c r="Q63" s="102"/>
      <c r="R63" s="55"/>
      <c r="S63" s="52"/>
      <c r="T63" s="52"/>
      <c r="U63" s="52"/>
      <c r="V63" s="52"/>
      <c r="W63" s="52"/>
      <c r="X63" s="52"/>
      <c r="Y63" s="57"/>
      <c r="Z63" s="52"/>
      <c r="AA63" s="52"/>
      <c r="AB63" s="57"/>
      <c r="AC63" s="52"/>
      <c r="AD63" s="52"/>
      <c r="AE63" s="53"/>
      <c r="AG63" s="106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108"/>
      <c r="AY63" s="50"/>
      <c r="AZ63" s="52"/>
      <c r="BA63" s="52"/>
      <c r="BB63" s="52"/>
      <c r="BC63" s="52"/>
      <c r="BD63" s="52"/>
      <c r="BE63" s="53"/>
      <c r="BH63" s="50"/>
      <c r="BI63" s="52"/>
      <c r="BJ63" s="52"/>
      <c r="BK63" s="52"/>
      <c r="BL63" s="52"/>
      <c r="BM63" s="52"/>
      <c r="BN63" s="53"/>
      <c r="CA63" s="649">
        <f ca="1"/>
        <v>45756</v>
      </c>
      <c r="CB63" s="648">
        <f ca="1"/>
        <v>3.7998020741885799E-3</v>
      </c>
      <c r="CC63" s="648">
        <f ca="1"/>
        <v>6.1215250674022999E-3</v>
      </c>
      <c r="CD63" s="648">
        <f ca="1"/>
        <v>1.15441212446114E-2</v>
      </c>
      <c r="CE63" s="648"/>
    </row>
    <row r="64" spans="11:83" x14ac:dyDescent="0.25">
      <c r="K64" s="171" t="e">
        <f ca="1"/>
        <v>#N/A</v>
      </c>
      <c r="L64" s="172" t="e">
        <f ca="1"/>
        <v>#N/A</v>
      </c>
      <c r="M64" s="172" t="e">
        <f ca="1"/>
        <v>#N/A</v>
      </c>
      <c r="N64" s="173" t="e">
        <f ca="1"/>
        <v>#N/A</v>
      </c>
      <c r="P64" s="50"/>
      <c r="Q64" s="102"/>
      <c r="R64" s="55"/>
      <c r="S64" s="52"/>
      <c r="T64" s="52"/>
      <c r="U64" s="52"/>
      <c r="V64" s="52"/>
      <c r="W64" s="52"/>
      <c r="X64" s="52"/>
      <c r="Y64" s="57"/>
      <c r="Z64" s="52"/>
      <c r="AA64" s="52"/>
      <c r="AB64" s="57"/>
      <c r="AC64" s="52"/>
      <c r="AD64" s="52"/>
      <c r="AE64" s="53"/>
      <c r="AG64" s="106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108"/>
      <c r="AY64" s="50"/>
      <c r="AZ64" s="52"/>
      <c r="BA64" s="52"/>
      <c r="BB64" s="52"/>
      <c r="BC64" s="52"/>
      <c r="BD64" s="52"/>
      <c r="BE64" s="53"/>
      <c r="BH64" s="50"/>
      <c r="BI64" s="52"/>
      <c r="BJ64" s="52"/>
      <c r="BK64" s="52"/>
      <c r="BL64" s="52"/>
      <c r="BM64" s="52"/>
      <c r="BN64" s="53"/>
      <c r="CA64" s="649">
        <f ca="1"/>
        <v>45786</v>
      </c>
      <c r="CB64" s="648">
        <f ca="1"/>
        <v>3.9659885021945604E-3</v>
      </c>
      <c r="CC64" s="648">
        <f ca="1"/>
        <v>6.2823761087798802E-3</v>
      </c>
      <c r="CD64" s="648">
        <f ca="1"/>
        <v>1.1755277759659099E-2</v>
      </c>
      <c r="CE64" s="648"/>
    </row>
    <row r="65" spans="11:83" x14ac:dyDescent="0.25">
      <c r="K65" s="171" t="e">
        <f ca="1"/>
        <v>#N/A</v>
      </c>
      <c r="L65" s="172" t="e">
        <f ca="1"/>
        <v>#N/A</v>
      </c>
      <c r="M65" s="172" t="e">
        <f ca="1"/>
        <v>#N/A</v>
      </c>
      <c r="N65" s="173" t="e">
        <f ca="1"/>
        <v>#N/A</v>
      </c>
      <c r="P65" s="50"/>
      <c r="Q65" s="102"/>
      <c r="R65" s="55"/>
      <c r="S65" s="52"/>
      <c r="T65" s="52"/>
      <c r="U65" s="52"/>
      <c r="V65" s="52"/>
      <c r="W65" s="52"/>
      <c r="X65" s="52"/>
      <c r="Y65" s="57"/>
      <c r="Z65" s="52"/>
      <c r="AA65" s="52"/>
      <c r="AB65" s="57"/>
      <c r="AC65" s="52"/>
      <c r="AD65" s="52"/>
      <c r="AE65" s="53"/>
      <c r="AG65" s="106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108"/>
      <c r="AY65" s="50"/>
      <c r="AZ65" s="52"/>
      <c r="BA65" s="52"/>
      <c r="BB65" s="52"/>
      <c r="BC65" s="52"/>
      <c r="BD65" s="52"/>
      <c r="BE65" s="53"/>
      <c r="BH65" s="50"/>
      <c r="BI65" s="52"/>
      <c r="BJ65" s="52"/>
      <c r="BK65" s="52"/>
      <c r="BL65" s="52"/>
      <c r="BM65" s="52"/>
      <c r="BN65" s="53"/>
      <c r="CA65" s="649">
        <f ca="1"/>
        <v>45817</v>
      </c>
      <c r="CB65" s="648">
        <f ca="1"/>
        <v>4.1232401776885204E-3</v>
      </c>
      <c r="CC65" s="648">
        <f ca="1"/>
        <v>6.4423807609746003E-3</v>
      </c>
      <c r="CD65" s="648">
        <f ca="1"/>
        <v>1.19537057252631E-2</v>
      </c>
      <c r="CE65" s="648"/>
    </row>
    <row r="66" spans="11:83" x14ac:dyDescent="0.25">
      <c r="K66" s="171" t="e">
        <f ca="1"/>
        <v>#N/A</v>
      </c>
      <c r="L66" s="172" t="e">
        <f ca="1"/>
        <v>#N/A</v>
      </c>
      <c r="M66" s="172" t="e">
        <f ca="1"/>
        <v>#N/A</v>
      </c>
      <c r="N66" s="173" t="e">
        <f ca="1"/>
        <v>#N/A</v>
      </c>
      <c r="P66" s="50"/>
      <c r="Q66" s="102"/>
      <c r="R66" s="55"/>
      <c r="S66" s="52"/>
      <c r="T66" s="52"/>
      <c r="U66" s="52"/>
      <c r="V66" s="52"/>
      <c r="W66" s="52"/>
      <c r="X66" s="52"/>
      <c r="Y66" s="57"/>
      <c r="Z66" s="52"/>
      <c r="AA66" s="52"/>
      <c r="AB66" s="57"/>
      <c r="AC66" s="52"/>
      <c r="AD66" s="52"/>
      <c r="AE66" s="53"/>
      <c r="AG66" s="106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108"/>
      <c r="AY66" s="50"/>
      <c r="AZ66" s="52"/>
      <c r="BA66" s="52"/>
      <c r="BB66" s="52"/>
      <c r="BC66" s="52"/>
      <c r="BD66" s="52"/>
      <c r="BE66" s="53"/>
      <c r="BH66" s="50"/>
      <c r="BI66" s="52"/>
      <c r="BJ66" s="52"/>
      <c r="BK66" s="52"/>
      <c r="BL66" s="52"/>
      <c r="BM66" s="52"/>
      <c r="BN66" s="53"/>
      <c r="CA66" s="649">
        <f ca="1"/>
        <v>45847</v>
      </c>
      <c r="CB66" s="648">
        <f ca="1"/>
        <v>4.2764056755746696E-3</v>
      </c>
      <c r="CC66" s="648">
        <f ca="1"/>
        <v>6.5918604510187698E-3</v>
      </c>
      <c r="CD66" s="648">
        <f ca="1"/>
        <v>1.21467473951162E-2</v>
      </c>
      <c r="CE66" s="648"/>
    </row>
    <row r="67" spans="11:83" x14ac:dyDescent="0.25">
      <c r="K67" s="171" t="e">
        <f ca="1"/>
        <v>#N/A</v>
      </c>
      <c r="L67" s="172" t="e">
        <f ca="1"/>
        <v>#N/A</v>
      </c>
      <c r="M67" s="172" t="e">
        <f ca="1"/>
        <v>#N/A</v>
      </c>
      <c r="N67" s="173" t="e">
        <f ca="1"/>
        <v>#N/A</v>
      </c>
      <c r="P67" s="50"/>
      <c r="Q67" s="102"/>
      <c r="R67" s="55"/>
      <c r="S67" s="52"/>
      <c r="T67" s="52"/>
      <c r="U67" s="52"/>
      <c r="V67" s="52"/>
      <c r="W67" s="52"/>
      <c r="X67" s="52"/>
      <c r="Y67" s="57"/>
      <c r="Z67" s="52"/>
      <c r="AA67" s="52"/>
      <c r="AB67" s="57"/>
      <c r="AC67" s="52"/>
      <c r="AD67" s="52"/>
      <c r="AE67" s="53"/>
      <c r="AG67" s="106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108"/>
      <c r="AY67" s="50"/>
      <c r="AZ67" s="52"/>
      <c r="BA67" s="52"/>
      <c r="BB67" s="52"/>
      <c r="BC67" s="52"/>
      <c r="BD67" s="52"/>
      <c r="BE67" s="53"/>
      <c r="BH67" s="50"/>
      <c r="BI67" s="52"/>
      <c r="BJ67" s="52"/>
      <c r="BK67" s="52"/>
      <c r="BL67" s="52"/>
      <c r="BM67" s="52"/>
      <c r="BN67" s="53"/>
      <c r="CA67" s="649">
        <f ca="1"/>
        <v>45880</v>
      </c>
      <c r="CB67" s="648">
        <f ca="1"/>
        <v>4.4391422319638198E-3</v>
      </c>
      <c r="CC67" s="648">
        <f ca="1"/>
        <v>6.7515691621356797E-3</v>
      </c>
      <c r="CD67" s="648">
        <f ca="1"/>
        <v>1.23514643974224E-2</v>
      </c>
      <c r="CE67" s="648"/>
    </row>
    <row r="68" spans="11:83" x14ac:dyDescent="0.25">
      <c r="K68" s="171" t="e">
        <f ca="1"/>
        <v>#N/A</v>
      </c>
      <c r="L68" s="172" t="e">
        <f ca="1"/>
        <v>#N/A</v>
      </c>
      <c r="M68" s="172" t="e">
        <f ca="1"/>
        <v>#N/A</v>
      </c>
      <c r="N68" s="173" t="e">
        <f ca="1"/>
        <v>#N/A</v>
      </c>
      <c r="P68" s="50"/>
      <c r="Q68" s="102"/>
      <c r="R68" s="55"/>
      <c r="S68" s="52"/>
      <c r="T68" s="52"/>
      <c r="U68" s="52"/>
      <c r="V68" s="52"/>
      <c r="W68" s="52"/>
      <c r="X68" s="52"/>
      <c r="Y68" s="57"/>
      <c r="Z68" s="52"/>
      <c r="AA68" s="52"/>
      <c r="AB68" s="57"/>
      <c r="AC68" s="52"/>
      <c r="AD68" s="52"/>
      <c r="AE68" s="53"/>
      <c r="AG68" s="106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108"/>
      <c r="AY68" s="50"/>
      <c r="AZ68" s="52"/>
      <c r="BA68" s="52"/>
      <c r="BB68" s="52"/>
      <c r="BC68" s="52"/>
      <c r="BD68" s="52"/>
      <c r="BE68" s="53"/>
      <c r="BH68" s="50"/>
      <c r="BI68" s="52"/>
      <c r="BJ68" s="52"/>
      <c r="BK68" s="52"/>
      <c r="BL68" s="52"/>
      <c r="BM68" s="52"/>
      <c r="BN68" s="53"/>
      <c r="CA68" s="649">
        <f ca="1"/>
        <v>45909</v>
      </c>
      <c r="CB68" s="648">
        <f ca="1"/>
        <v>4.5771804032572298E-3</v>
      </c>
      <c r="CC68" s="648">
        <f ca="1"/>
        <v>6.8891601080561899E-3</v>
      </c>
      <c r="CD68" s="648">
        <f ca="1"/>
        <v>1.25247477414161E-2</v>
      </c>
      <c r="CE68" s="648"/>
    </row>
    <row r="69" spans="11:83" x14ac:dyDescent="0.25">
      <c r="K69" s="171" t="e">
        <f ca="1"/>
        <v>#N/A</v>
      </c>
      <c r="L69" s="172" t="e">
        <f ca="1"/>
        <v>#N/A</v>
      </c>
      <c r="M69" s="172" t="e">
        <f ca="1"/>
        <v>#N/A</v>
      </c>
      <c r="N69" s="173" t="e">
        <f ca="1"/>
        <v>#N/A</v>
      </c>
      <c r="P69" s="50"/>
      <c r="Q69" s="102"/>
      <c r="R69" s="55"/>
      <c r="S69" s="52"/>
      <c r="T69" s="52"/>
      <c r="U69" s="52"/>
      <c r="V69" s="52"/>
      <c r="W69" s="52"/>
      <c r="X69" s="52"/>
      <c r="Y69" s="57"/>
      <c r="Z69" s="52"/>
      <c r="AA69" s="52"/>
      <c r="AB69" s="57"/>
      <c r="AC69" s="52"/>
      <c r="AD69" s="52"/>
      <c r="AE69" s="53"/>
      <c r="AG69" s="106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108"/>
      <c r="AY69" s="50"/>
      <c r="AZ69" s="52"/>
      <c r="BA69" s="52"/>
      <c r="BB69" s="52"/>
      <c r="BC69" s="52"/>
      <c r="BD69" s="52"/>
      <c r="BE69" s="53"/>
      <c r="BH69" s="50"/>
      <c r="BI69" s="52"/>
      <c r="BJ69" s="52"/>
      <c r="BK69" s="52"/>
      <c r="BL69" s="52"/>
      <c r="BM69" s="52"/>
      <c r="BN69" s="53"/>
      <c r="CA69" s="649">
        <f ca="1"/>
        <v>45939</v>
      </c>
      <c r="CB69" s="648">
        <f ca="1"/>
        <v>4.7172256282753599E-3</v>
      </c>
      <c r="CC69" s="648">
        <f ca="1"/>
        <v>7.0299938311970097E-3</v>
      </c>
      <c r="CD69" s="648">
        <f ca="1"/>
        <v>1.2698639522234901E-2</v>
      </c>
      <c r="CE69" s="648"/>
    </row>
    <row r="70" spans="11:83" x14ac:dyDescent="0.25">
      <c r="K70" s="171" t="e">
        <f ca="1"/>
        <v>#N/A</v>
      </c>
      <c r="L70" s="172" t="e">
        <f ca="1"/>
        <v>#N/A</v>
      </c>
      <c r="M70" s="172" t="e">
        <f ca="1"/>
        <v>#N/A</v>
      </c>
      <c r="N70" s="173" t="e">
        <f ca="1"/>
        <v>#N/A</v>
      </c>
      <c r="P70" s="50"/>
      <c r="Q70" s="102"/>
      <c r="R70" s="55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3"/>
      <c r="AG70" s="106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108"/>
      <c r="AY70" s="50"/>
      <c r="AZ70" s="52"/>
      <c r="BA70" s="52"/>
      <c r="BB70" s="52"/>
      <c r="BC70" s="52"/>
      <c r="BD70" s="52"/>
      <c r="BE70" s="53"/>
      <c r="BH70" s="50"/>
      <c r="BI70" s="52"/>
      <c r="BJ70" s="52"/>
      <c r="BK70" s="52"/>
      <c r="BL70" s="52"/>
      <c r="BM70" s="52"/>
      <c r="BN70" s="53"/>
      <c r="CA70" s="649">
        <f ca="1"/>
        <v>45971</v>
      </c>
      <c r="CB70" s="648">
        <f ca="1"/>
        <v>4.8663513990473599E-3</v>
      </c>
      <c r="CC70" s="648">
        <f ca="1"/>
        <v>7.1793972615747303E-3</v>
      </c>
      <c r="CD70" s="648">
        <f ca="1"/>
        <v>1.28796350655079E-2</v>
      </c>
      <c r="CE70" s="648"/>
    </row>
    <row r="71" spans="11:83" x14ac:dyDescent="0.25">
      <c r="K71" s="171" t="e">
        <f ca="1"/>
        <v>#N/A</v>
      </c>
      <c r="L71" s="172" t="e">
        <f ca="1"/>
        <v>#N/A</v>
      </c>
      <c r="M71" s="172" t="e">
        <f ca="1"/>
        <v>#N/A</v>
      </c>
      <c r="N71" s="173" t="e">
        <f ca="1"/>
        <v>#N/A</v>
      </c>
      <c r="P71" s="50"/>
      <c r="Q71" s="102"/>
      <c r="R71" s="55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3"/>
      <c r="AG71" s="106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108"/>
      <c r="AY71" s="50"/>
      <c r="AZ71" s="52"/>
      <c r="BA71" s="52"/>
      <c r="BB71" s="52"/>
      <c r="BC71" s="52"/>
      <c r="BD71" s="52"/>
      <c r="BE71" s="53"/>
      <c r="BH71" s="50"/>
      <c r="BI71" s="52"/>
      <c r="BJ71" s="52"/>
      <c r="BK71" s="52"/>
      <c r="BL71" s="52"/>
      <c r="BM71" s="52"/>
      <c r="BN71" s="53"/>
      <c r="CA71" s="649">
        <f ca="1"/>
        <v>46000</v>
      </c>
      <c r="CB71" s="648">
        <f ca="1"/>
        <v>5.00127877080285E-3</v>
      </c>
      <c r="CC71" s="648">
        <f ca="1"/>
        <v>7.3147121766514601E-3</v>
      </c>
      <c r="CD71" s="648">
        <f ca="1"/>
        <v>1.3039651663479999E-2</v>
      </c>
      <c r="CE71" s="648"/>
    </row>
    <row r="72" spans="11:83" x14ac:dyDescent="0.25">
      <c r="K72" s="171" t="e">
        <f ca="1"/>
        <v>#N/A</v>
      </c>
      <c r="L72" s="172" t="e">
        <f ca="1"/>
        <v>#N/A</v>
      </c>
      <c r="M72" s="172" t="e">
        <f ca="1"/>
        <v>#N/A</v>
      </c>
      <c r="N72" s="173" t="e">
        <f ca="1"/>
        <v>#N/A</v>
      </c>
      <c r="P72" s="50"/>
      <c r="Q72" s="102"/>
      <c r="R72" s="55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3"/>
      <c r="AG72" s="106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108"/>
      <c r="AY72" s="50"/>
      <c r="AZ72" s="52"/>
      <c r="BA72" s="52"/>
      <c r="BB72" s="52"/>
      <c r="BC72" s="52"/>
      <c r="BD72" s="52"/>
      <c r="BE72" s="53"/>
      <c r="BH72" s="50"/>
      <c r="BI72" s="52"/>
      <c r="BJ72" s="52"/>
      <c r="BK72" s="52"/>
      <c r="BL72" s="52"/>
      <c r="BM72" s="52"/>
      <c r="BN72" s="53"/>
      <c r="CA72" s="649">
        <f ca="1"/>
        <v>46031</v>
      </c>
      <c r="CB72" s="648">
        <f ca="1"/>
        <v>5.1498722384660401E-3</v>
      </c>
      <c r="CC72" s="648">
        <f ca="1"/>
        <v>7.4597260239026896E-3</v>
      </c>
      <c r="CD72" s="648">
        <f ca="1"/>
        <v>1.32121625348799E-2</v>
      </c>
      <c r="CE72" s="648"/>
    </row>
    <row r="73" spans="11:83" x14ac:dyDescent="0.25">
      <c r="K73" s="171" t="e">
        <f ca="1"/>
        <v>#N/A</v>
      </c>
      <c r="L73" s="172" t="e">
        <f ca="1"/>
        <v>#N/A</v>
      </c>
      <c r="M73" s="172" t="e">
        <f ca="1"/>
        <v>#N/A</v>
      </c>
      <c r="N73" s="173" t="e">
        <f ca="1"/>
        <v>#N/A</v>
      </c>
      <c r="P73" s="50"/>
      <c r="Q73" s="102"/>
      <c r="R73" s="55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3"/>
      <c r="AG73" s="106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108"/>
      <c r="AY73" s="50"/>
      <c r="AZ73" s="52"/>
      <c r="BA73" s="52"/>
      <c r="BB73" s="52"/>
      <c r="BC73" s="52"/>
      <c r="BD73" s="52"/>
      <c r="BE73" s="53"/>
      <c r="BH73" s="50"/>
      <c r="BI73" s="52"/>
      <c r="BJ73" s="52"/>
      <c r="BK73" s="52"/>
      <c r="BL73" s="52"/>
      <c r="BM73" s="52"/>
      <c r="BN73" s="53"/>
      <c r="CA73" s="649">
        <f ca="1"/>
        <v>46062</v>
      </c>
      <c r="CB73" s="648">
        <f ca="1"/>
        <v>5.2885566414931397E-3</v>
      </c>
      <c r="CC73" s="648">
        <f ca="1"/>
        <v>7.6044476214693702E-3</v>
      </c>
      <c r="CD73" s="648">
        <f ca="1"/>
        <v>1.3368504955273501E-2</v>
      </c>
      <c r="CE73" s="648"/>
    </row>
    <row r="74" spans="11:83" x14ac:dyDescent="0.25">
      <c r="K74" s="171" t="e">
        <f ca="1"/>
        <v>#N/A</v>
      </c>
      <c r="L74" s="172" t="e">
        <f ca="1"/>
        <v>#N/A</v>
      </c>
      <c r="M74" s="172" t="e">
        <f ca="1"/>
        <v>#N/A</v>
      </c>
      <c r="N74" s="173" t="e">
        <f ca="1"/>
        <v>#N/A</v>
      </c>
      <c r="P74" s="50"/>
      <c r="Q74" s="102"/>
      <c r="R74" s="55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3"/>
      <c r="AG74" s="106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108"/>
      <c r="AY74" s="50"/>
      <c r="AZ74" s="52"/>
      <c r="BA74" s="52"/>
      <c r="BB74" s="52"/>
      <c r="BC74" s="52"/>
      <c r="BD74" s="52"/>
      <c r="BE74" s="53"/>
      <c r="BH74" s="50"/>
      <c r="BI74" s="52"/>
      <c r="BJ74" s="52"/>
      <c r="BK74" s="52"/>
      <c r="BL74" s="52"/>
      <c r="BM74" s="52"/>
      <c r="BN74" s="53"/>
      <c r="CA74" s="649">
        <f ca="1"/>
        <v>46090</v>
      </c>
      <c r="CB74" s="648">
        <f ca="1"/>
        <v>5.4176484991783598E-3</v>
      </c>
      <c r="CC74" s="648">
        <f ca="1"/>
        <v>7.7340712774109999E-3</v>
      </c>
      <c r="CD74" s="648">
        <f ca="1"/>
        <v>1.3510977135571201E-2</v>
      </c>
      <c r="CE74" s="648"/>
    </row>
    <row r="75" spans="11:83" x14ac:dyDescent="0.25">
      <c r="K75" s="171" t="e">
        <f ca="1"/>
        <v>#N/A</v>
      </c>
      <c r="L75" s="172" t="e">
        <f ca="1"/>
        <v>#N/A</v>
      </c>
      <c r="M75" s="172" t="e">
        <f ca="1"/>
        <v>#N/A</v>
      </c>
      <c r="N75" s="173" t="e">
        <f ca="1"/>
        <v>#N/A</v>
      </c>
      <c r="P75" s="50"/>
      <c r="Q75" s="102"/>
      <c r="R75" s="55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3"/>
      <c r="AG75" s="106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108"/>
      <c r="AY75" s="50"/>
      <c r="AZ75" s="52"/>
      <c r="BA75" s="52"/>
      <c r="BB75" s="52"/>
      <c r="BC75" s="52"/>
      <c r="BD75" s="52"/>
      <c r="BE75" s="53"/>
      <c r="BH75" s="50"/>
      <c r="BI75" s="52"/>
      <c r="BJ75" s="52"/>
      <c r="BK75" s="52"/>
      <c r="BL75" s="52"/>
      <c r="BM75" s="52"/>
      <c r="BN75" s="53"/>
      <c r="CA75" s="649">
        <f ca="1"/>
        <v>46121</v>
      </c>
      <c r="CB75" s="648">
        <f ca="1"/>
        <v>5.5599394361314398E-3</v>
      </c>
      <c r="CC75" s="648">
        <f ca="1"/>
        <v>7.8756373785324792E-3</v>
      </c>
      <c r="CD75" s="648">
        <f ca="1"/>
        <v>1.36641687423311E-2</v>
      </c>
      <c r="CE75" s="648"/>
    </row>
    <row r="76" spans="11:83" x14ac:dyDescent="0.25">
      <c r="K76" s="171" t="e">
        <f ca="1"/>
        <v>#N/A</v>
      </c>
      <c r="L76" s="172" t="e">
        <f ca="1"/>
        <v>#N/A</v>
      </c>
      <c r="M76" s="172" t="e">
        <f ca="1"/>
        <v>#N/A</v>
      </c>
      <c r="N76" s="173" t="e">
        <f ca="1"/>
        <v>#N/A</v>
      </c>
      <c r="P76" s="50"/>
      <c r="Q76" s="102"/>
      <c r="R76" s="55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3"/>
      <c r="AG76" s="106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108"/>
      <c r="AY76" s="50"/>
      <c r="AZ76" s="52"/>
      <c r="BA76" s="52"/>
      <c r="BB76" s="52"/>
      <c r="BC76" s="52"/>
      <c r="BD76" s="52"/>
      <c r="BE76" s="53"/>
      <c r="BH76" s="50"/>
      <c r="BI76" s="52"/>
      <c r="BJ76" s="52"/>
      <c r="BK76" s="52"/>
      <c r="BL76" s="52"/>
      <c r="BM76" s="52"/>
      <c r="BN76" s="53"/>
      <c r="CA76" s="649">
        <f ca="1"/>
        <v>46153</v>
      </c>
      <c r="CB76" s="648">
        <f ca="1"/>
        <v>5.70592376715328E-3</v>
      </c>
      <c r="CC76" s="648">
        <f ca="1"/>
        <v>8.0197940146209002E-3</v>
      </c>
      <c r="CD76" s="648">
        <f ca="1"/>
        <v>1.3817103778401899E-2</v>
      </c>
      <c r="CE76" s="648"/>
    </row>
    <row r="77" spans="11:83" x14ac:dyDescent="0.25">
      <c r="K77" s="171" t="e">
        <f ca="1"/>
        <v>#N/A</v>
      </c>
      <c r="L77" s="172" t="e">
        <f ca="1"/>
        <v>#N/A</v>
      </c>
      <c r="M77" s="172" t="e">
        <f ca="1"/>
        <v>#N/A</v>
      </c>
      <c r="N77" s="173" t="e">
        <f ca="1"/>
        <v>#N/A</v>
      </c>
      <c r="P77" s="50"/>
      <c r="Q77" s="102"/>
      <c r="R77" s="55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3"/>
      <c r="AG77" s="106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108"/>
      <c r="AY77" s="50"/>
      <c r="AZ77" s="52"/>
      <c r="BA77" s="52"/>
      <c r="BB77" s="52"/>
      <c r="BC77" s="52"/>
      <c r="BD77" s="52"/>
      <c r="BE77" s="53"/>
      <c r="BH77" s="50"/>
      <c r="BI77" s="52"/>
      <c r="BJ77" s="52"/>
      <c r="BK77" s="52"/>
      <c r="BL77" s="52"/>
      <c r="BM77" s="52"/>
      <c r="BN77" s="53"/>
      <c r="CA77" s="649">
        <f ca="1"/>
        <v>46182</v>
      </c>
      <c r="CB77" s="648">
        <f ca="1"/>
        <v>5.8374378945834204E-3</v>
      </c>
      <c r="CC77" s="648">
        <f ca="1"/>
        <v>8.1490856753595395E-3</v>
      </c>
      <c r="CD77" s="648">
        <f ca="1"/>
        <v>1.3951122124267201E-2</v>
      </c>
      <c r="CE77" s="648"/>
    </row>
    <row r="78" spans="11:83" x14ac:dyDescent="0.25">
      <c r="K78" s="171" t="e">
        <f ca="1"/>
        <v>#N/A</v>
      </c>
      <c r="L78" s="172" t="e">
        <f ca="1"/>
        <v>#N/A</v>
      </c>
      <c r="M78" s="172" t="e">
        <f ca="1"/>
        <v>#N/A</v>
      </c>
      <c r="N78" s="173" t="e">
        <f ca="1"/>
        <v>#N/A</v>
      </c>
      <c r="P78" s="50"/>
      <c r="Q78" s="102"/>
      <c r="R78" s="55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3"/>
      <c r="AG78" s="106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108"/>
      <c r="AY78" s="50"/>
      <c r="AZ78" s="52"/>
      <c r="BA78" s="52"/>
      <c r="BB78" s="52"/>
      <c r="BC78" s="52"/>
      <c r="BD78" s="52"/>
      <c r="BE78" s="53"/>
      <c r="BH78" s="50"/>
      <c r="BI78" s="52"/>
      <c r="BJ78" s="52"/>
      <c r="BK78" s="52"/>
      <c r="BL78" s="52"/>
      <c r="BM78" s="52"/>
      <c r="BN78" s="53"/>
      <c r="CA78" s="649">
        <f ca="1"/>
        <v>46212</v>
      </c>
      <c r="CB78" s="648">
        <f ca="1"/>
        <v>5.9725587659533296E-3</v>
      </c>
      <c r="CC78" s="648">
        <f ca="1"/>
        <v>8.2816853951116799E-3</v>
      </c>
      <c r="CD78" s="648">
        <f ca="1"/>
        <v>1.40850479305477E-2</v>
      </c>
      <c r="CE78" s="648"/>
    </row>
    <row r="79" spans="11:83" x14ac:dyDescent="0.25">
      <c r="K79" s="171" t="e">
        <f ca="1"/>
        <v>#N/A</v>
      </c>
      <c r="L79" s="172" t="e">
        <f ca="1"/>
        <v>#N/A</v>
      </c>
      <c r="M79" s="172" t="e">
        <f ca="1"/>
        <v>#N/A</v>
      </c>
      <c r="N79" s="173" t="e">
        <f ca="1"/>
        <v>#N/A</v>
      </c>
      <c r="P79" s="50"/>
      <c r="Q79" s="102"/>
      <c r="R79" s="55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3"/>
      <c r="AG79" s="106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108"/>
      <c r="AY79" s="50"/>
      <c r="AZ79" s="52"/>
      <c r="BA79" s="52"/>
      <c r="BB79" s="52"/>
      <c r="BC79" s="52"/>
      <c r="BD79" s="52"/>
      <c r="BE79" s="53"/>
      <c r="BH79" s="50"/>
      <c r="BI79" s="52"/>
      <c r="BJ79" s="52"/>
      <c r="BK79" s="52"/>
      <c r="BL79" s="52"/>
      <c r="BM79" s="52"/>
      <c r="BN79" s="53"/>
      <c r="CA79" s="649">
        <f ca="1"/>
        <v>46244</v>
      </c>
      <c r="CB79" s="648">
        <f ca="1"/>
        <v>6.1154567574749404E-3</v>
      </c>
      <c r="CC79" s="648">
        <f ca="1"/>
        <v>8.4210705523757798E-3</v>
      </c>
      <c r="CD79" s="648">
        <f ca="1"/>
        <v>1.42224459505537E-2</v>
      </c>
      <c r="CE79" s="648"/>
    </row>
    <row r="80" spans="11:83" x14ac:dyDescent="0.25">
      <c r="K80" s="171" t="e">
        <f ca="1"/>
        <v>#N/A</v>
      </c>
      <c r="L80" s="172" t="e">
        <f ca="1"/>
        <v>#N/A</v>
      </c>
      <c r="M80" s="172" t="e">
        <f ca="1"/>
        <v>#N/A</v>
      </c>
      <c r="N80" s="173" t="e">
        <f ca="1"/>
        <v>#N/A</v>
      </c>
      <c r="P80" s="50"/>
      <c r="Q80" s="102"/>
      <c r="R80" s="55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3"/>
      <c r="AG80" s="106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108"/>
      <c r="AY80" s="50"/>
      <c r="AZ80" s="52"/>
      <c r="BA80" s="52"/>
      <c r="BB80" s="52"/>
      <c r="BC80" s="52"/>
      <c r="BD80" s="52"/>
      <c r="BE80" s="53"/>
      <c r="BH80" s="50"/>
      <c r="BI80" s="52"/>
      <c r="BJ80" s="52"/>
      <c r="BK80" s="52"/>
      <c r="BL80" s="52"/>
      <c r="BM80" s="52"/>
      <c r="BN80" s="53"/>
      <c r="CA80" s="649">
        <f ca="1"/>
        <v>46274</v>
      </c>
      <c r="CB80" s="648">
        <f ca="1"/>
        <v>6.2482713476007803E-3</v>
      </c>
      <c r="CC80" s="648">
        <f ca="1"/>
        <v>8.5488259963429208E-3</v>
      </c>
      <c r="CD80" s="648">
        <f ca="1"/>
        <v>1.43461196474372E-2</v>
      </c>
      <c r="CE80" s="648"/>
    </row>
    <row r="81" spans="11:83" x14ac:dyDescent="0.25">
      <c r="K81" s="171" t="e">
        <f ca="1"/>
        <v>#N/A</v>
      </c>
      <c r="L81" s="172" t="e">
        <f ca="1"/>
        <v>#N/A</v>
      </c>
      <c r="M81" s="172" t="e">
        <f ca="1"/>
        <v>#N/A</v>
      </c>
      <c r="N81" s="173" t="e">
        <f ca="1"/>
        <v>#N/A</v>
      </c>
      <c r="P81" s="50"/>
      <c r="Q81" s="102"/>
      <c r="R81" s="55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3"/>
      <c r="AG81" s="106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108"/>
      <c r="AY81" s="50"/>
      <c r="AZ81" s="52"/>
      <c r="BA81" s="52"/>
      <c r="BB81" s="52"/>
      <c r="BC81" s="52"/>
      <c r="BD81" s="52"/>
      <c r="BE81" s="53"/>
      <c r="BH81" s="50"/>
      <c r="BI81" s="52"/>
      <c r="BJ81" s="52"/>
      <c r="BK81" s="52"/>
      <c r="BL81" s="52"/>
      <c r="BM81" s="52"/>
      <c r="BN81" s="53"/>
      <c r="CA81" s="649">
        <f ca="1"/>
        <v>46304</v>
      </c>
      <c r="CB81" s="648">
        <f ca="1"/>
        <v>6.3842991616788296E-3</v>
      </c>
      <c r="CC81" s="648">
        <f ca="1"/>
        <v>8.6729782220532296E-3</v>
      </c>
      <c r="CD81" s="648">
        <f ca="1"/>
        <v>1.4471355142235199E-2</v>
      </c>
      <c r="CE81" s="648"/>
    </row>
    <row r="82" spans="11:83" x14ac:dyDescent="0.25">
      <c r="K82" s="171" t="e">
        <f ca="1"/>
        <v>#N/A</v>
      </c>
      <c r="L82" s="172" t="e">
        <f ca="1"/>
        <v>#N/A</v>
      </c>
      <c r="M82" s="172" t="e">
        <f ca="1"/>
        <v>#N/A</v>
      </c>
      <c r="N82" s="173" t="e">
        <f ca="1"/>
        <v>#N/A</v>
      </c>
      <c r="P82" s="50"/>
      <c r="Q82" s="102"/>
      <c r="R82" s="55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3"/>
      <c r="AG82" s="106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108"/>
      <c r="AY82" s="50"/>
      <c r="AZ82" s="52"/>
      <c r="BA82" s="52"/>
      <c r="BB82" s="52"/>
      <c r="BC82" s="52"/>
      <c r="BD82" s="52"/>
      <c r="BE82" s="53"/>
      <c r="BH82" s="50"/>
      <c r="BI82" s="52"/>
      <c r="BJ82" s="52"/>
      <c r="BK82" s="52"/>
      <c r="BL82" s="52"/>
      <c r="BM82" s="52"/>
      <c r="BN82" s="53"/>
      <c r="CA82" s="649">
        <f ca="1"/>
        <v>46335</v>
      </c>
      <c r="CB82" s="648">
        <f ca="1"/>
        <v>6.5142567923882396E-3</v>
      </c>
      <c r="CC82" s="648">
        <f ca="1"/>
        <v>8.7976201621644406E-3</v>
      </c>
      <c r="CD82" s="648">
        <f ca="1"/>
        <v>1.4590739092612499E-2</v>
      </c>
      <c r="CE82" s="648"/>
    </row>
    <row r="83" spans="11:83" x14ac:dyDescent="0.25">
      <c r="K83" s="171" t="e">
        <f ca="1"/>
        <v>#N/A</v>
      </c>
      <c r="L83" s="172" t="e">
        <f ca="1"/>
        <v>#N/A</v>
      </c>
      <c r="M83" s="172" t="e">
        <f ca="1"/>
        <v>#N/A</v>
      </c>
      <c r="N83" s="173" t="e">
        <f ca="1"/>
        <v>#N/A</v>
      </c>
      <c r="P83" s="50"/>
      <c r="Q83" s="102"/>
      <c r="R83" s="55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3"/>
      <c r="AG83" s="106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108"/>
      <c r="AY83" s="50"/>
      <c r="AZ83" s="52"/>
      <c r="BA83" s="52"/>
      <c r="BB83" s="52"/>
      <c r="BC83" s="52"/>
      <c r="BD83" s="52"/>
      <c r="BE83" s="53"/>
      <c r="BH83" s="50"/>
      <c r="BI83" s="52"/>
      <c r="BJ83" s="52"/>
      <c r="BK83" s="52"/>
      <c r="BL83" s="52"/>
      <c r="BM83" s="52"/>
      <c r="BN83" s="53"/>
      <c r="CA83" s="649">
        <f ca="1"/>
        <v>46365</v>
      </c>
      <c r="CB83" s="648">
        <f ca="1"/>
        <v>6.6428911207772803E-3</v>
      </c>
      <c r="CC83" s="648">
        <f ca="1"/>
        <v>8.9151168825092608E-3</v>
      </c>
      <c r="CD83" s="648">
        <f ca="1"/>
        <v>1.47100526316612E-2</v>
      </c>
      <c r="CE83" s="648"/>
    </row>
    <row r="84" spans="11:83" x14ac:dyDescent="0.25">
      <c r="K84" s="171" t="e">
        <f ca="1"/>
        <v>#N/A</v>
      </c>
      <c r="L84" s="172" t="e">
        <f ca="1"/>
        <v>#N/A</v>
      </c>
      <c r="M84" s="172" t="e">
        <f ca="1"/>
        <v>#N/A</v>
      </c>
      <c r="N84" s="173" t="e">
        <f ca="1"/>
        <v>#N/A</v>
      </c>
      <c r="P84" s="50"/>
      <c r="Q84" s="102"/>
      <c r="R84" s="55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3"/>
      <c r="AG84" s="106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108"/>
      <c r="AY84" s="50"/>
      <c r="AZ84" s="52"/>
      <c r="BA84" s="52"/>
      <c r="BB84" s="52"/>
      <c r="BC84" s="52"/>
      <c r="BD84" s="52"/>
      <c r="BE84" s="53"/>
      <c r="BH84" s="50"/>
      <c r="BI84" s="52"/>
      <c r="BJ84" s="52"/>
      <c r="BK84" s="52"/>
      <c r="BL84" s="52"/>
      <c r="BM84" s="52"/>
      <c r="BN84" s="53"/>
      <c r="CA84" s="649">
        <f ca="1"/>
        <v>46398</v>
      </c>
      <c r="CB84" s="648">
        <f ca="1"/>
        <v>6.7825569886082399E-3</v>
      </c>
      <c r="CC84" s="648">
        <f ca="1"/>
        <v>9.0411587836833306E-3</v>
      </c>
      <c r="CD84" s="648">
        <f ca="1"/>
        <v>1.48403704082311E-2</v>
      </c>
      <c r="CE84" s="648"/>
    </row>
    <row r="85" spans="11:83" x14ac:dyDescent="0.25">
      <c r="K85" s="171" t="e">
        <f ca="1"/>
        <v>#N/A</v>
      </c>
      <c r="L85" s="172" t="e">
        <f ca="1"/>
        <v>#N/A</v>
      </c>
      <c r="M85" s="172" t="e">
        <f ca="1"/>
        <v>#N/A</v>
      </c>
      <c r="N85" s="173" t="e">
        <f ca="1"/>
        <v>#N/A</v>
      </c>
      <c r="P85" s="50"/>
      <c r="Q85" s="102"/>
      <c r="R85" s="55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3"/>
      <c r="AG85" s="106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108"/>
      <c r="AY85" s="50"/>
      <c r="AZ85" s="52"/>
      <c r="BA85" s="52"/>
      <c r="BB85" s="52"/>
      <c r="BC85" s="52"/>
      <c r="BD85" s="52"/>
      <c r="BE85" s="53"/>
      <c r="BH85" s="50"/>
      <c r="BI85" s="52"/>
      <c r="BJ85" s="52"/>
      <c r="BK85" s="52"/>
      <c r="BL85" s="52"/>
      <c r="BM85" s="52"/>
      <c r="BN85" s="53"/>
      <c r="CA85" s="649">
        <f ca="1"/>
        <v>46427</v>
      </c>
      <c r="CB85" s="648">
        <f ca="1"/>
        <v>6.9035448544141698E-3</v>
      </c>
      <c r="CC85" s="648">
        <f ca="1"/>
        <v>9.1489607386486295E-3</v>
      </c>
      <c r="CD85" s="648">
        <f ca="1"/>
        <v>1.49539246061957E-2</v>
      </c>
      <c r="CE85" s="648"/>
    </row>
    <row r="86" spans="11:83" x14ac:dyDescent="0.25">
      <c r="K86" s="171" t="e">
        <f ca="1"/>
        <v>#N/A</v>
      </c>
      <c r="L86" s="172" t="e">
        <f ca="1"/>
        <v>#N/A</v>
      </c>
      <c r="M86" s="172" t="e">
        <f ca="1"/>
        <v>#N/A</v>
      </c>
      <c r="N86" s="173" t="e">
        <f ca="1"/>
        <v>#N/A</v>
      </c>
      <c r="P86" s="50"/>
      <c r="Q86" s="102"/>
      <c r="R86" s="55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3"/>
      <c r="AG86" s="106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108"/>
      <c r="AY86" s="50"/>
      <c r="AZ86" s="52"/>
      <c r="BA86" s="52"/>
      <c r="BB86" s="52"/>
      <c r="BC86" s="52"/>
      <c r="BD86" s="52"/>
      <c r="BE86" s="53"/>
      <c r="BH86" s="50"/>
      <c r="BI86" s="52"/>
      <c r="BJ86" s="52"/>
      <c r="BK86" s="52"/>
      <c r="BL86" s="52"/>
      <c r="BM86" s="52"/>
      <c r="BN86" s="53"/>
      <c r="CA86" s="649">
        <f ca="1"/>
        <v>46455</v>
      </c>
      <c r="CB86" s="648">
        <f ca="1"/>
        <v>7.0188077934474503E-3</v>
      </c>
      <c r="CC86" s="648">
        <f ca="1"/>
        <v>9.2501306077868908E-3</v>
      </c>
      <c r="CD86" s="648">
        <f ca="1"/>
        <v>1.5062701886419E-2</v>
      </c>
      <c r="CE86" s="648"/>
    </row>
    <row r="87" spans="11:83" x14ac:dyDescent="0.25">
      <c r="K87" s="174" t="e">
        <f ca="1"/>
        <v>#N/A</v>
      </c>
      <c r="L87" s="175" t="e">
        <f ca="1"/>
        <v>#N/A</v>
      </c>
      <c r="M87" s="175" t="e">
        <f ca="1"/>
        <v>#N/A</v>
      </c>
      <c r="N87" s="176" t="e">
        <f ca="1"/>
        <v>#N/A</v>
      </c>
      <c r="P87" s="75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7"/>
      <c r="AG87" s="106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108"/>
      <c r="AY87" s="50"/>
      <c r="AZ87" s="52"/>
      <c r="BA87" s="52"/>
      <c r="BB87" s="52"/>
      <c r="BC87" s="52"/>
      <c r="BD87" s="52"/>
      <c r="BE87" s="53"/>
      <c r="BH87" s="50"/>
      <c r="BI87" s="52"/>
      <c r="BJ87" s="52"/>
      <c r="BK87" s="52"/>
      <c r="BL87" s="52"/>
      <c r="BM87" s="52"/>
      <c r="BN87" s="53"/>
      <c r="CA87" s="649">
        <f ca="1"/>
        <v>46486</v>
      </c>
      <c r="CB87" s="648">
        <f ca="1"/>
        <v>7.1486492998481298E-3</v>
      </c>
      <c r="CC87" s="648">
        <f ca="1"/>
        <v>9.3584452674748894E-3</v>
      </c>
      <c r="CD87" s="648">
        <f ca="1"/>
        <v>1.5186464325517599E-2</v>
      </c>
      <c r="CE87" s="648"/>
    </row>
    <row r="88" spans="11:83" x14ac:dyDescent="0.25">
      <c r="AG88" s="106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108"/>
      <c r="AY88" s="50"/>
      <c r="AZ88" s="52"/>
      <c r="BA88" s="52"/>
      <c r="BB88" s="52"/>
      <c r="BC88" s="52"/>
      <c r="BD88" s="52"/>
      <c r="BE88" s="53"/>
      <c r="BH88" s="50"/>
      <c r="BI88" s="52"/>
      <c r="BJ88" s="52"/>
      <c r="BK88" s="52"/>
      <c r="BL88" s="52"/>
      <c r="BM88" s="52"/>
      <c r="BN88" s="53"/>
      <c r="CA88" s="649">
        <f ca="1"/>
        <v>46517</v>
      </c>
      <c r="CB88" s="648">
        <f ca="1"/>
        <v>7.26797105443097E-3</v>
      </c>
      <c r="CC88" s="648">
        <f ca="1"/>
        <v>9.4623321361358807E-3</v>
      </c>
      <c r="CD88" s="648">
        <f ca="1"/>
        <v>1.5299930180228001E-2</v>
      </c>
      <c r="CE88" s="648"/>
    </row>
    <row r="89" spans="11:83" x14ac:dyDescent="0.25">
      <c r="AG89" s="106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108"/>
      <c r="AY89" s="50"/>
      <c r="AZ89" s="52"/>
      <c r="BA89" s="52"/>
      <c r="BB89" s="52"/>
      <c r="BC89" s="52"/>
      <c r="BD89" s="52"/>
      <c r="BE89" s="53"/>
      <c r="BH89" s="50"/>
      <c r="BI89" s="52"/>
      <c r="BJ89" s="52"/>
      <c r="BK89" s="52"/>
      <c r="BL89" s="52"/>
      <c r="BM89" s="52"/>
      <c r="BN89" s="53"/>
      <c r="CA89" s="649">
        <f ca="1"/>
        <v>46547</v>
      </c>
      <c r="CB89" s="648">
        <f ca="1"/>
        <v>7.3853695802117E-3</v>
      </c>
      <c r="CC89" s="648">
        <f ca="1"/>
        <v>9.5580780229014492E-3</v>
      </c>
      <c r="CD89" s="648">
        <f ca="1"/>
        <v>1.5412752788044101E-2</v>
      </c>
      <c r="CE89" s="648"/>
    </row>
    <row r="90" spans="11:83" x14ac:dyDescent="0.25">
      <c r="AG90" s="106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108"/>
      <c r="AY90" s="50"/>
      <c r="AZ90" s="52"/>
      <c r="BA90" s="52"/>
      <c r="BB90" s="52"/>
      <c r="BC90" s="52"/>
      <c r="BD90" s="52"/>
      <c r="BE90" s="53"/>
      <c r="BH90" s="50"/>
      <c r="BI90" s="52"/>
      <c r="BJ90" s="52"/>
      <c r="BK90" s="52"/>
      <c r="BL90" s="52"/>
      <c r="BM90" s="52"/>
      <c r="BN90" s="53"/>
      <c r="CA90" s="649">
        <f ca="1"/>
        <v>46577</v>
      </c>
      <c r="CB90" s="648">
        <f ca="1"/>
        <v>7.5045061956395603E-3</v>
      </c>
      <c r="CC90" s="648">
        <f ca="1"/>
        <v>9.6490315513662397E-3</v>
      </c>
      <c r="CD90" s="648">
        <f ca="1"/>
        <v>1.5528498571565101E-2</v>
      </c>
      <c r="CE90" s="648"/>
    </row>
    <row r="91" spans="11:83" x14ac:dyDescent="0.25">
      <c r="AG91" s="106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108"/>
      <c r="AY91" s="50"/>
      <c r="AZ91" s="52"/>
      <c r="BA91" s="52"/>
      <c r="BB91" s="52"/>
      <c r="BC91" s="52"/>
      <c r="BD91" s="52"/>
      <c r="BE91" s="53"/>
      <c r="BH91" s="50"/>
      <c r="BI91" s="52"/>
      <c r="BJ91" s="52"/>
      <c r="BK91" s="52"/>
      <c r="BL91" s="52"/>
      <c r="BM91" s="52"/>
      <c r="BN91" s="53"/>
      <c r="CA91" s="649">
        <f ca="1"/>
        <v>46608</v>
      </c>
      <c r="CB91" s="648">
        <f ca="1"/>
        <v>7.6170542455068699E-3</v>
      </c>
      <c r="CC91" s="648">
        <f ca="1"/>
        <v>9.7403893288439507E-3</v>
      </c>
      <c r="CD91" s="648">
        <f ca="1"/>
        <v>1.5637555784107401E-2</v>
      </c>
      <c r="CE91" s="648"/>
    </row>
    <row r="92" spans="11:83" x14ac:dyDescent="0.25">
      <c r="AG92" s="106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108"/>
      <c r="AY92" s="50"/>
      <c r="AZ92" s="52"/>
      <c r="BA92" s="52"/>
      <c r="BB92" s="52"/>
      <c r="BC92" s="52"/>
      <c r="BD92" s="52"/>
      <c r="BE92" s="53"/>
      <c r="BH92" s="50"/>
      <c r="BI92" s="52"/>
      <c r="BJ92" s="52"/>
      <c r="BK92" s="52"/>
      <c r="BL92" s="52"/>
      <c r="BM92" s="52"/>
      <c r="BN92" s="53"/>
      <c r="CA92" s="649">
        <f ca="1"/>
        <v>46639</v>
      </c>
      <c r="CB92" s="648">
        <f ca="1"/>
        <v>7.73099012743351E-3</v>
      </c>
      <c r="CC92" s="648">
        <f ca="1"/>
        <v>9.8323183629564805E-3</v>
      </c>
      <c r="CD92" s="648">
        <f ca="1"/>
        <v>1.5749239690785202E-2</v>
      </c>
      <c r="CE92" s="648"/>
    </row>
    <row r="93" spans="11:83" x14ac:dyDescent="0.25">
      <c r="AG93" s="106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108"/>
      <c r="AY93" s="50"/>
      <c r="AZ93" s="52"/>
      <c r="BA93" s="52"/>
      <c r="BB93" s="52"/>
      <c r="BC93" s="52"/>
      <c r="BD93" s="52"/>
      <c r="BE93" s="53"/>
      <c r="BH93" s="50"/>
      <c r="BI93" s="52"/>
      <c r="BJ93" s="52"/>
      <c r="BK93" s="52"/>
      <c r="BL93" s="52"/>
      <c r="BM93" s="52"/>
      <c r="BN93" s="53"/>
      <c r="CA93" s="649">
        <f ca="1"/>
        <v>46671</v>
      </c>
      <c r="CB93" s="648">
        <f ca="1"/>
        <v>7.8464175194005795E-3</v>
      </c>
      <c r="CC93" s="648">
        <f ca="1"/>
        <v>9.9308392401255205E-3</v>
      </c>
      <c r="CD93" s="648">
        <f ca="1"/>
        <v>1.58642600288443E-2</v>
      </c>
      <c r="CE93" s="648"/>
    </row>
    <row r="94" spans="11:83" x14ac:dyDescent="0.25">
      <c r="AG94" s="106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108"/>
      <c r="AY94" s="50"/>
      <c r="AZ94" s="52"/>
      <c r="BA94" s="52"/>
      <c r="BB94" s="52"/>
      <c r="BC94" s="52"/>
      <c r="BD94" s="52"/>
      <c r="BE94" s="53"/>
      <c r="BH94" s="50"/>
      <c r="BI94" s="52"/>
      <c r="BJ94" s="52"/>
      <c r="BK94" s="52"/>
      <c r="BL94" s="52"/>
      <c r="BM94" s="52"/>
      <c r="BN94" s="53"/>
      <c r="CA94" s="649">
        <f ca="1"/>
        <v>46700</v>
      </c>
      <c r="CB94" s="648">
        <f ca="1"/>
        <v>7.9497634062887998E-3</v>
      </c>
      <c r="CC94" s="648">
        <f ca="1"/>
        <v>1.00237612285156E-2</v>
      </c>
      <c r="CD94" s="648">
        <f ca="1"/>
        <v>1.5970266431540099E-2</v>
      </c>
      <c r="CE94" s="648"/>
    </row>
    <row r="95" spans="11:83" x14ac:dyDescent="0.25">
      <c r="AG95" s="106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108"/>
      <c r="AY95" s="50"/>
      <c r="AZ95" s="52"/>
      <c r="BA95" s="52"/>
      <c r="BB95" s="52"/>
      <c r="BC95" s="52"/>
      <c r="BD95" s="52"/>
      <c r="BE95" s="53"/>
      <c r="BH95" s="50"/>
      <c r="BI95" s="52"/>
      <c r="BJ95" s="52"/>
      <c r="BK95" s="52"/>
      <c r="BL95" s="52"/>
      <c r="BM95" s="52"/>
      <c r="BN95" s="53"/>
      <c r="CA95" s="649">
        <f ca="1"/>
        <v>46730</v>
      </c>
      <c r="CB95" s="648">
        <f ca="1"/>
        <v>8.0554183090355402E-3</v>
      </c>
      <c r="CC95" s="648">
        <f ca="1"/>
        <v>1.01231990040273E-2</v>
      </c>
      <c r="CD95" s="648">
        <f ca="1"/>
        <v>1.6081731316382301E-2</v>
      </c>
      <c r="CE95" s="648"/>
    </row>
    <row r="96" spans="11:83" x14ac:dyDescent="0.25">
      <c r="AG96" s="106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108"/>
      <c r="AY96" s="50"/>
      <c r="AZ96" s="52"/>
      <c r="BA96" s="52"/>
      <c r="BB96" s="52"/>
      <c r="BC96" s="52"/>
      <c r="BD96" s="52"/>
      <c r="BE96" s="53"/>
      <c r="BH96" s="50"/>
      <c r="BI96" s="52"/>
      <c r="BJ96" s="52"/>
      <c r="BK96" s="52"/>
      <c r="BL96" s="52"/>
      <c r="BM96" s="52"/>
      <c r="BN96" s="53"/>
      <c r="CA96" s="649">
        <f ca="1"/>
        <v>46762</v>
      </c>
      <c r="CB96" s="648">
        <f ca="1"/>
        <v>8.1666611622819903E-3</v>
      </c>
      <c r="CC96" s="648">
        <f ca="1"/>
        <v>1.02326393906268E-2</v>
      </c>
      <c r="CD96" s="648">
        <f ca="1"/>
        <v>1.6202595040366301E-2</v>
      </c>
      <c r="CE96" s="648"/>
    </row>
    <row r="97" spans="33:83" x14ac:dyDescent="0.25">
      <c r="AG97" s="106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108"/>
      <c r="AY97" s="50"/>
      <c r="AZ97" s="52"/>
      <c r="BA97" s="52"/>
      <c r="BB97" s="52"/>
      <c r="BC97" s="52"/>
      <c r="BD97" s="52"/>
      <c r="BE97" s="53"/>
      <c r="BH97" s="50"/>
      <c r="BI97" s="52"/>
      <c r="BJ97" s="52"/>
      <c r="BK97" s="52"/>
      <c r="BL97" s="52"/>
      <c r="BM97" s="52"/>
      <c r="BN97" s="53"/>
      <c r="CA97" s="649">
        <f ca="1"/>
        <v>46792</v>
      </c>
      <c r="CB97" s="648">
        <f ca="1"/>
        <v>8.2695206134011604E-3</v>
      </c>
      <c r="CC97" s="648">
        <f ca="1"/>
        <v>1.03382352236022E-2</v>
      </c>
      <c r="CD97" s="648">
        <f ca="1"/>
        <v>1.63176729838659E-2</v>
      </c>
      <c r="CE97" s="648"/>
    </row>
    <row r="98" spans="33:83" x14ac:dyDescent="0.25">
      <c r="AG98" s="106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108"/>
      <c r="AY98" s="50"/>
      <c r="AZ98" s="52"/>
      <c r="BA98" s="52"/>
      <c r="BB98" s="52"/>
      <c r="BC98" s="52"/>
      <c r="BD98" s="52"/>
      <c r="BE98" s="53"/>
      <c r="BH98" s="50"/>
      <c r="BI98" s="52"/>
      <c r="BJ98" s="52"/>
      <c r="BK98" s="52"/>
      <c r="BL98" s="52"/>
      <c r="BM98" s="52"/>
      <c r="BN98" s="53"/>
      <c r="CA98" s="649">
        <f ca="1"/>
        <v>46821</v>
      </c>
      <c r="CB98" s="648">
        <f ca="1"/>
        <v>8.3676332904212506E-3</v>
      </c>
      <c r="CC98" s="648">
        <f ca="1"/>
        <v>1.04429637899566E-2</v>
      </c>
      <c r="CD98" s="648">
        <f ca="1"/>
        <v>1.64305516240556E-2</v>
      </c>
      <c r="CE98" s="648"/>
    </row>
    <row r="99" spans="33:83" x14ac:dyDescent="0.25">
      <c r="AG99" s="106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108"/>
      <c r="AY99" s="50"/>
      <c r="AZ99" s="52"/>
      <c r="BA99" s="52"/>
      <c r="BB99" s="52"/>
      <c r="BC99" s="52"/>
      <c r="BD99" s="52"/>
      <c r="BE99" s="53"/>
      <c r="BH99" s="50"/>
      <c r="BI99" s="52"/>
      <c r="BJ99" s="52"/>
      <c r="BK99" s="52"/>
      <c r="BL99" s="52"/>
      <c r="BM99" s="52"/>
      <c r="BN99" s="53"/>
      <c r="CA99" s="649">
        <f ca="1"/>
        <v>46853</v>
      </c>
      <c r="CB99" s="648">
        <f ca="1"/>
        <v>8.4743345995721905E-3</v>
      </c>
      <c r="CC99" s="648">
        <f ca="1"/>
        <v>1.0561440694695799E-2</v>
      </c>
      <c r="CD99" s="648">
        <f ca="1"/>
        <v>1.6556917001182999E-2</v>
      </c>
      <c r="CE99" s="648"/>
    </row>
    <row r="100" spans="33:83" x14ac:dyDescent="0.25">
      <c r="AG100" s="106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108"/>
      <c r="AY100" s="50"/>
      <c r="AZ100" s="52"/>
      <c r="BA100" s="52"/>
      <c r="BB100" s="52"/>
      <c r="BC100" s="52"/>
      <c r="BD100" s="52"/>
      <c r="BE100" s="53"/>
      <c r="BH100" s="50"/>
      <c r="BI100" s="52"/>
      <c r="BJ100" s="52"/>
      <c r="BK100" s="52"/>
      <c r="BL100" s="52"/>
      <c r="BM100" s="52"/>
      <c r="BN100" s="53"/>
      <c r="CA100" s="649">
        <f ca="1"/>
        <v>46882</v>
      </c>
      <c r="CB100" s="648">
        <f ca="1"/>
        <v>8.5695464391047499E-3</v>
      </c>
      <c r="CC100" s="648">
        <f ca="1"/>
        <v>1.0671377026645701E-2</v>
      </c>
      <c r="CD100" s="648">
        <f ca="1"/>
        <v>1.6672998364344799E-2</v>
      </c>
      <c r="CE100" s="648"/>
    </row>
    <row r="101" spans="33:83" x14ac:dyDescent="0.25">
      <c r="AG101" s="106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108"/>
      <c r="AY101" s="50"/>
      <c r="AZ101" s="52"/>
      <c r="BA101" s="52"/>
      <c r="BB101" s="52"/>
      <c r="BC101" s="52"/>
      <c r="BD101" s="52"/>
      <c r="BE101" s="53"/>
      <c r="BH101" s="50"/>
      <c r="BI101" s="52"/>
      <c r="BJ101" s="52"/>
      <c r="BK101" s="52"/>
      <c r="BL101" s="52"/>
      <c r="BM101" s="52"/>
      <c r="BN101" s="53"/>
      <c r="CA101" s="649">
        <f ca="1"/>
        <v>46913</v>
      </c>
      <c r="CB101" s="648">
        <f ca="1"/>
        <v>8.6731729200457807E-3</v>
      </c>
      <c r="CC101" s="648">
        <f ca="1"/>
        <v>1.07915233107088E-2</v>
      </c>
      <c r="CD101" s="648">
        <f ca="1"/>
        <v>1.68036087972104E-2</v>
      </c>
      <c r="CE101" s="648"/>
    </row>
    <row r="102" spans="33:83" x14ac:dyDescent="0.25">
      <c r="AG102" s="106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108"/>
      <c r="AY102" s="50"/>
      <c r="AZ102" s="52"/>
      <c r="BA102" s="52"/>
      <c r="BB102" s="52"/>
      <c r="BC102" s="52"/>
      <c r="BD102" s="52"/>
      <c r="BE102" s="53"/>
      <c r="BH102" s="50"/>
      <c r="BI102" s="52"/>
      <c r="BJ102" s="52"/>
      <c r="BK102" s="52"/>
      <c r="BL102" s="52"/>
      <c r="BM102" s="52"/>
      <c r="BN102" s="53"/>
      <c r="CA102" s="649">
        <f ca="1"/>
        <v>46944</v>
      </c>
      <c r="CB102" s="648">
        <f ca="1"/>
        <v>8.7682985075052296E-3</v>
      </c>
      <c r="CC102" s="648">
        <f ca="1"/>
        <v>1.0913938060103601E-2</v>
      </c>
      <c r="CD102" s="648">
        <f ca="1"/>
        <v>1.6926128098393001E-2</v>
      </c>
      <c r="CE102" s="648"/>
    </row>
    <row r="103" spans="33:83" x14ac:dyDescent="0.25">
      <c r="AG103" s="106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108"/>
      <c r="AY103" s="50"/>
      <c r="AZ103" s="52"/>
      <c r="BA103" s="52"/>
      <c r="BB103" s="52"/>
      <c r="BC103" s="52"/>
      <c r="BD103" s="52"/>
      <c r="BE103" s="53"/>
      <c r="BH103" s="50"/>
      <c r="BI103" s="52"/>
      <c r="BJ103" s="52"/>
      <c r="BK103" s="52"/>
      <c r="BL103" s="52"/>
      <c r="BM103" s="52"/>
      <c r="BN103" s="53"/>
      <c r="CA103" s="649">
        <f ca="1"/>
        <v>46974</v>
      </c>
      <c r="CB103" s="648">
        <f ca="1"/>
        <v>8.8619964433153692E-3</v>
      </c>
      <c r="CC103" s="648">
        <f ca="1"/>
        <v>1.1032255166123E-2</v>
      </c>
      <c r="CD103" s="648">
        <f ca="1"/>
        <v>1.7050893789291699E-2</v>
      </c>
      <c r="CE103" s="648"/>
    </row>
    <row r="104" spans="33:83" x14ac:dyDescent="0.25">
      <c r="AG104" s="106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108"/>
      <c r="AY104" s="50"/>
      <c r="AZ104" s="52"/>
      <c r="BA104" s="52"/>
      <c r="BB104" s="52"/>
      <c r="BC104" s="52"/>
      <c r="BD104" s="52"/>
      <c r="BE104" s="53"/>
      <c r="BH104" s="50"/>
      <c r="BI104" s="52"/>
      <c r="BJ104" s="52"/>
      <c r="BK104" s="52"/>
      <c r="BL104" s="52"/>
      <c r="BM104" s="52"/>
      <c r="BN104" s="53"/>
      <c r="CA104" s="649">
        <f ca="1"/>
        <v>47007</v>
      </c>
      <c r="CB104" s="648">
        <f ca="1"/>
        <v>8.9631708692724903E-3</v>
      </c>
      <c r="CC104" s="648">
        <f ca="1"/>
        <v>1.1158814748184901E-2</v>
      </c>
      <c r="CD104" s="648">
        <f ca="1"/>
        <v>1.71898350823225E-2</v>
      </c>
      <c r="CE104" s="648"/>
    </row>
    <row r="105" spans="33:83" x14ac:dyDescent="0.25">
      <c r="AG105" s="106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108"/>
      <c r="AY105" s="50"/>
      <c r="AZ105" s="52"/>
      <c r="BA105" s="52"/>
      <c r="BB105" s="52"/>
      <c r="BC105" s="52"/>
      <c r="BD105" s="52"/>
      <c r="BE105" s="53"/>
      <c r="BH105" s="50"/>
      <c r="BI105" s="52"/>
      <c r="BJ105" s="52"/>
      <c r="BK105" s="52"/>
      <c r="BL105" s="52"/>
      <c r="BM105" s="52"/>
      <c r="BN105" s="53"/>
      <c r="CA105" s="649">
        <f ca="1"/>
        <v>47035</v>
      </c>
      <c r="CB105" s="648">
        <f ca="1"/>
        <v>9.0474056937481003E-3</v>
      </c>
      <c r="CC105" s="648">
        <f ca="1"/>
        <v>1.12609040014327E-2</v>
      </c>
      <c r="CD105" s="648">
        <f ca="1"/>
        <v>1.73052099416688E-2</v>
      </c>
      <c r="CE105" s="648"/>
    </row>
    <row r="106" spans="33:83" x14ac:dyDescent="0.25">
      <c r="AG106" s="106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108"/>
      <c r="AY106" s="50"/>
      <c r="AZ106" s="52"/>
      <c r="BA106" s="52"/>
      <c r="BB106" s="52"/>
      <c r="BC106" s="52"/>
      <c r="BD106" s="52"/>
      <c r="BE106" s="53"/>
      <c r="BH106" s="50"/>
      <c r="BI106" s="52"/>
      <c r="BJ106" s="52"/>
      <c r="BK106" s="52"/>
      <c r="BL106" s="52"/>
      <c r="BM106" s="52"/>
      <c r="BN106" s="53"/>
      <c r="CA106" s="649">
        <f ca="1"/>
        <v>47066</v>
      </c>
      <c r="CB106" s="648">
        <f ca="1"/>
        <v>9.1388766812524804E-3</v>
      </c>
      <c r="CC106" s="648">
        <f ca="1"/>
        <v>1.13676311133612E-2</v>
      </c>
      <c r="CD106" s="648">
        <f ca="1"/>
        <v>1.74255930118212E-2</v>
      </c>
      <c r="CE106" s="648"/>
    </row>
    <row r="107" spans="33:83" x14ac:dyDescent="0.25">
      <c r="AG107" s="106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108"/>
      <c r="AY107" s="50"/>
      <c r="AZ107" s="52"/>
      <c r="BA107" s="52"/>
      <c r="BB107" s="52"/>
      <c r="BC107" s="52"/>
      <c r="BD107" s="52"/>
      <c r="BE107" s="53"/>
      <c r="BH107" s="50"/>
      <c r="BI107" s="52"/>
      <c r="BJ107" s="52"/>
      <c r="BK107" s="52"/>
      <c r="BL107" s="52"/>
      <c r="BM107" s="52"/>
      <c r="BN107" s="53"/>
      <c r="CA107" s="649">
        <f ca="1"/>
        <v>47098</v>
      </c>
      <c r="CB107" s="648">
        <f ca="1"/>
        <v>9.2313222396608295E-3</v>
      </c>
      <c r="CC107" s="648">
        <f ca="1"/>
        <v>1.1470776778865001E-2</v>
      </c>
      <c r="CD107" s="648">
        <f ca="1"/>
        <v>1.7541708849406201E-2</v>
      </c>
      <c r="CE107" s="648"/>
    </row>
    <row r="108" spans="33:83" x14ac:dyDescent="0.25">
      <c r="AG108" s="106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108"/>
      <c r="AY108" s="50"/>
      <c r="AZ108" s="52"/>
      <c r="BA108" s="52"/>
      <c r="BB108" s="52"/>
      <c r="BC108" s="52"/>
      <c r="BD108" s="52"/>
      <c r="BE108" s="53"/>
      <c r="BH108" s="50"/>
      <c r="BI108" s="52"/>
      <c r="BJ108" s="52"/>
      <c r="BK108" s="52"/>
      <c r="BL108" s="52"/>
      <c r="BM108" s="52"/>
      <c r="BN108" s="53"/>
      <c r="CA108" s="649">
        <f ca="1"/>
        <v>47127</v>
      </c>
      <c r="CB108" s="648">
        <f ca="1"/>
        <v>9.3133089824955894E-3</v>
      </c>
      <c r="CC108" s="648">
        <f ca="1"/>
        <v>1.1558003281880801E-2</v>
      </c>
      <c r="CD108" s="648">
        <f ca="1"/>
        <v>1.76397509715071E-2</v>
      </c>
      <c r="CE108" s="648"/>
    </row>
    <row r="109" spans="33:83" x14ac:dyDescent="0.25">
      <c r="AG109" s="143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52"/>
      <c r="AU109" s="52"/>
      <c r="AV109" s="52"/>
      <c r="AW109" s="145"/>
      <c r="AY109" s="75"/>
      <c r="AZ109" s="76"/>
      <c r="BA109" s="76"/>
      <c r="BB109" s="76"/>
      <c r="BC109" s="76"/>
      <c r="BD109" s="76"/>
      <c r="BE109" s="77"/>
      <c r="BH109" s="75"/>
      <c r="BI109" s="76"/>
      <c r="BJ109" s="76"/>
      <c r="BK109" s="76"/>
      <c r="BL109" s="76"/>
      <c r="BM109" s="76"/>
      <c r="BN109" s="77"/>
      <c r="CA109" s="649">
        <f ca="1"/>
        <v>47158</v>
      </c>
      <c r="CB109" s="648">
        <f ca="1"/>
        <v>9.4019779409911502E-3</v>
      </c>
      <c r="CC109" s="648">
        <f ca="1"/>
        <v>1.16445153718427E-2</v>
      </c>
      <c r="CD109" s="648">
        <f ca="1"/>
        <v>1.7740834617147601E-2</v>
      </c>
      <c r="CE109" s="648"/>
    </row>
    <row r="110" spans="33:83" x14ac:dyDescent="0.25">
      <c r="AT110" s="144"/>
      <c r="AU110" s="144"/>
      <c r="AV110" s="144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9" tint="0.59999389629810485"/>
  </sheetPr>
  <dimension ref="A1:DN199"/>
  <sheetViews>
    <sheetView showGridLines="0" zoomScale="75" zoomScaleNormal="75" workbookViewId="0"/>
  </sheetViews>
  <sheetFormatPr defaultRowHeight="15" outlineLevelCol="2" x14ac:dyDescent="0.25"/>
  <cols>
    <col min="1" max="1" width="12.140625" style="200" bestFit="1" customWidth="1"/>
    <col min="2" max="2" width="9.7109375" style="208" bestFit="1" customWidth="1"/>
    <col min="3" max="3" width="10.8554687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1" customWidth="1"/>
    <col min="12" max="12" width="24.42578125" customWidth="1"/>
    <col min="13" max="13" width="10.42578125" bestFit="1" customWidth="1"/>
    <col min="14" max="14" width="14.85546875" bestFit="1" customWidth="1"/>
    <col min="15" max="15" width="14.28515625" bestFit="1" customWidth="1"/>
    <col min="16" max="16" width="10.85546875" bestFit="1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28515625" bestFit="1" customWidth="1"/>
    <col min="23" max="23" width="43.140625" bestFit="1" customWidth="1"/>
    <col min="24" max="24" width="10.5703125" bestFit="1" customWidth="1"/>
    <col min="25" max="25" width="11.140625" style="5" bestFit="1" customWidth="1"/>
    <col min="26" max="26" width="12.5703125" bestFit="1" customWidth="1"/>
    <col min="27" max="27" width="12.570312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2" max="32" width="9.140625" customWidth="1"/>
    <col min="33" max="33" width="25.28515625" customWidth="1"/>
    <col min="34" max="34" width="42" customWidth="1"/>
    <col min="35" max="35" width="10.5703125" customWidth="1"/>
    <col min="36" max="36" width="11.140625" style="5" customWidth="1"/>
    <col min="37" max="37" width="12.5703125" customWidth="1"/>
    <col min="38" max="38" width="9.140625" customWidth="1"/>
    <col min="39" max="39" width="9.140625" customWidth="1" outlineLevel="1"/>
    <col min="40" max="40" width="30.7109375" customWidth="1" outlineLevel="1"/>
    <col min="41" max="41" width="40.7109375" style="209" customWidth="1" outlineLevel="1"/>
    <col min="42" max="43" width="9.140625" customWidth="1" outlineLevel="1"/>
    <col min="44" max="44" width="25.28515625" customWidth="1" outlineLevel="1"/>
    <col min="45" max="45" width="35" customWidth="1" outlineLevel="1"/>
    <col min="46" max="48" width="9.140625" customWidth="1" outlineLevel="1"/>
    <col min="49" max="49" width="9.140625" customWidth="1"/>
    <col min="50" max="50" width="9.140625" customWidth="1" outlineLevel="1"/>
    <col min="51" max="51" width="30.7109375" customWidth="1" outlineLevel="1"/>
    <col min="52" max="52" width="40.7109375" customWidth="1" outlineLevel="1"/>
    <col min="53" max="53" width="9.140625" customWidth="1" outlineLevel="1"/>
    <col min="54" max="54" width="11" customWidth="1" outlineLevel="1"/>
    <col min="55" max="55" width="14.28515625" customWidth="1" outlineLevel="1"/>
    <col min="56" max="59" width="9.140625" customWidth="1" outlineLevel="1"/>
    <col min="60" max="60" width="9.140625" customWidth="1"/>
    <col min="61" max="61" width="9.140625" customWidth="1" outlineLevel="2"/>
    <col min="62" max="62" width="30.7109375" customWidth="1" outlineLevel="2"/>
    <col min="63" max="63" width="40.7109375" customWidth="1" outlineLevel="2"/>
    <col min="64" max="65" width="9.140625" customWidth="1" outlineLevel="2"/>
    <col min="66" max="66" width="25.7109375" customWidth="1" outlineLevel="2"/>
    <col min="67" max="67" width="17.85546875" customWidth="1" outlineLevel="2"/>
    <col min="68" max="68" width="6.28515625" customWidth="1" outlineLevel="2"/>
    <col min="69" max="70" width="9.140625" customWidth="1" outlineLevel="2"/>
    <col min="72" max="72" width="9.140625" customWidth="1" outlineLevel="1"/>
    <col min="73" max="73" width="30.7109375" customWidth="1" outlineLevel="1"/>
    <col min="74" max="74" width="68.7109375" customWidth="1" outlineLevel="1"/>
    <col min="75" max="75" width="9.140625" customWidth="1" outlineLevel="1"/>
    <col min="77" max="77" width="25.28515625" bestFit="1" customWidth="1"/>
    <col min="78" max="78" width="43.42578125" bestFit="1" customWidth="1"/>
    <col min="81" max="81" width="13.85546875" bestFit="1" customWidth="1"/>
    <col min="83" max="83" width="9.140625" customWidth="1" outlineLevel="1"/>
    <col min="84" max="84" width="28.5703125" customWidth="1" outlineLevel="1"/>
    <col min="85" max="85" width="20.7109375" customWidth="1" outlineLevel="1"/>
    <col min="86" max="86" width="9.140625" customWidth="1" outlineLevel="1"/>
    <col min="87" max="87" width="9.140625" style="206" customWidth="1"/>
    <col min="88" max="88" width="11.42578125" customWidth="1"/>
    <col min="89" max="89" width="18" customWidth="1"/>
    <col min="90" max="90" width="15.7109375" customWidth="1"/>
    <col min="91" max="91" width="9.140625" customWidth="1"/>
    <col min="92" max="92" width="16.28515625" customWidth="1"/>
    <col min="93" max="93" width="20.7109375" customWidth="1"/>
    <col min="94" max="94" width="34.5703125" bestFit="1" customWidth="1"/>
    <col min="95" max="95" width="33.42578125" customWidth="1"/>
    <col min="96" max="98" width="20.7109375" customWidth="1"/>
    <col min="99" max="99" width="14.85546875" bestFit="1" customWidth="1"/>
    <col min="100" max="101" width="20.7109375" customWidth="1"/>
    <col min="102" max="102" width="90.28515625" bestFit="1" customWidth="1"/>
    <col min="103" max="105" width="20.7109375" customWidth="1"/>
    <col min="106" max="106" width="9.140625" customWidth="1"/>
  </cols>
  <sheetData>
    <row r="1" spans="1:110" x14ac:dyDescent="0.25">
      <c r="A1" s="200" t="s">
        <v>3</v>
      </c>
      <c r="AX1" s="209"/>
      <c r="AY1" s="209"/>
      <c r="AZ1" s="209"/>
      <c r="BA1" s="209"/>
      <c r="BI1" s="209"/>
      <c r="BJ1" s="209"/>
      <c r="BK1" s="209"/>
      <c r="BL1" s="209"/>
      <c r="BT1" s="209"/>
      <c r="BU1" s="209"/>
      <c r="BV1" s="209"/>
      <c r="BW1" s="209"/>
      <c r="CE1" s="209"/>
      <c r="CF1" s="209"/>
      <c r="CG1" s="209"/>
      <c r="CH1" s="209"/>
      <c r="CI1" s="333"/>
      <c r="CJ1" s="209"/>
      <c r="CK1" s="209"/>
      <c r="CL1" s="209"/>
      <c r="CM1" s="209"/>
      <c r="CN1" s="209"/>
      <c r="CS1" t="s">
        <v>929</v>
      </c>
      <c r="DB1" s="300"/>
      <c r="DC1" s="206"/>
      <c r="DD1" s="206"/>
      <c r="DE1" s="206"/>
      <c r="DF1" s="206"/>
    </row>
    <row r="2" spans="1:110" x14ac:dyDescent="0.25">
      <c r="F2" s="237" t="s">
        <v>712</v>
      </c>
      <c r="K2" t="str">
        <f>A1&amp;"_OIS"</f>
        <v>EUR_OIS</v>
      </c>
      <c r="Q2" s="237"/>
      <c r="V2" t="str">
        <f>A1&amp;"_SWAP_3M"</f>
        <v>EUR_SWAP_3M</v>
      </c>
      <c r="AB2" s="237"/>
      <c r="AG2" t="str">
        <f>$A$1&amp;"_SWAP_6M"</f>
        <v>EUR_SWAP_6M</v>
      </c>
      <c r="AM2" s="237"/>
      <c r="AR2" t="str">
        <f>A1&amp;"_BASIS_6M"</f>
        <v>EUR_BASIS_6M</v>
      </c>
      <c r="BC2" t="str">
        <f>A1&amp;"_BASIS_12M"</f>
        <v>EUR_BASIS_12M</v>
      </c>
      <c r="BN2" t="str">
        <f>A1&amp;"_BASIS_1M"</f>
        <v>EUR_BASIS_1M</v>
      </c>
      <c r="BY2" t="str">
        <f>A1&amp;"_XCCYBASIS"</f>
        <v>EUR_XCCYBASIS</v>
      </c>
      <c r="CO2" s="161" t="s">
        <v>1292</v>
      </c>
      <c r="CQ2" s="161"/>
      <c r="CS2" t="s">
        <v>1006</v>
      </c>
      <c r="DB2" s="300"/>
      <c r="DC2" s="206"/>
      <c r="DD2" s="206"/>
      <c r="DE2" s="206"/>
      <c r="DF2" s="206"/>
    </row>
    <row r="3" spans="1:110" x14ac:dyDescent="0.25">
      <c r="F3" s="45"/>
      <c r="G3" s="48"/>
      <c r="H3" s="48"/>
      <c r="I3" s="49"/>
      <c r="Q3" s="45"/>
      <c r="R3" s="48"/>
      <c r="S3" s="48"/>
      <c r="T3" s="49"/>
      <c r="AB3" s="45"/>
      <c r="AC3" s="48"/>
      <c r="AD3" s="48"/>
      <c r="AE3" s="49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T3" s="45"/>
      <c r="BU3" s="48"/>
      <c r="BV3" s="48"/>
      <c r="BW3" s="49"/>
      <c r="CE3" s="45"/>
      <c r="CF3" s="48"/>
      <c r="CG3" s="48"/>
      <c r="CH3" s="48"/>
      <c r="CI3" s="299"/>
      <c r="CO3" t="s">
        <v>1651</v>
      </c>
      <c r="CS3" t="s">
        <v>1079</v>
      </c>
      <c r="DB3" s="300"/>
      <c r="DC3" s="206"/>
      <c r="DD3" s="206"/>
      <c r="DE3" s="206"/>
      <c r="DF3" s="206"/>
    </row>
    <row r="4" spans="1:110" x14ac:dyDescent="0.25">
      <c r="F4" s="50"/>
      <c r="G4" s="81"/>
      <c r="H4" s="228"/>
      <c r="I4" s="53"/>
      <c r="N4">
        <v>0</v>
      </c>
      <c r="Q4" s="50"/>
      <c r="R4" s="81"/>
      <c r="S4" s="228"/>
      <c r="T4" s="53"/>
      <c r="Y4" s="5">
        <v>0</v>
      </c>
      <c r="Z4" s="686">
        <f>_xll.BView(_xll.BCurveStrip("S201"),"volatility")/100</f>
        <v>3.7117076873779296E-3</v>
      </c>
      <c r="AB4" s="50"/>
      <c r="AC4" s="81"/>
      <c r="AD4" s="228"/>
      <c r="AE4" s="53"/>
      <c r="AJ4" s="5">
        <v>0</v>
      </c>
      <c r="AM4" s="50"/>
      <c r="AN4" s="81"/>
      <c r="AO4" s="228"/>
      <c r="AP4" s="53"/>
      <c r="AU4">
        <v>0</v>
      </c>
      <c r="AX4" s="50"/>
      <c r="AY4" s="81"/>
      <c r="AZ4" s="228"/>
      <c r="BA4" s="53"/>
      <c r="BI4" s="50"/>
      <c r="BJ4" s="81"/>
      <c r="BK4" s="228"/>
      <c r="BL4" s="53"/>
      <c r="BQ4">
        <v>0</v>
      </c>
      <c r="BT4" s="50"/>
      <c r="BU4" s="81"/>
      <c r="BV4" s="228"/>
      <c r="BW4" s="53"/>
      <c r="CB4">
        <v>0</v>
      </c>
      <c r="CE4" s="50"/>
      <c r="CF4" s="52"/>
      <c r="CG4" s="52"/>
      <c r="CH4" s="52"/>
      <c r="CI4" s="299"/>
      <c r="CO4" t="s">
        <v>743</v>
      </c>
      <c r="CP4" t="b">
        <v>1</v>
      </c>
      <c r="CS4" t="s">
        <v>1188</v>
      </c>
      <c r="DB4" s="300"/>
      <c r="DC4" s="206"/>
      <c r="DD4" s="206"/>
      <c r="DE4" s="206"/>
      <c r="DF4" s="206"/>
    </row>
    <row r="5" spans="1:110" x14ac:dyDescent="0.25">
      <c r="F5" s="50"/>
      <c r="G5" s="54" t="s">
        <v>742</v>
      </c>
      <c r="H5" s="228"/>
      <c r="I5" s="53"/>
      <c r="K5" s="294"/>
      <c r="Q5" s="50"/>
      <c r="R5" s="54" t="s">
        <v>741</v>
      </c>
      <c r="S5" s="228"/>
      <c r="T5" s="53"/>
      <c r="W5" s="205"/>
      <c r="AB5" s="50"/>
      <c r="AC5" s="54" t="s">
        <v>741</v>
      </c>
      <c r="AD5" s="228"/>
      <c r="AE5" s="53"/>
      <c r="AH5" s="20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744</v>
      </c>
      <c r="BK5" s="228"/>
      <c r="BL5" s="53"/>
      <c r="BT5" s="50"/>
      <c r="BU5" s="54" t="s">
        <v>802</v>
      </c>
      <c r="BV5" s="228"/>
      <c r="BW5" s="53"/>
      <c r="BY5" t="s">
        <v>1324</v>
      </c>
      <c r="BZ5" t="s">
        <v>1323</v>
      </c>
      <c r="CE5" s="50"/>
      <c r="CF5" s="56" t="s">
        <v>835</v>
      </c>
      <c r="CG5" s="57"/>
      <c r="CH5" s="52"/>
      <c r="CI5" s="299"/>
      <c r="CJ5" s="54" t="s">
        <v>822</v>
      </c>
      <c r="CK5" s="262"/>
      <c r="CO5" t="s">
        <v>711</v>
      </c>
      <c r="CP5" t="s">
        <v>1292</v>
      </c>
      <c r="DB5" s="300"/>
      <c r="DC5" s="206"/>
      <c r="DD5" s="206"/>
      <c r="DE5" s="206"/>
      <c r="DF5" s="206"/>
    </row>
    <row r="6" spans="1:110" x14ac:dyDescent="0.25">
      <c r="F6" s="50"/>
      <c r="G6" s="51" t="s">
        <v>743</v>
      </c>
      <c r="H6" s="210" t="b">
        <v>1</v>
      </c>
      <c r="I6" s="53"/>
      <c r="K6" t="s">
        <v>429</v>
      </c>
      <c r="L6" t="s">
        <v>430</v>
      </c>
      <c r="M6" t="s">
        <v>433</v>
      </c>
      <c r="N6" s="5" t="s">
        <v>665</v>
      </c>
      <c r="O6" t="s">
        <v>666</v>
      </c>
      <c r="Q6" s="50"/>
      <c r="R6" s="51" t="s">
        <v>743</v>
      </c>
      <c r="S6" s="210" t="b">
        <v>1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t="s">
        <v>430</v>
      </c>
      <c r="AI6" t="s">
        <v>433</v>
      </c>
      <c r="AJ6" s="5" t="s">
        <v>665</v>
      </c>
      <c r="AK6" t="s">
        <v>666</v>
      </c>
      <c r="AM6" s="50"/>
      <c r="AN6" s="51" t="s">
        <v>743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0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t="s">
        <v>430</v>
      </c>
      <c r="BP6" t="s">
        <v>433</v>
      </c>
      <c r="BQ6" t="s">
        <v>665</v>
      </c>
      <c r="BR6" t="s">
        <v>666</v>
      </c>
      <c r="BT6" s="50"/>
      <c r="BU6" s="51" t="s">
        <v>743</v>
      </c>
      <c r="BV6" s="210" t="b">
        <v>1</v>
      </c>
      <c r="BW6" s="53"/>
      <c r="BY6" t="s">
        <v>429</v>
      </c>
      <c r="BZ6" t="s">
        <v>430</v>
      </c>
      <c r="CA6" t="s">
        <v>433</v>
      </c>
      <c r="CB6" t="s">
        <v>665</v>
      </c>
      <c r="CC6" t="s">
        <v>666</v>
      </c>
      <c r="CE6" s="50"/>
      <c r="CF6" s="270" t="s">
        <v>743</v>
      </c>
      <c r="CG6" s="271" t="b">
        <v>1</v>
      </c>
      <c r="CH6" s="52"/>
      <c r="CI6" s="299"/>
      <c r="CK6" s="261" t="s">
        <v>502</v>
      </c>
      <c r="CL6" s="261" t="s">
        <v>503</v>
      </c>
      <c r="CO6" t="s">
        <v>670</v>
      </c>
      <c r="CP6" s="444" t="str">
        <f>IF(CP4,_xll.meLWOCurveGeneratorCreate(CP5,CO9,CO10:CP18,CO21,CO22:CP26),"Disabled")</f>
        <v>EUR_JPYCSA@11:1</v>
      </c>
      <c r="CR6" s="469"/>
      <c r="DB6" s="300"/>
      <c r="DC6" s="206"/>
      <c r="DD6" s="206"/>
      <c r="DE6" s="206"/>
      <c r="DF6" s="206"/>
    </row>
    <row r="7" spans="1:110" x14ac:dyDescent="0.25">
      <c r="F7" s="50"/>
      <c r="G7" s="59" t="s">
        <v>711</v>
      </c>
      <c r="H7" s="211" t="str">
        <f>$A$1&amp;"_OIS"</f>
        <v>EUR_OIS</v>
      </c>
      <c r="I7" s="53"/>
      <c r="K7" t="s">
        <v>298</v>
      </c>
      <c r="L7" s="204">
        <f ca="1">O7+$N$7/10000</f>
        <v>-4.6800000000000001E-3</v>
      </c>
      <c r="M7" t="b">
        <v>1</v>
      </c>
      <c r="N7">
        <f>$N$4</f>
        <v>0</v>
      </c>
      <c r="O7" s="343">
        <f ca="1">EUR_DATA!M7</f>
        <v>-4.6800000000000001E-3</v>
      </c>
      <c r="Q7" s="50"/>
      <c r="R7" s="59" t="s">
        <v>711</v>
      </c>
      <c r="S7" s="211" t="str">
        <f>$A$1&amp;"_SWAP_"&amp;"3M"</f>
        <v>EUR_SWAP_3M</v>
      </c>
      <c r="T7" s="53"/>
      <c r="V7" t="s">
        <v>298</v>
      </c>
      <c r="W7" s="204">
        <f ca="1">Z7+Y7/10000</f>
        <v>-5.5228999999999999E-3</v>
      </c>
      <c r="X7" t="b">
        <v>1</v>
      </c>
      <c r="Y7" s="5">
        <f>$Y$4</f>
        <v>0</v>
      </c>
      <c r="Z7" s="203">
        <f ca="1">Z8</f>
        <v>-5.5228999999999999E-3</v>
      </c>
      <c r="AA7" s="203"/>
      <c r="AB7" s="50"/>
      <c r="AC7" s="59" t="s">
        <v>711</v>
      </c>
      <c r="AD7" s="211" t="str">
        <f>$A$1&amp;"_SWAP_"&amp;"6ML"</f>
        <v>EUR_SWAP_6ML</v>
      </c>
      <c r="AE7" s="53"/>
      <c r="AG7" t="s">
        <v>300</v>
      </c>
      <c r="AH7" s="204">
        <f ca="1">EUR_DATA!Z7</f>
        <v>-5.5228999999999999E-3</v>
      </c>
      <c r="AI7" t="b">
        <v>1</v>
      </c>
      <c r="AJ7" s="5">
        <f t="shared" ref="AJ7:AJ36" si="0">$AJ$4</f>
        <v>0</v>
      </c>
      <c r="AK7" s="203">
        <f ca="1">AK8</f>
        <v>-5.5228999999999999E-3</v>
      </c>
      <c r="AL7" s="203"/>
      <c r="AM7" s="50"/>
      <c r="AN7" s="59" t="s">
        <v>711</v>
      </c>
      <c r="AO7" s="211" t="str">
        <f>$A$1&amp;"_BASIS_3X6"</f>
        <v>EUR_BASIS_3X6</v>
      </c>
      <c r="AP7" s="53"/>
      <c r="AR7" t="s">
        <v>47</v>
      </c>
      <c r="AS7" s="208">
        <f t="shared" ref="AS7:AS23" si="1">AV7+AU7/10000</f>
        <v>0</v>
      </c>
      <c r="AT7" t="b">
        <v>1</v>
      </c>
      <c r="AU7">
        <f t="shared" ref="AU7:AU23" si="2">$AU$4</f>
        <v>0</v>
      </c>
      <c r="AV7" s="207">
        <f>EUR_DATA!AX55</f>
        <v>0</v>
      </c>
      <c r="AW7" s="207"/>
      <c r="AX7" s="50"/>
      <c r="AY7" s="59" t="s">
        <v>711</v>
      </c>
      <c r="AZ7" s="211" t="str">
        <f>A1&amp;"_BASIS_3X12"</f>
        <v>EUR_BASIS_3X12</v>
      </c>
      <c r="BA7" s="53"/>
      <c r="BC7" t="s">
        <v>47</v>
      </c>
      <c r="BE7" t="b">
        <v>1</v>
      </c>
      <c r="BI7" s="50"/>
      <c r="BJ7" s="59" t="s">
        <v>711</v>
      </c>
      <c r="BK7" s="211" t="str">
        <f>A1&amp;"_BASIS_1M3M"</f>
        <v>EUR_BASIS_1M3M</v>
      </c>
      <c r="BL7" s="53"/>
      <c r="BN7" t="s">
        <v>300</v>
      </c>
      <c r="BO7" s="207">
        <f t="shared" ref="BO7:BO24" ca="1" si="3">BR7+BQ7/10000</f>
        <v>-5.5228999999999999E-3</v>
      </c>
      <c r="BP7" t="b">
        <v>1</v>
      </c>
      <c r="BQ7">
        <f t="shared" ref="BQ7:BQ24" si="4">$BQ$4</f>
        <v>0</v>
      </c>
      <c r="BR7">
        <f ca="1">EUR_DATA!AE7</f>
        <v>-5.5228999999999999E-3</v>
      </c>
      <c r="BT7" s="50"/>
      <c r="BU7" s="59" t="s">
        <v>711</v>
      </c>
      <c r="BV7" s="211" t="str">
        <f>$A$1&amp;"_XCCY"</f>
        <v>EUR_XCCY</v>
      </c>
      <c r="BW7" s="53"/>
      <c r="BY7" t="s">
        <v>3</v>
      </c>
      <c r="BZ7" t="s">
        <v>2</v>
      </c>
      <c r="CA7" s="2">
        <f ca="1">FX!B3</f>
        <v>1.1760999999999999</v>
      </c>
      <c r="CC7">
        <f ca="1">CA7</f>
        <v>1.1760999999999999</v>
      </c>
      <c r="CE7" s="50"/>
      <c r="CF7" s="270" t="s">
        <v>830</v>
      </c>
      <c r="CG7" s="271" t="str">
        <f>"FX_CURVE_"&amp;$A$1&amp;"USD"</f>
        <v>FX_CURVE_EURUSD</v>
      </c>
      <c r="CH7" s="52"/>
      <c r="CI7" s="299"/>
      <c r="CJ7" t="s">
        <v>836</v>
      </c>
      <c r="CK7" s="296">
        <f ca="1">EUR_DATA!AZ7</f>
        <v>1.1760999999999999</v>
      </c>
      <c r="CL7" s="296">
        <f ca="1">EUR_DATA!BA7</f>
        <v>1.1760999999999999</v>
      </c>
      <c r="CS7" t="str">
        <f t="array" aca="1" ref="CS7:CW199" ca="1">_xll.meUtilityResize(_xll.meLWOCurveForwardRatesTable(CS1,CS2:CS4,,,,,,"QUARTERLY"),144,5)</f>
        <v>Fixing Dates</v>
      </c>
      <c r="CT7" t="str">
        <f ca="1"/>
        <v>EUROIS</v>
      </c>
      <c r="CU7" t="str">
        <f ca="1"/>
        <v>EUR3ML</v>
      </c>
      <c r="CV7" t="str">
        <f ca="1"/>
        <v>EURDF_JPYCSA</v>
      </c>
      <c r="CW7" t="str">
        <f ca="1"/>
        <v/>
      </c>
      <c r="DB7" s="300"/>
      <c r="DC7" s="206"/>
      <c r="DD7" s="206"/>
      <c r="DE7" s="206"/>
      <c r="DF7" s="206"/>
    </row>
    <row r="8" spans="1:110" x14ac:dyDescent="0.25">
      <c r="F8" s="50"/>
      <c r="G8" s="72" t="s">
        <v>670</v>
      </c>
      <c r="H8" s="35" t="str">
        <f>IF(H$6,_xll.meLWOCurveGeneratorCreate(H$7,"CURVEPROPERTIES",G11:H17,"OIS",G22:H36,"SWAPS",G42:H45),"Disabled")</f>
        <v>EUR_OIS@8:1</v>
      </c>
      <c r="I8" s="53" t="s">
        <v>424</v>
      </c>
      <c r="K8" t="s">
        <v>844</v>
      </c>
      <c r="L8" s="204">
        <f ca="1">EUR_DATA!M8+$N$7/10000</f>
        <v>-4.7699999999999999E-3</v>
      </c>
      <c r="M8" s="200">
        <f ca="1">EUR_DATA!J8</f>
        <v>44090</v>
      </c>
      <c r="N8" s="200">
        <f ca="1">EUR_DATA!K8</f>
        <v>44138</v>
      </c>
      <c r="O8" s="686">
        <f>$Z$4</f>
        <v>3.7117076873779296E-3</v>
      </c>
      <c r="P8" s="204" t="b">
        <v>1</v>
      </c>
      <c r="Q8" s="50"/>
      <c r="R8" s="72" t="s">
        <v>670</v>
      </c>
      <c r="S8" s="35" t="str">
        <f>IF(S$6,_xll.meLWOCurveGeneratorCreate(S$7,"CURVEPROPERTIES",R12:S25,"MONEYMARKET",R28:S30,"LIBORFIXINGS",R33:S37,"FUTURES",R40:S44,"SWAPS",R47:S60),"Disabled")</f>
        <v>EUR_SWAP_3M@10:1</v>
      </c>
      <c r="T8" s="53" t="s">
        <v>424</v>
      </c>
      <c r="V8" t="s">
        <v>300</v>
      </c>
      <c r="W8" s="204">
        <f ca="1">Z8+Y8/10000</f>
        <v>-5.5228999999999999E-3</v>
      </c>
      <c r="X8" t="b">
        <v>1</v>
      </c>
      <c r="Y8" s="5">
        <f>$Y$4</f>
        <v>0</v>
      </c>
      <c r="Z8" s="203">
        <f ca="1">EUR_DATA!U7</f>
        <v>-5.5228999999999999E-3</v>
      </c>
      <c r="AA8" s="203"/>
      <c r="AB8" s="50"/>
      <c r="AC8" s="72" t="s">
        <v>670</v>
      </c>
      <c r="AD8" s="35" t="str">
        <f>IF(AD$6,_xll.meLWOCurveGeneratorCreate(AD$7,"CURVEPROPERTIES",AC12:AD25,"MONEYMARKET",AC28:AD30,"LIBORFIXINGS",AC33:AD37,"FRAS",AC40:AD45,"SWAPS",AC57:AD70),"Disabled")</f>
        <v>EUR_SWAP_6ML@7:1</v>
      </c>
      <c r="AE8" s="53" t="s">
        <v>424</v>
      </c>
      <c r="AG8" t="s">
        <v>49</v>
      </c>
      <c r="AH8" s="204">
        <f ca="1">EUR_DATA!Z8</f>
        <v>-5.1614E-3</v>
      </c>
      <c r="AI8" t="b">
        <v>1</v>
      </c>
      <c r="AJ8" s="5">
        <f t="shared" si="0"/>
        <v>0</v>
      </c>
      <c r="AK8" s="203">
        <f ca="1">EUR_DATA!AE7</f>
        <v>-5.5228999999999999E-3</v>
      </c>
      <c r="AL8" s="203"/>
      <c r="AM8" s="50"/>
      <c r="AN8" s="72" t="s">
        <v>670</v>
      </c>
      <c r="AO8" s="35" t="str">
        <f>IF(AO$6,_xll.meLWOCurveGeneratorCreate(AO$7,"CURVEPROPERTIES",AN12:AO21,"BASISSWAPS",AN27:AO68),"Disabled")</f>
        <v>Disabled</v>
      </c>
      <c r="AP8" s="53" t="s">
        <v>424</v>
      </c>
      <c r="AR8" t="s">
        <v>308</v>
      </c>
      <c r="AS8" s="208">
        <f t="shared" si="1"/>
        <v>1E-3</v>
      </c>
      <c r="AT8" t="b">
        <v>1</v>
      </c>
      <c r="AU8">
        <f t="shared" si="2"/>
        <v>0</v>
      </c>
      <c r="AV8" s="207">
        <f>ZAR_DATA!Z8</f>
        <v>1E-3</v>
      </c>
      <c r="AW8" s="207"/>
      <c r="AX8" s="50"/>
      <c r="AY8" s="72" t="s">
        <v>670</v>
      </c>
      <c r="AZ8" s="35" t="str">
        <f>IF(AZ$6,_xll.meLWOCurveGeneratorCreate(AZ$7,AY11,AY12:AZ21,AY26,AY27:AZ68),"Disabled")</f>
        <v>Disabled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IF(BK$6,_xll.meLWOCurveGeneratorCreate(BK$7,"CURVEPROPERTIES",BJ12:BK21,"MONEYMARKET",BJ26:BK28,"LIBORFIXINGS",BJ31:BK35,"BASISSWAPS",BJ38:BK79),"Disabled")</f>
        <v>EUR_BASIS_1M3M@12:1</v>
      </c>
      <c r="BL8" s="53" t="s">
        <v>424</v>
      </c>
      <c r="BN8" t="s">
        <v>47</v>
      </c>
      <c r="BO8" s="207">
        <f t="shared" ca="1" si="3"/>
        <v>4.2999999999999999E-4</v>
      </c>
      <c r="BP8" t="b">
        <v>1</v>
      </c>
      <c r="BQ8">
        <f t="shared" si="4"/>
        <v>0</v>
      </c>
      <c r="BR8">
        <f ca="1">EUR_DATA!AE11</f>
        <v>4.2999999999999999E-4</v>
      </c>
      <c r="BT8" s="50"/>
      <c r="BU8" s="72" t="s">
        <v>670</v>
      </c>
      <c r="BV8" s="35" t="str">
        <f>IF(BV$6,_xll.meLWOCurveGeneratorCreate(BV$7,"CURVEPROPERTIES",BU12:BV23,"XCCYSWAPS",BU27:BV64,"FXFWDS",BU68:BV76),"Disabled")</f>
        <v>EUR_XCCY@9:1</v>
      </c>
      <c r="BW8" s="53" t="s">
        <v>424</v>
      </c>
      <c r="BY8" t="s">
        <v>298</v>
      </c>
      <c r="BZ8" s="382">
        <f t="shared" ref="BZ8:BZ13" ca="1" si="5">CC8</f>
        <v>0.23400000000000001</v>
      </c>
      <c r="CA8" t="b">
        <v>1</v>
      </c>
      <c r="CC8" s="335">
        <f ca="1">EUR_DATA!BC8</f>
        <v>0.23400000000000001</v>
      </c>
      <c r="CE8" s="50"/>
      <c r="CF8" t="s">
        <v>670</v>
      </c>
      <c r="CG8" s="263" t="str">
        <f>IF(CG6,_xll.meLWOCurveGeneratorCreate(CG7,"CURVEPROPERTIES",CF12:CG15,"FXFWDS",CF20:CG25),"DISABLED")</f>
        <v>FX_CURVE_EURUSD@13:1</v>
      </c>
      <c r="CH8" s="52"/>
      <c r="CI8" s="299"/>
      <c r="CJ8" s="537" t="s">
        <v>298</v>
      </c>
      <c r="CK8" s="297">
        <f ca="1">EUR_DATA!AZ8</f>
        <v>0.20100000000000001</v>
      </c>
      <c r="CL8" s="297">
        <f ca="1">EUR_DATA!BA8</f>
        <v>0.26</v>
      </c>
      <c r="CS8" s="200">
        <f ca="1"/>
        <v>44083</v>
      </c>
      <c r="CT8" s="207">
        <f ca="1"/>
        <v>-5.2655521241629097E-3</v>
      </c>
      <c r="CU8" s="207">
        <f ca="1"/>
        <v>-5.2659459199449702E-3</v>
      </c>
      <c r="CV8" s="207">
        <f ca="1"/>
        <v>-3.3412310167024702E-3</v>
      </c>
      <c r="CW8" s="207" t="str">
        <f ca="1"/>
        <v/>
      </c>
      <c r="DB8" s="300"/>
      <c r="DC8" s="206"/>
      <c r="DD8" s="206"/>
      <c r="DE8" s="206"/>
      <c r="DF8" s="206"/>
    </row>
    <row r="9" spans="1:110" x14ac:dyDescent="0.25">
      <c r="F9" s="50"/>
      <c r="G9" s="289"/>
      <c r="H9" s="289"/>
      <c r="I9" s="53" t="s">
        <v>424</v>
      </c>
      <c r="K9" t="s">
        <v>845</v>
      </c>
      <c r="L9" s="204">
        <f ca="1">EUR_DATA!M9+$N$7/10000</f>
        <v>-4.8300000000000001E-3</v>
      </c>
      <c r="M9" s="200">
        <f ca="1">_xll.meDateECBSwapStart(_xll.meDateECB(M8,TRUE))</f>
        <v>44139</v>
      </c>
      <c r="N9" s="200">
        <f ca="1">EUR_DATA!K9</f>
        <v>44180</v>
      </c>
      <c r="O9" s="686">
        <f t="shared" ref="O9:O14" si="6">$Z$4</f>
        <v>3.7117076873779296E-3</v>
      </c>
      <c r="P9" s="204" t="b">
        <v>1</v>
      </c>
      <c r="Q9" s="50"/>
      <c r="R9" s="52"/>
      <c r="S9" s="52"/>
      <c r="T9" s="53"/>
      <c r="V9" t="s">
        <v>49</v>
      </c>
      <c r="W9" s="204">
        <f ca="1">Z9+Y9/10000</f>
        <v>-5.1614E-3</v>
      </c>
      <c r="X9" t="b">
        <v>1</v>
      </c>
      <c r="Y9" s="5">
        <f>$Y$4</f>
        <v>0</v>
      </c>
      <c r="Z9" s="203">
        <f ca="1">EUR_DATA!U8</f>
        <v>-5.1614E-3</v>
      </c>
      <c r="AA9" s="203"/>
      <c r="AB9" s="50"/>
      <c r="AC9" s="52"/>
      <c r="AD9" s="52"/>
      <c r="AE9" s="53"/>
      <c r="AG9" t="s">
        <v>46</v>
      </c>
      <c r="AH9" s="204">
        <f ca="1">EUR_DATA!Z9</f>
        <v>-4.9770999999999999E-3</v>
      </c>
      <c r="AI9" t="b">
        <v>1</v>
      </c>
      <c r="AJ9" s="5">
        <f t="shared" si="0"/>
        <v>0</v>
      </c>
      <c r="AK9" s="203">
        <f>EUR_DATA!AE8</f>
        <v>0</v>
      </c>
      <c r="AL9" s="203"/>
      <c r="AM9" s="50"/>
      <c r="AN9" s="52"/>
      <c r="AO9" s="52"/>
      <c r="AP9" s="53"/>
      <c r="AR9" t="s">
        <v>316</v>
      </c>
      <c r="AS9" s="208">
        <f t="shared" si="1"/>
        <v>1E-3</v>
      </c>
      <c r="AT9" t="b">
        <v>1</v>
      </c>
      <c r="AU9">
        <f t="shared" si="2"/>
        <v>0</v>
      </c>
      <c r="AV9" s="207">
        <f>ZAR_DATA!Z9</f>
        <v>1E-3</v>
      </c>
      <c r="AW9" s="207"/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308</v>
      </c>
      <c r="BO9" s="207">
        <f t="shared" ca="1" si="3"/>
        <v>4.4009000000000002E-4</v>
      </c>
      <c r="BP9" t="b">
        <v>1</v>
      </c>
      <c r="BQ9">
        <f t="shared" si="4"/>
        <v>0</v>
      </c>
      <c r="BR9">
        <f ca="1">EUR_DATA!AE12</f>
        <v>4.4009000000000002E-4</v>
      </c>
      <c r="BT9" s="50"/>
      <c r="BU9" s="52"/>
      <c r="BV9" s="52"/>
      <c r="BW9" s="53"/>
      <c r="BY9" t="s">
        <v>506</v>
      </c>
      <c r="BZ9" s="382">
        <f t="shared" ca="1" si="5"/>
        <v>0.23799999999999999</v>
      </c>
      <c r="CA9" t="b">
        <v>1</v>
      </c>
      <c r="CC9" s="335">
        <f ca="1">EUR_DATA!BC9</f>
        <v>0.23799999999999999</v>
      </c>
      <c r="CE9" s="50"/>
      <c r="CF9" s="57"/>
      <c r="CG9" s="57"/>
      <c r="CH9" s="52"/>
      <c r="CI9" s="299"/>
      <c r="CJ9" s="538" t="s">
        <v>506</v>
      </c>
      <c r="CK9" s="297">
        <f ca="1">EUR_DATA!AZ9</f>
        <v>0.22</v>
      </c>
      <c r="CL9" s="297">
        <f ca="1">EUR_DATA!BA9</f>
        <v>0.24</v>
      </c>
      <c r="CO9" s="2" t="s">
        <v>671</v>
      </c>
      <c r="CQ9" s="2"/>
      <c r="CS9" s="200">
        <f ca="1"/>
        <v>44174</v>
      </c>
      <c r="CT9" s="207">
        <f ca="1"/>
        <v>-5.26583083613643E-3</v>
      </c>
      <c r="CU9" s="207">
        <f ca="1"/>
        <v>-5.0392811381403703E-3</v>
      </c>
      <c r="CV9" s="207">
        <f ca="1"/>
        <v>-4.1214256772193099E-3</v>
      </c>
      <c r="CW9" s="207" t="str">
        <f ca="1"/>
        <v/>
      </c>
      <c r="DB9" s="300"/>
      <c r="DC9" s="206"/>
      <c r="DD9" s="206"/>
      <c r="DE9" s="206"/>
      <c r="DF9" s="206"/>
    </row>
    <row r="10" spans="1:110" x14ac:dyDescent="0.25">
      <c r="F10" s="50"/>
      <c r="G10" s="54" t="s">
        <v>671</v>
      </c>
      <c r="H10" s="52"/>
      <c r="I10" s="53"/>
      <c r="K10" t="s">
        <v>846</v>
      </c>
      <c r="L10" s="204">
        <f ca="1">EUR_DATA!M10+$N$7/10000</f>
        <v>-4.9699999999999996E-3</v>
      </c>
      <c r="M10" s="200">
        <f ca="1">_xll.meDateECBSwapStart(_xll.meDateECB(M9,TRUE))</f>
        <v>44181</v>
      </c>
      <c r="N10" s="200">
        <f ca="1">EUR_DATA!K10</f>
        <v>44222</v>
      </c>
      <c r="O10" s="686">
        <f t="shared" si="6"/>
        <v>3.7117076873779296E-3</v>
      </c>
      <c r="P10" s="204" t="b">
        <v>1</v>
      </c>
      <c r="Q10" s="50"/>
      <c r="R10" s="52"/>
      <c r="S10" s="52"/>
      <c r="T10" s="53"/>
      <c r="V10" t="s">
        <v>46</v>
      </c>
      <c r="W10" s="204">
        <f ca="1">Z10+Y10/10000</f>
        <v>-4.9770999999999999E-3</v>
      </c>
      <c r="X10" t="b">
        <v>0</v>
      </c>
      <c r="Y10" s="5">
        <f>$Y$4</f>
        <v>0</v>
      </c>
      <c r="Z10" s="203">
        <f ca="1">EUR_DATA!U9</f>
        <v>-4.9770999999999999E-3</v>
      </c>
      <c r="AA10" s="203"/>
      <c r="AB10" s="50"/>
      <c r="AC10" s="52"/>
      <c r="AD10" s="52"/>
      <c r="AE10" s="53"/>
      <c r="AG10" s="200" t="s">
        <v>872</v>
      </c>
      <c r="AH10" s="204">
        <f t="shared" ref="AH10:AH36" ca="1" si="7">AK10+AJ10/10000</f>
        <v>-4.5900000000000003E-3</v>
      </c>
      <c r="AI10" s="200" t="b">
        <v>1</v>
      </c>
      <c r="AJ10" s="5">
        <f t="shared" si="0"/>
        <v>0</v>
      </c>
      <c r="AK10" s="207">
        <f ca="1">EUR_DATA!Z11</f>
        <v>-4.5900000000000003E-3</v>
      </c>
      <c r="AL10" s="203"/>
      <c r="AM10" s="50"/>
      <c r="AN10" s="52"/>
      <c r="AO10" s="52"/>
      <c r="AP10" s="53"/>
      <c r="AR10" t="s">
        <v>324</v>
      </c>
      <c r="AS10" s="208">
        <f t="shared" si="1"/>
        <v>1E-3</v>
      </c>
      <c r="AT10" t="b">
        <v>1</v>
      </c>
      <c r="AU10">
        <f t="shared" si="2"/>
        <v>0</v>
      </c>
      <c r="AV10" s="207">
        <f>ZAR_DATA!Z10</f>
        <v>1E-3</v>
      </c>
      <c r="AW10" s="207"/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316</v>
      </c>
      <c r="BO10" s="207">
        <f t="shared" ca="1" si="3"/>
        <v>4.7000000000000004E-4</v>
      </c>
      <c r="BP10" t="b">
        <v>1</v>
      </c>
      <c r="BQ10">
        <f t="shared" si="4"/>
        <v>0</v>
      </c>
      <c r="BR10">
        <f ca="1">EUR_DATA!AE13</f>
        <v>4.7000000000000004E-4</v>
      </c>
      <c r="BT10" s="50"/>
      <c r="BU10" s="52"/>
      <c r="BV10" s="52"/>
      <c r="BW10" s="53"/>
      <c r="BY10" t="s">
        <v>305</v>
      </c>
      <c r="BZ10" s="382">
        <f t="shared" ca="1" si="5"/>
        <v>1.71</v>
      </c>
      <c r="CA10" t="b">
        <v>1</v>
      </c>
      <c r="CC10" s="335">
        <f ca="1">EUR_DATA!BC10</f>
        <v>1.71</v>
      </c>
      <c r="CE10" s="50"/>
      <c r="CF10" s="57"/>
      <c r="CG10" s="57"/>
      <c r="CH10" s="52"/>
      <c r="CI10" s="299"/>
      <c r="CJ10" s="538" t="s">
        <v>305</v>
      </c>
      <c r="CK10" s="297">
        <f ca="1">EUR_DATA!AZ10</f>
        <v>1.66</v>
      </c>
      <c r="CL10" s="297">
        <f ca="1">EUR_DATA!BA10</f>
        <v>1.75</v>
      </c>
      <c r="CO10" t="s">
        <v>435</v>
      </c>
      <c r="CP10" t="s">
        <v>1084</v>
      </c>
      <c r="CS10" s="200">
        <f ca="1"/>
        <v>44264</v>
      </c>
      <c r="CT10" s="207">
        <f ca="1"/>
        <v>-5.2802357147463596E-3</v>
      </c>
      <c r="CU10" s="207">
        <f ca="1"/>
        <v>-5.2350504113189804E-3</v>
      </c>
      <c r="CV10" s="207">
        <f ca="1"/>
        <v>-2.34830605101433E-3</v>
      </c>
      <c r="CW10" s="207" t="str">
        <f ca="1"/>
        <v/>
      </c>
      <c r="DB10" s="300"/>
      <c r="DC10" s="206"/>
      <c r="DD10" s="206"/>
      <c r="DE10" s="206"/>
      <c r="DF10" s="206"/>
    </row>
    <row r="11" spans="1:110" x14ac:dyDescent="0.25">
      <c r="F11" s="50"/>
      <c r="G11" s="212" t="s">
        <v>435</v>
      </c>
      <c r="H11" s="213" t="s">
        <v>426</v>
      </c>
      <c r="I11" s="53"/>
      <c r="K11" t="s">
        <v>847</v>
      </c>
      <c r="L11" s="204">
        <f ca="1">EUR_DATA!M11+$N$7/10000</f>
        <v>-5.0099999999999997E-3</v>
      </c>
      <c r="M11" s="200">
        <f ca="1">_xll.meDateECBSwapStart(_xll.meDateECB(M10,TRUE))</f>
        <v>44223</v>
      </c>
      <c r="N11" s="200">
        <f ca="1">EUR_DATA!K11</f>
        <v>44271</v>
      </c>
      <c r="O11" s="686">
        <f t="shared" si="6"/>
        <v>3.7117076873779296E-3</v>
      </c>
      <c r="P11" s="204" t="b">
        <v>1</v>
      </c>
      <c r="Q11" s="50"/>
      <c r="R11" s="54" t="s">
        <v>671</v>
      </c>
      <c r="S11" s="52" t="s">
        <v>713</v>
      </c>
      <c r="T11" s="53"/>
      <c r="V11" t="s">
        <v>322</v>
      </c>
      <c r="W11" s="204">
        <f ca="1">Z11+Y11/10000</f>
        <v>-4.0699999999999998E-3</v>
      </c>
      <c r="X11" t="b">
        <v>0</v>
      </c>
      <c r="Y11" s="5">
        <f>$Y$4</f>
        <v>0</v>
      </c>
      <c r="Z11" s="203">
        <f ca="1">EUR_DATA!U10</f>
        <v>-4.0699999999999998E-3</v>
      </c>
      <c r="AA11" s="203"/>
      <c r="AB11" s="50"/>
      <c r="AC11" s="54" t="s">
        <v>671</v>
      </c>
      <c r="AD11" s="52" t="s">
        <v>713</v>
      </c>
      <c r="AE11" s="53"/>
      <c r="AG11" s="200" t="s">
        <v>873</v>
      </c>
      <c r="AH11" s="204">
        <f t="shared" ca="1" si="7"/>
        <v>-4.5700000000000003E-3</v>
      </c>
      <c r="AI11" s="200" t="b">
        <v>1</v>
      </c>
      <c r="AJ11" s="5">
        <f t="shared" si="0"/>
        <v>0</v>
      </c>
      <c r="AK11" s="207">
        <f ca="1">EUR_DATA!Z12</f>
        <v>-4.5700000000000003E-3</v>
      </c>
      <c r="AL11" s="203"/>
      <c r="AM11" s="50"/>
      <c r="AN11" s="54" t="s">
        <v>671</v>
      </c>
      <c r="AO11" s="85" t="s">
        <v>713</v>
      </c>
      <c r="AP11" s="53"/>
      <c r="AR11" t="s">
        <v>331</v>
      </c>
      <c r="AS11" s="208">
        <f t="shared" si="1"/>
        <v>1E-3</v>
      </c>
      <c r="AT11" t="b">
        <v>1</v>
      </c>
      <c r="AU11">
        <f t="shared" si="2"/>
        <v>0</v>
      </c>
      <c r="AV11" s="207">
        <f>ZAR_DATA!Z11</f>
        <v>1E-3</v>
      </c>
      <c r="AW11" s="207"/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 t="s">
        <v>713</v>
      </c>
      <c r="BL11" s="53"/>
      <c r="BN11" t="s">
        <v>324</v>
      </c>
      <c r="BO11" s="207">
        <f t="shared" ca="1" si="3"/>
        <v>4.8499999999999997E-4</v>
      </c>
      <c r="BP11" t="b">
        <v>1</v>
      </c>
      <c r="BQ11">
        <f t="shared" si="4"/>
        <v>0</v>
      </c>
      <c r="BR11">
        <f ca="1">EUR_DATA!AE14</f>
        <v>4.8499999999999997E-4</v>
      </c>
      <c r="BT11" s="50"/>
      <c r="BU11" s="54" t="s">
        <v>671</v>
      </c>
      <c r="BV11" s="85"/>
      <c r="BW11" s="53"/>
      <c r="BY11" t="s">
        <v>313</v>
      </c>
      <c r="BZ11" s="382">
        <f t="shared" ca="1" si="5"/>
        <v>3.45</v>
      </c>
      <c r="CA11" t="b">
        <v>1</v>
      </c>
      <c r="CC11" s="335">
        <f ca="1">EUR_DATA!BC11</f>
        <v>3.45</v>
      </c>
      <c r="CE11" s="50"/>
      <c r="CF11" s="56" t="s">
        <v>671</v>
      </c>
      <c r="CG11" s="272" t="s">
        <v>825</v>
      </c>
      <c r="CH11" s="52"/>
      <c r="CI11" s="299"/>
      <c r="CJ11" s="538" t="s">
        <v>313</v>
      </c>
      <c r="CK11" s="297">
        <f ca="1">EUR_DATA!AZ11</f>
        <v>3.4</v>
      </c>
      <c r="CL11" s="297">
        <f ca="1">EUR_DATA!BA11</f>
        <v>3.49</v>
      </c>
      <c r="CO11" t="s">
        <v>438</v>
      </c>
      <c r="CP11" t="s">
        <v>439</v>
      </c>
      <c r="CS11" s="200">
        <f ca="1"/>
        <v>44356</v>
      </c>
      <c r="CT11" s="207">
        <f ca="1"/>
        <v>-5.3094061106851104E-3</v>
      </c>
      <c r="CU11" s="207">
        <f ca="1"/>
        <v>-5.30115931544061E-3</v>
      </c>
      <c r="CV11" s="207">
        <f ca="1"/>
        <v>-3.4226142106064199E-3</v>
      </c>
      <c r="CW11" s="207" t="str">
        <f ca="1"/>
        <v/>
      </c>
      <c r="DB11" s="300"/>
      <c r="DC11" s="206"/>
      <c r="DD11" s="206"/>
      <c r="DE11" s="206"/>
      <c r="DF11" s="206"/>
    </row>
    <row r="12" spans="1:110" x14ac:dyDescent="0.25">
      <c r="F12" s="50"/>
      <c r="G12" s="214" t="s">
        <v>438</v>
      </c>
      <c r="H12" s="215" t="str">
        <f>IF(INDEX('STATIC DATA'!C60:AB60,1,MATCH($A$1,'STATIC DATA'!C4:AB4,0))="1D","DAILY","#Not FOUND")</f>
        <v>DAILY</v>
      </c>
      <c r="I12" s="53"/>
      <c r="K12" t="s">
        <v>1319</v>
      </c>
      <c r="L12" s="204">
        <f ca="1">EUR_DATA!M12+$N$7/10000</f>
        <v>-5.2900000000000004E-3</v>
      </c>
      <c r="M12" s="200">
        <f ca="1">_xll.meDateECBSwapStart(_xll.meDateECB(M11,TRUE))</f>
        <v>44272</v>
      </c>
      <c r="N12" s="200">
        <f ca="1">EUR_DATA!K12</f>
        <v>44313</v>
      </c>
      <c r="O12" s="686">
        <f t="shared" si="6"/>
        <v>3.7117076873779296E-3</v>
      </c>
      <c r="P12" s="204" t="b">
        <v>1</v>
      </c>
      <c r="Q12" s="50"/>
      <c r="R12" s="220" t="s">
        <v>435</v>
      </c>
      <c r="S12" s="221" t="s">
        <v>463</v>
      </c>
      <c r="T12" s="53"/>
      <c r="V12" s="200" t="str">
        <f>EUR_DATA!Q11</f>
        <v>ERM0</v>
      </c>
      <c r="W12" s="200">
        <f>EUR_DATA!R11</f>
        <v>43999</v>
      </c>
      <c r="X12" s="200">
        <f>EUR_DATA!S11</f>
        <v>44090</v>
      </c>
      <c r="Y12" s="5">
        <f ca="1">EUR_DATA!U11-EUR_CURVES!$Y$4/100</f>
        <v>100.495</v>
      </c>
      <c r="Z12" s="685">
        <f>$Z$4</f>
        <v>3.7117076873779296E-3</v>
      </c>
      <c r="AA12" s="207"/>
      <c r="AB12" s="50"/>
      <c r="AC12" s="220" t="s">
        <v>435</v>
      </c>
      <c r="AD12" s="221" t="s">
        <v>463</v>
      </c>
      <c r="AE12" s="53"/>
      <c r="AG12" s="200" t="s">
        <v>874</v>
      </c>
      <c r="AH12" s="204">
        <f t="shared" ca="1" si="7"/>
        <v>-4.5500000000000002E-3</v>
      </c>
      <c r="AI12" s="200" t="b">
        <v>1</v>
      </c>
      <c r="AJ12" s="5">
        <f t="shared" si="0"/>
        <v>0</v>
      </c>
      <c r="AK12" s="207">
        <f ca="1">EUR_DATA!Z13</f>
        <v>-4.5500000000000002E-3</v>
      </c>
      <c r="AL12" s="203"/>
      <c r="AM12" s="50"/>
      <c r="AN12" s="220" t="s">
        <v>434</v>
      </c>
      <c r="AO12" s="213" t="str">
        <f>$A$1</f>
        <v>EUR</v>
      </c>
      <c r="AP12" s="53"/>
      <c r="AR12" t="s">
        <v>339</v>
      </c>
      <c r="AS12" s="208">
        <f t="shared" si="1"/>
        <v>1E-3</v>
      </c>
      <c r="AT12" t="b">
        <v>1</v>
      </c>
      <c r="AU12">
        <f t="shared" si="2"/>
        <v>0</v>
      </c>
      <c r="AV12" s="207">
        <f>ZAR_DATA!Z12</f>
        <v>1E-3</v>
      </c>
      <c r="AW12" s="207"/>
      <c r="AX12" s="50"/>
      <c r="AY12" s="220" t="s">
        <v>434</v>
      </c>
      <c r="AZ12" s="213" t="str">
        <f>$A$1</f>
        <v>EUR</v>
      </c>
      <c r="BA12" s="53"/>
      <c r="BC12" t="s">
        <v>339</v>
      </c>
      <c r="BE12" t="b">
        <v>1</v>
      </c>
      <c r="BI12" s="50"/>
      <c r="BJ12" s="220" t="s">
        <v>434</v>
      </c>
      <c r="BK12" s="213" t="str">
        <f>A1</f>
        <v>EUR</v>
      </c>
      <c r="BL12" s="53"/>
      <c r="BN12" t="s">
        <v>331</v>
      </c>
      <c r="BO12" s="207">
        <f t="shared" ca="1" si="3"/>
        <v>4.8999999999999998E-4</v>
      </c>
      <c r="BP12" t="b">
        <v>1</v>
      </c>
      <c r="BQ12">
        <f t="shared" si="4"/>
        <v>0</v>
      </c>
      <c r="BR12">
        <f ca="1">EUR_DATA!AE15</f>
        <v>4.8999999999999998E-4</v>
      </c>
      <c r="BT12" s="50"/>
      <c r="BU12" s="220" t="s">
        <v>435</v>
      </c>
      <c r="BV12" s="238" t="s">
        <v>669</v>
      </c>
      <c r="BW12" s="53"/>
      <c r="BY12" t="s">
        <v>300</v>
      </c>
      <c r="BZ12" s="382">
        <f t="shared" ca="1" si="5"/>
        <v>8.85</v>
      </c>
      <c r="CA12" t="b">
        <v>1</v>
      </c>
      <c r="CC12" s="335">
        <f ca="1">EUR_DATA!BC13</f>
        <v>8.85</v>
      </c>
      <c r="CE12" s="50"/>
      <c r="CF12" s="238" t="s">
        <v>434</v>
      </c>
      <c r="CG12" s="238" t="str">
        <f>$A$1&amp;"/"&amp;"USD"</f>
        <v>EUR/USD</v>
      </c>
      <c r="CH12" s="52"/>
      <c r="CI12" s="299"/>
      <c r="CJ12" s="538" t="s">
        <v>320</v>
      </c>
      <c r="CK12" s="297">
        <f ca="1">EUR_DATA!AZ12</f>
        <v>5.95</v>
      </c>
      <c r="CL12" s="297">
        <f ca="1">EUR_DATA!BA12</f>
        <v>6.05</v>
      </c>
      <c r="CO12" t="s">
        <v>672</v>
      </c>
      <c r="CP12" t="s">
        <v>1127</v>
      </c>
      <c r="CS12" s="200">
        <f ca="1"/>
        <v>44448</v>
      </c>
      <c r="CT12" s="207">
        <f ca="1"/>
        <v>-5.3531013549079796E-3</v>
      </c>
      <c r="CU12" s="207">
        <f ca="1"/>
        <v>-5.4017467230349902E-3</v>
      </c>
      <c r="CV12" s="207">
        <f ca="1"/>
        <v>-2.79868424419406E-3</v>
      </c>
      <c r="CW12" s="207" t="str">
        <f ca="1"/>
        <v/>
      </c>
      <c r="DB12" s="300"/>
      <c r="DC12" s="206"/>
      <c r="DD12" s="206"/>
      <c r="DE12" s="206"/>
      <c r="DF12" s="206"/>
    </row>
    <row r="13" spans="1:110" x14ac:dyDescent="0.25">
      <c r="F13" s="50"/>
      <c r="G13" s="214" t="s">
        <v>672</v>
      </c>
      <c r="H13" s="215" t="s">
        <v>426</v>
      </c>
      <c r="I13" s="53"/>
      <c r="K13" t="s">
        <v>1320</v>
      </c>
      <c r="L13" s="204">
        <f ca="1">EUR_DATA!M13+$N$7/10000</f>
        <v>-5.4400000000000004E-3</v>
      </c>
      <c r="M13" s="200">
        <f ca="1">_xll.meDateECBSwapStart(_xll.meDateECB(M12,TRUE))</f>
        <v>44314</v>
      </c>
      <c r="N13" s="200">
        <f ca="1">EUR_DATA!K13</f>
        <v>44404</v>
      </c>
      <c r="O13" s="686">
        <f t="shared" si="6"/>
        <v>3.7117076873779296E-3</v>
      </c>
      <c r="P13" s="204" t="b">
        <v>1</v>
      </c>
      <c r="Q13" s="50"/>
      <c r="R13" s="222" t="s">
        <v>438</v>
      </c>
      <c r="S13" s="223" t="s">
        <v>458</v>
      </c>
      <c r="T13" s="53"/>
      <c r="V13" s="200" t="str">
        <f>EUR_DATA!Q12</f>
        <v>ERU0</v>
      </c>
      <c r="W13" s="200">
        <f>EUR_DATA!R12</f>
        <v>44090</v>
      </c>
      <c r="X13" s="200">
        <f>EUR_DATA!S12</f>
        <v>44181</v>
      </c>
      <c r="Y13" s="5">
        <f ca="1">EUR_DATA!U12-EUR_CURVES!$Y$4/100</f>
        <v>100.49</v>
      </c>
      <c r="Z13" s="685">
        <f t="shared" ref="Z13:Z19" si="8">$Z$4</f>
        <v>3.7117076873779296E-3</v>
      </c>
      <c r="AA13" s="207"/>
      <c r="AB13" s="50"/>
      <c r="AC13" s="222" t="s">
        <v>438</v>
      </c>
      <c r="AD13" s="223" t="str">
        <f>IF(INDEX('STATIC DATA'!C56:AB56,1,MATCH(A1,'STATIC DATA'!C4:AB4,0))="1Y","ANNUAL",(IF(INDEX('STATIC DATA'!C56:AB56,1,MATCH($A$1,'STATIC DATA'!C4:AB4,0))="6M","SEMI-ANNUAL","QUARTERLY")))</f>
        <v>SEMI-ANNUAL</v>
      </c>
      <c r="AE13" s="53"/>
      <c r="AG13" s="200" t="s">
        <v>875</v>
      </c>
      <c r="AH13" s="204">
        <f t="shared" ca="1" si="7"/>
        <v>-4.5799999999999999E-3</v>
      </c>
      <c r="AI13" s="200" t="b">
        <v>1</v>
      </c>
      <c r="AJ13" s="5">
        <f t="shared" si="0"/>
        <v>0</v>
      </c>
      <c r="AK13" s="207">
        <f ca="1">EUR_DATA!Z14</f>
        <v>-4.5799999999999999E-3</v>
      </c>
      <c r="AL13" s="203"/>
      <c r="AM13" s="50"/>
      <c r="AN13" s="222" t="s">
        <v>435</v>
      </c>
      <c r="AO13" s="216" t="s">
        <v>468</v>
      </c>
      <c r="AP13" s="53"/>
      <c r="AR13" t="s">
        <v>342</v>
      </c>
      <c r="AS13" s="208">
        <f t="shared" si="1"/>
        <v>1E-3</v>
      </c>
      <c r="AT13" t="b">
        <v>1</v>
      </c>
      <c r="AU13">
        <f t="shared" si="2"/>
        <v>0</v>
      </c>
      <c r="AV13" s="207">
        <f>ZAR_DATA!Z13</f>
        <v>1E-3</v>
      </c>
      <c r="AW13" s="207"/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435</v>
      </c>
      <c r="BK13" s="216" t="s">
        <v>468</v>
      </c>
      <c r="BL13" s="53"/>
      <c r="BN13" t="s">
        <v>339</v>
      </c>
      <c r="BO13" s="207">
        <f t="shared" ca="1" si="3"/>
        <v>4.8999999999999998E-4</v>
      </c>
      <c r="BP13" t="b">
        <v>1</v>
      </c>
      <c r="BQ13">
        <f t="shared" si="4"/>
        <v>0</v>
      </c>
      <c r="BR13">
        <f ca="1">EUR_DATA!AE16</f>
        <v>4.8999999999999998E-4</v>
      </c>
      <c r="BT13" s="50"/>
      <c r="BU13" s="222" t="s">
        <v>438</v>
      </c>
      <c r="BV13" s="216" t="s">
        <v>458</v>
      </c>
      <c r="BW13" s="53"/>
      <c r="BY13" t="s">
        <v>335</v>
      </c>
      <c r="BZ13" s="382">
        <f t="shared" ca="1" si="5"/>
        <v>16.63</v>
      </c>
      <c r="CA13" t="b">
        <v>1</v>
      </c>
      <c r="CC13" s="335">
        <f ca="1">EUR_DATA!BC14</f>
        <v>16.63</v>
      </c>
      <c r="CE13" s="50"/>
      <c r="CF13" s="216" t="s">
        <v>724</v>
      </c>
      <c r="CG13" s="216" t="s">
        <v>1464</v>
      </c>
      <c r="CH13" s="52"/>
      <c r="CI13" s="299"/>
      <c r="CJ13" s="538" t="s">
        <v>300</v>
      </c>
      <c r="CK13" s="297">
        <f ca="1">EUR_DATA!AZ13</f>
        <v>8.8000000000000007</v>
      </c>
      <c r="CL13" s="297">
        <f ca="1">EUR_DATA!BA13</f>
        <v>8.9</v>
      </c>
      <c r="CO13" t="s">
        <v>673</v>
      </c>
      <c r="CP13" t="s">
        <v>1188</v>
      </c>
      <c r="CS13" s="200">
        <f ca="1"/>
        <v>44539</v>
      </c>
      <c r="CT13" s="207">
        <f ca="1"/>
        <v>-5.4101733912448498E-3</v>
      </c>
      <c r="CU13" s="207">
        <f ca="1"/>
        <v>-5.3656921835353302E-3</v>
      </c>
      <c r="CV13" s="207">
        <f ca="1"/>
        <v>-2.6919019800830798E-3</v>
      </c>
      <c r="CW13" s="207" t="str">
        <f ca="1"/>
        <v/>
      </c>
      <c r="DB13" s="300"/>
      <c r="DC13" s="206"/>
      <c r="DD13" s="206"/>
      <c r="DE13" s="206"/>
      <c r="DF13" s="206"/>
    </row>
    <row r="14" spans="1:110" x14ac:dyDescent="0.25">
      <c r="F14" s="50"/>
      <c r="G14" s="235" t="s">
        <v>673</v>
      </c>
      <c r="H14" s="236" t="str">
        <f>H13&amp;":"&amp;$A$1&amp;H11</f>
        <v>OIS:EUROIS</v>
      </c>
      <c r="I14" s="53" t="s">
        <v>424</v>
      </c>
      <c r="K14" t="s">
        <v>1321</v>
      </c>
      <c r="L14" s="204">
        <f ca="1">EUR_DATA!M14+$N$7/10000</f>
        <v>-5.5300000000000002E-3</v>
      </c>
      <c r="M14" s="200">
        <f ca="1">_xll.meDateECBSwapStart(_xll.meDateECB(M13,TRUE))</f>
        <v>44405</v>
      </c>
      <c r="N14" s="200">
        <f ca="1">EUR_DATA!K14</f>
        <v>44453</v>
      </c>
      <c r="O14" s="686">
        <f t="shared" si="6"/>
        <v>3.7117076873779296E-3</v>
      </c>
      <c r="P14" s="204" t="b">
        <v>0</v>
      </c>
      <c r="Q14" s="50"/>
      <c r="R14" s="222" t="s">
        <v>672</v>
      </c>
      <c r="S14" s="223" t="s">
        <v>714</v>
      </c>
      <c r="T14" s="53"/>
      <c r="V14" s="200" t="str">
        <f>EUR_DATA!Q13</f>
        <v>ERZ0</v>
      </c>
      <c r="W14" s="200">
        <f>EUR_DATA!R13</f>
        <v>44181</v>
      </c>
      <c r="X14" s="200">
        <f>EUR_DATA!S13</f>
        <v>44272</v>
      </c>
      <c r="Y14" s="5">
        <f ca="1">EUR_DATA!U13-EUR_CURVES!$Y$4/100</f>
        <v>100.505</v>
      </c>
      <c r="Z14" s="685">
        <f t="shared" si="8"/>
        <v>3.7117076873779296E-3</v>
      </c>
      <c r="AA14" s="207"/>
      <c r="AB14" s="50"/>
      <c r="AC14" s="222" t="s">
        <v>672</v>
      </c>
      <c r="AD14" s="223" t="s">
        <v>1081</v>
      </c>
      <c r="AE14" s="53"/>
      <c r="AG14" s="200" t="s">
        <v>876</v>
      </c>
      <c r="AH14" s="204">
        <f t="shared" ca="1" si="7"/>
        <v>-4.6100000000000004E-3</v>
      </c>
      <c r="AI14" s="200" t="b">
        <v>1</v>
      </c>
      <c r="AJ14" s="5">
        <f t="shared" si="0"/>
        <v>0</v>
      </c>
      <c r="AK14" s="207">
        <f ca="1">EUR_DATA!Z15</f>
        <v>-4.6100000000000004E-3</v>
      </c>
      <c r="AL14" s="203"/>
      <c r="AM14" s="50"/>
      <c r="AN14" s="222" t="s">
        <v>438</v>
      </c>
      <c r="AO14" s="216" t="s">
        <v>459</v>
      </c>
      <c r="AP14" s="53"/>
      <c r="AR14" t="s">
        <v>355</v>
      </c>
      <c r="AS14" s="208">
        <f t="shared" si="1"/>
        <v>1E-3</v>
      </c>
      <c r="AT14" t="b">
        <v>1</v>
      </c>
      <c r="AU14">
        <f t="shared" si="2"/>
        <v>0</v>
      </c>
      <c r="AV14" s="207">
        <f>ZAR_DATA!Z14</f>
        <v>1E-3</v>
      </c>
      <c r="AW14" s="207"/>
      <c r="AX14" s="50"/>
      <c r="AY14" s="222" t="s">
        <v>438</v>
      </c>
      <c r="AZ14" s="216" t="s">
        <v>680</v>
      </c>
      <c r="BA14" s="53"/>
      <c r="BC14" t="s">
        <v>355</v>
      </c>
      <c r="BE14" t="b">
        <v>1</v>
      </c>
      <c r="BI14" s="50"/>
      <c r="BJ14" s="222" t="s">
        <v>438</v>
      </c>
      <c r="BK14" s="216" t="s">
        <v>794</v>
      </c>
      <c r="BL14" s="53"/>
      <c r="BN14" t="s">
        <v>342</v>
      </c>
      <c r="BO14" s="207">
        <f t="shared" ca="1" si="3"/>
        <v>4.7999999999999996E-4</v>
      </c>
      <c r="BP14" t="b">
        <v>1</v>
      </c>
      <c r="BQ14">
        <f t="shared" si="4"/>
        <v>0</v>
      </c>
      <c r="BR14">
        <f ca="1">EUR_DATA!AE17</f>
        <v>4.7999999999999996E-4</v>
      </c>
      <c r="BT14" s="50"/>
      <c r="BU14" s="222" t="s">
        <v>672</v>
      </c>
      <c r="BV14" s="216" t="s">
        <v>803</v>
      </c>
      <c r="BW14" s="53"/>
      <c r="BY14" t="s">
        <v>49</v>
      </c>
      <c r="BZ14" s="203">
        <f t="shared" ref="BZ14:BZ30" ca="1" si="9">CC14+CB14/10000</f>
        <v>-6.7500000000000004E-4</v>
      </c>
      <c r="CA14" t="b">
        <v>1</v>
      </c>
      <c r="CB14">
        <f t="shared" ref="CB14:CB30" si="10">$CB$4</f>
        <v>0</v>
      </c>
      <c r="CC14" s="208">
        <f ca="1">EUR_DATA!AU7/10000</f>
        <v>-6.7500000000000004E-4</v>
      </c>
      <c r="CE14" s="50"/>
      <c r="CF14" s="216" t="s">
        <v>435</v>
      </c>
      <c r="CG14" s="216" t="s">
        <v>820</v>
      </c>
      <c r="CH14" s="52"/>
      <c r="CI14" s="299"/>
      <c r="CJ14" s="538" t="s">
        <v>335</v>
      </c>
      <c r="CK14" s="297">
        <f ca="1">EUR_DATA!AZ14</f>
        <v>16.54</v>
      </c>
      <c r="CL14" s="297">
        <f ca="1">EUR_DATA!BA14</f>
        <v>16.73</v>
      </c>
      <c r="CO14" t="s">
        <v>434</v>
      </c>
      <c r="CP14" t="s">
        <v>3</v>
      </c>
      <c r="CS14" s="200">
        <f ca="1"/>
        <v>44629</v>
      </c>
      <c r="CT14" s="207">
        <f ca="1"/>
        <v>-5.4797458266176097E-3</v>
      </c>
      <c r="CU14" s="207">
        <f ca="1"/>
        <v>-5.3712323854323398E-3</v>
      </c>
      <c r="CV14" s="207">
        <f ca="1"/>
        <v>-2.4971964712872199E-3</v>
      </c>
      <c r="CW14" s="207" t="str">
        <f ca="1"/>
        <v/>
      </c>
      <c r="DB14" s="300"/>
      <c r="DC14" s="206"/>
      <c r="DD14" s="206"/>
      <c r="DE14" s="206"/>
      <c r="DF14" s="206"/>
    </row>
    <row r="15" spans="1:110" x14ac:dyDescent="0.25">
      <c r="F15" s="50"/>
      <c r="G15" s="214" t="s">
        <v>434</v>
      </c>
      <c r="H15" s="215" t="str">
        <f>$A$1</f>
        <v>EUR</v>
      </c>
      <c r="I15" s="53"/>
      <c r="K15" t="s">
        <v>47</v>
      </c>
      <c r="L15" s="204">
        <f t="shared" ref="L15:L31" ca="1" si="11">O15+$N$7/10000</f>
        <v>-5.2900000000000004E-3</v>
      </c>
      <c r="M15" t="b">
        <v>1</v>
      </c>
      <c r="N15">
        <f t="shared" ref="N15:N31" si="12">$N$7</f>
        <v>0</v>
      </c>
      <c r="O15" s="208">
        <f ca="1">EUR_DATA!M16</f>
        <v>-5.2900000000000004E-3</v>
      </c>
      <c r="Q15" s="50"/>
      <c r="R15" s="233" t="s">
        <v>673</v>
      </c>
      <c r="S15" s="230" t="str">
        <f>"STD:"&amp;$A$1&amp;"3ML"</f>
        <v>STD:EUR3ML</v>
      </c>
      <c r="T15" s="53"/>
      <c r="V15" s="200" t="str">
        <f>EUR_DATA!Q14</f>
        <v>ERH1</v>
      </c>
      <c r="W15" s="200">
        <f>EUR_DATA!R14</f>
        <v>44272</v>
      </c>
      <c r="X15" s="200">
        <f>EUR_DATA!S14</f>
        <v>44363</v>
      </c>
      <c r="Y15" s="5">
        <f ca="1">EUR_DATA!U14-EUR_CURVES!$Y$4/100</f>
        <v>100.52500000000001</v>
      </c>
      <c r="Z15" s="685">
        <f t="shared" si="8"/>
        <v>3.7117076873779296E-3</v>
      </c>
      <c r="AA15" s="207"/>
      <c r="AB15" s="50"/>
      <c r="AC15" s="233" t="s">
        <v>673</v>
      </c>
      <c r="AD15" s="230" t="str">
        <f>"STD:"&amp;$A$1&amp;"6ML"</f>
        <v>STD:EUR6ML</v>
      </c>
      <c r="AE15" s="53"/>
      <c r="AG15" s="200" t="s">
        <v>877</v>
      </c>
      <c r="AH15" s="204">
        <f t="shared" ca="1" si="7"/>
        <v>-4.64E-3</v>
      </c>
      <c r="AI15" s="200" t="b">
        <v>1</v>
      </c>
      <c r="AJ15" s="5">
        <f t="shared" si="0"/>
        <v>0</v>
      </c>
      <c r="AK15" s="207">
        <f ca="1">EUR_DATA!Z16</f>
        <v>-4.64E-3</v>
      </c>
      <c r="AL15" s="203"/>
      <c r="AM15" s="50"/>
      <c r="AN15" s="222" t="s">
        <v>672</v>
      </c>
      <c r="AO15" s="216" t="s">
        <v>745</v>
      </c>
      <c r="AP15" s="53"/>
      <c r="AR15" t="s">
        <v>364</v>
      </c>
      <c r="AS15" s="208">
        <f t="shared" si="1"/>
        <v>1E-3</v>
      </c>
      <c r="AT15" t="b">
        <v>1</v>
      </c>
      <c r="AU15">
        <f t="shared" si="2"/>
        <v>0</v>
      </c>
      <c r="AV15" s="207">
        <f>ZAR_DATA!Z15</f>
        <v>1E-3</v>
      </c>
      <c r="AW15" s="207"/>
      <c r="AX15" s="50"/>
      <c r="AY15" s="222" t="s">
        <v>672</v>
      </c>
      <c r="AZ15" s="216" t="s">
        <v>798</v>
      </c>
      <c r="BA15" s="53"/>
      <c r="BC15" t="s">
        <v>364</v>
      </c>
      <c r="BE15" t="b">
        <v>1</v>
      </c>
      <c r="BI15" s="50"/>
      <c r="BJ15" s="222" t="s">
        <v>672</v>
      </c>
      <c r="BK15" s="216" t="s">
        <v>795</v>
      </c>
      <c r="BL15" s="53"/>
      <c r="BN15" t="s">
        <v>355</v>
      </c>
      <c r="BO15" s="207">
        <f t="shared" ca="1" si="3"/>
        <v>4.7000000000000004E-4</v>
      </c>
      <c r="BP15" t="b">
        <v>1</v>
      </c>
      <c r="BQ15">
        <f t="shared" si="4"/>
        <v>0</v>
      </c>
      <c r="BR15">
        <f ca="1">EUR_DATA!AE18</f>
        <v>4.7000000000000004E-4</v>
      </c>
      <c r="BT15" s="50"/>
      <c r="BU15" s="222" t="s">
        <v>673</v>
      </c>
      <c r="BV15" s="216" t="s">
        <v>883</v>
      </c>
      <c r="BW15" s="53"/>
      <c r="BY15" t="s">
        <v>46</v>
      </c>
      <c r="BZ15" s="203">
        <f t="shared" ca="1" si="9"/>
        <v>-1.2750000000000001E-3</v>
      </c>
      <c r="CA15" t="b">
        <v>1</v>
      </c>
      <c r="CB15">
        <f t="shared" si="10"/>
        <v>0</v>
      </c>
      <c r="CC15" s="208">
        <f ca="1">EUR_DATA!AU8/10000</f>
        <v>-1.2750000000000001E-3</v>
      </c>
      <c r="CE15" s="50"/>
      <c r="CF15" s="219" t="s">
        <v>826</v>
      </c>
      <c r="CG15" s="219" t="s">
        <v>828</v>
      </c>
      <c r="CH15" s="52"/>
      <c r="CI15" s="299"/>
      <c r="CJ15" s="538" t="s">
        <v>49</v>
      </c>
      <c r="CK15" s="297">
        <f ca="1">EUR_DATA!AZ15</f>
        <v>23.94</v>
      </c>
      <c r="CL15" s="297">
        <f ca="1">EUR_DATA!BA15</f>
        <v>24.18</v>
      </c>
      <c r="CO15" t="s">
        <v>674</v>
      </c>
      <c r="CP15" t="s">
        <v>1655</v>
      </c>
      <c r="CS15" s="200">
        <f ca="1"/>
        <v>44721</v>
      </c>
      <c r="CT15" s="207">
        <f ca="1"/>
        <v>-5.5642790070331797E-3</v>
      </c>
      <c r="CU15" s="207">
        <f ca="1"/>
        <v>-4.5394478297080803E-3</v>
      </c>
      <c r="CV15" s="207">
        <f ca="1"/>
        <v>-2.3398134747720902E-3</v>
      </c>
      <c r="CW15" s="207" t="str">
        <f ca="1"/>
        <v/>
      </c>
      <c r="DB15" s="300"/>
      <c r="DC15" s="206"/>
      <c r="DD15" s="206"/>
      <c r="DE15" s="206"/>
      <c r="DF15" s="206"/>
    </row>
    <row r="16" spans="1:110" x14ac:dyDescent="0.25">
      <c r="F16" s="50"/>
      <c r="G16" s="217" t="s">
        <v>674</v>
      </c>
      <c r="H16" s="216" t="s">
        <v>1655</v>
      </c>
      <c r="I16" s="53"/>
      <c r="K16" t="s">
        <v>308</v>
      </c>
      <c r="L16" s="204">
        <f t="shared" ca="1" si="11"/>
        <v>-5.3900000000000007E-3</v>
      </c>
      <c r="M16" t="b">
        <v>1</v>
      </c>
      <c r="N16">
        <f t="shared" si="12"/>
        <v>0</v>
      </c>
      <c r="O16" s="208">
        <f ca="1">EUR_DATA!M17</f>
        <v>-5.3900000000000007E-3</v>
      </c>
      <c r="Q16" s="50"/>
      <c r="R16" s="222" t="s">
        <v>434</v>
      </c>
      <c r="S16" s="580" t="str">
        <f>$A$1</f>
        <v>EUR</v>
      </c>
      <c r="T16" s="53"/>
      <c r="V16" s="200" t="str">
        <f>EUR_DATA!Q15</f>
        <v>ERM1</v>
      </c>
      <c r="W16" s="200">
        <f>EUR_DATA!R15</f>
        <v>44363</v>
      </c>
      <c r="X16" s="200">
        <f>EUR_DATA!S15</f>
        <v>44454</v>
      </c>
      <c r="Y16" s="5">
        <f ca="1">EUR_DATA!U15-EUR_CURVES!$Y$4/100</f>
        <v>100.53</v>
      </c>
      <c r="Z16" s="685">
        <f t="shared" si="8"/>
        <v>3.7117076873779296E-3</v>
      </c>
      <c r="AA16" s="207"/>
      <c r="AB16" s="50"/>
      <c r="AC16" s="222" t="s">
        <v>434</v>
      </c>
      <c r="AD16" s="580" t="str">
        <f>$A$1</f>
        <v>EUR</v>
      </c>
      <c r="AE16" s="53"/>
      <c r="AG16" s="200" t="s">
        <v>878</v>
      </c>
      <c r="AH16" s="204">
        <f t="shared" ca="1" si="7"/>
        <v>-4.6800000000000001E-3</v>
      </c>
      <c r="AI16" s="200" t="b">
        <v>1</v>
      </c>
      <c r="AJ16" s="5">
        <f t="shared" si="0"/>
        <v>0</v>
      </c>
      <c r="AK16" s="207">
        <f ca="1">EUR_DATA!Z17</f>
        <v>-4.6800000000000001E-3</v>
      </c>
      <c r="AL16" s="203"/>
      <c r="AM16" s="50"/>
      <c r="AN16" s="233" t="s">
        <v>673</v>
      </c>
      <c r="AO16" s="230" t="s">
        <v>1290</v>
      </c>
      <c r="AP16" s="53"/>
      <c r="AR16" t="s">
        <v>349</v>
      </c>
      <c r="AS16" s="208">
        <f t="shared" si="1"/>
        <v>1E-3</v>
      </c>
      <c r="AT16" t="b">
        <v>1</v>
      </c>
      <c r="AU16">
        <f t="shared" si="2"/>
        <v>0</v>
      </c>
      <c r="AV16" s="207">
        <f>ZAR_DATA!Z16</f>
        <v>1E-3</v>
      </c>
      <c r="AW16" s="207"/>
      <c r="AX16" s="50"/>
      <c r="AY16" s="233" t="s">
        <v>673</v>
      </c>
      <c r="AZ16" s="230" t="s">
        <v>799</v>
      </c>
      <c r="BA16" s="53"/>
      <c r="BC16" t="s">
        <v>349</v>
      </c>
      <c r="BE16" t="b">
        <v>1</v>
      </c>
      <c r="BI16" s="50"/>
      <c r="BJ16" s="233" t="s">
        <v>673</v>
      </c>
      <c r="BK16" s="230" t="s">
        <v>1540</v>
      </c>
      <c r="BL16" s="53"/>
      <c r="BN16" t="s">
        <v>364</v>
      </c>
      <c r="BO16" s="207">
        <f t="shared" ca="1" si="3"/>
        <v>4.5999999999999996E-4</v>
      </c>
      <c r="BP16" t="b">
        <v>1</v>
      </c>
      <c r="BQ16">
        <f t="shared" si="4"/>
        <v>0</v>
      </c>
      <c r="BR16">
        <f ca="1">EUR_DATA!AE19</f>
        <v>4.5999999999999996E-4</v>
      </c>
      <c r="BT16" s="50"/>
      <c r="BU16" s="233" t="s">
        <v>434</v>
      </c>
      <c r="BV16" s="236" t="str">
        <f>$A$1</f>
        <v>EUR</v>
      </c>
      <c r="BW16" s="53"/>
      <c r="BY16" t="s">
        <v>376</v>
      </c>
      <c r="BZ16" s="203">
        <f t="shared" ca="1" si="9"/>
        <v>-1.1125E-3</v>
      </c>
      <c r="CA16" t="b">
        <v>1</v>
      </c>
      <c r="CB16">
        <f t="shared" si="10"/>
        <v>0</v>
      </c>
      <c r="CC16" s="208">
        <f ca="1">EUR_DATA!AU9/10000</f>
        <v>-1.1125E-3</v>
      </c>
      <c r="CE16" s="50"/>
      <c r="CF16" s="57"/>
      <c r="CG16" s="57"/>
      <c r="CH16" s="52"/>
      <c r="CI16" s="299"/>
      <c r="CJ16" s="538" t="s">
        <v>351</v>
      </c>
      <c r="CK16" s="297">
        <f ca="1">EUR_DATA!AZ16</f>
        <v>37.44</v>
      </c>
      <c r="CL16" s="297">
        <f ca="1">EUR_DATA!BA16</f>
        <v>37.86</v>
      </c>
      <c r="CO16" t="s">
        <v>676</v>
      </c>
      <c r="CP16" s="620" t="s">
        <v>1655</v>
      </c>
      <c r="CS16" s="200">
        <f ca="1"/>
        <v>44813</v>
      </c>
      <c r="CT16" s="207">
        <f ca="1"/>
        <v>-5.66332585867359E-3</v>
      </c>
      <c r="CU16" s="207">
        <f ca="1"/>
        <v>-4.7388507418538398E-3</v>
      </c>
      <c r="CV16" s="207">
        <f ca="1"/>
        <v>-2.21588517709482E-3</v>
      </c>
      <c r="CW16" s="207" t="str">
        <f ca="1"/>
        <v/>
      </c>
      <c r="DB16" s="300"/>
      <c r="DC16" s="206"/>
      <c r="DD16" s="206"/>
      <c r="DE16" s="206"/>
      <c r="DF16" s="206"/>
    </row>
    <row r="17" spans="6:110" x14ac:dyDescent="0.25">
      <c r="F17" s="50"/>
      <c r="G17" s="214" t="s">
        <v>676</v>
      </c>
      <c r="H17" s="216" t="s">
        <v>1655</v>
      </c>
      <c r="I17" s="53"/>
      <c r="K17" t="s">
        <v>316</v>
      </c>
      <c r="L17" s="204">
        <f t="shared" ca="1" si="11"/>
        <v>-5.4800000000000005E-3</v>
      </c>
      <c r="M17" t="b">
        <v>1</v>
      </c>
      <c r="N17">
        <f t="shared" si="12"/>
        <v>0</v>
      </c>
      <c r="O17" s="208">
        <f ca="1">EUR_DATA!M18</f>
        <v>-5.4800000000000005E-3</v>
      </c>
      <c r="Q17" s="50"/>
      <c r="R17" s="222" t="s">
        <v>674</v>
      </c>
      <c r="S17" s="223" t="s">
        <v>715</v>
      </c>
      <c r="T17" s="53"/>
      <c r="V17" s="200" t="str">
        <f>EUR_DATA!Q16</f>
        <v>ERU1</v>
      </c>
      <c r="W17" s="200">
        <f>EUR_DATA!R16</f>
        <v>44454</v>
      </c>
      <c r="X17" s="200">
        <f>EUR_DATA!S16</f>
        <v>44545</v>
      </c>
      <c r="Y17" s="5">
        <f ca="1">EUR_DATA!U16-EUR_CURVES!$Y$4/100</f>
        <v>100.54</v>
      </c>
      <c r="Z17" s="685">
        <f t="shared" si="8"/>
        <v>3.7117076873779296E-3</v>
      </c>
      <c r="AA17" s="207"/>
      <c r="AB17" s="50"/>
      <c r="AC17" s="222" t="s">
        <v>674</v>
      </c>
      <c r="AD17" s="223" t="s">
        <v>715</v>
      </c>
      <c r="AE17" s="53"/>
      <c r="AG17" s="200" t="s">
        <v>879</v>
      </c>
      <c r="AH17" s="204">
        <f t="shared" ca="1" si="7"/>
        <v>-4.7099999999999998E-3</v>
      </c>
      <c r="AI17" s="200" t="b">
        <v>1</v>
      </c>
      <c r="AJ17" s="5">
        <f t="shared" si="0"/>
        <v>0</v>
      </c>
      <c r="AK17" s="207">
        <f ca="1">EUR_DATA!Z18</f>
        <v>-4.7099999999999998E-3</v>
      </c>
      <c r="AL17" s="203"/>
      <c r="AM17" s="50"/>
      <c r="AN17" s="222" t="s">
        <v>674</v>
      </c>
      <c r="AO17" s="216" t="s">
        <v>675</v>
      </c>
      <c r="AP17" s="53"/>
      <c r="AR17" t="s">
        <v>358</v>
      </c>
      <c r="AS17" s="208">
        <f t="shared" si="1"/>
        <v>1E-3</v>
      </c>
      <c r="AT17" t="b">
        <v>1</v>
      </c>
      <c r="AU17">
        <f t="shared" si="2"/>
        <v>0</v>
      </c>
      <c r="AV17" s="207">
        <f>ZAR_DATA!Z17</f>
        <v>1E-3</v>
      </c>
      <c r="AW17" s="207"/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1655</v>
      </c>
      <c r="BL17" s="53"/>
      <c r="BN17" t="s">
        <v>349</v>
      </c>
      <c r="BO17" s="207">
        <f t="shared" ca="1" si="3"/>
        <v>4.55E-4</v>
      </c>
      <c r="BP17" t="b">
        <v>1</v>
      </c>
      <c r="BQ17">
        <f t="shared" si="4"/>
        <v>0</v>
      </c>
      <c r="BR17">
        <f ca="1">EUR_DATA!AE20</f>
        <v>4.55E-4</v>
      </c>
      <c r="BT17" s="50"/>
      <c r="BU17" s="222" t="s">
        <v>674</v>
      </c>
      <c r="BV17" s="216" t="s">
        <v>1655</v>
      </c>
      <c r="BW17" s="53"/>
      <c r="BY17" t="s">
        <v>322</v>
      </c>
      <c r="BZ17" s="203">
        <f t="shared" ca="1" si="9"/>
        <v>-1.1000000000000001E-3</v>
      </c>
      <c r="CA17" t="b">
        <v>1</v>
      </c>
      <c r="CB17">
        <f t="shared" si="10"/>
        <v>0</v>
      </c>
      <c r="CC17" s="208">
        <f ca="1">EUR_DATA!AU10/10000</f>
        <v>-1.1000000000000001E-3</v>
      </c>
      <c r="CE17" s="50"/>
      <c r="CF17" s="57"/>
      <c r="CG17" s="57"/>
      <c r="CH17" s="52"/>
      <c r="CI17" s="299"/>
      <c r="CJ17" s="538" t="s">
        <v>360</v>
      </c>
      <c r="CK17" s="297">
        <f ca="1">EUR_DATA!AZ17</f>
        <v>45.36</v>
      </c>
      <c r="CL17" s="297">
        <f ca="1">EUR_DATA!BA17</f>
        <v>45.88</v>
      </c>
      <c r="CO17" t="s">
        <v>746</v>
      </c>
      <c r="CP17" s="620" t="s">
        <v>1655</v>
      </c>
      <c r="CS17" s="200">
        <f ca="1"/>
        <v>44904</v>
      </c>
      <c r="CT17" s="207">
        <f ca="1"/>
        <v>-5.7261151574339499E-3</v>
      </c>
      <c r="CU17" s="207">
        <f ca="1"/>
        <v>-5.1898664573796797E-3</v>
      </c>
      <c r="CV17" s="207">
        <f ca="1"/>
        <v>-2.0902394363098201E-3</v>
      </c>
      <c r="CW17" s="207" t="str">
        <f ca="1"/>
        <v/>
      </c>
      <c r="DB17" s="300"/>
      <c r="DC17" s="206"/>
      <c r="DD17" s="206"/>
      <c r="DE17" s="206"/>
      <c r="DF17" s="206"/>
    </row>
    <row r="18" spans="6:110" x14ac:dyDescent="0.25">
      <c r="F18" s="50"/>
      <c r="G18" s="214"/>
      <c r="H18" s="216"/>
      <c r="I18" s="53"/>
      <c r="K18" t="s">
        <v>324</v>
      </c>
      <c r="L18" s="204">
        <f t="shared" ca="1" si="11"/>
        <v>-5.3800000000000002E-3</v>
      </c>
      <c r="M18" t="b">
        <v>1</v>
      </c>
      <c r="N18">
        <f t="shared" si="12"/>
        <v>0</v>
      </c>
      <c r="O18" s="208">
        <f ca="1">EUR_DATA!M19</f>
        <v>-5.3800000000000002E-3</v>
      </c>
      <c r="Q18" s="50"/>
      <c r="R18" s="222" t="s">
        <v>676</v>
      </c>
      <c r="S18" s="223" t="s">
        <v>715</v>
      </c>
      <c r="T18" s="53"/>
      <c r="V18" s="200" t="str">
        <f>EUR_DATA!Q17</f>
        <v>ERZ1</v>
      </c>
      <c r="W18" s="200">
        <f>EUR_DATA!R17</f>
        <v>44545</v>
      </c>
      <c r="X18" s="200">
        <f>EUR_DATA!S17</f>
        <v>44636</v>
      </c>
      <c r="Y18" s="5">
        <f ca="1">EUR_DATA!U17-EUR_CURVES!$Y$4/100</f>
        <v>100.535</v>
      </c>
      <c r="Z18" s="685">
        <f t="shared" si="8"/>
        <v>3.7117076873779296E-3</v>
      </c>
      <c r="AA18" s="207"/>
      <c r="AB18" s="50"/>
      <c r="AC18" s="222" t="s">
        <v>676</v>
      </c>
      <c r="AD18" s="223" t="s">
        <v>715</v>
      </c>
      <c r="AE18" s="53"/>
      <c r="AG18" t="s">
        <v>880</v>
      </c>
      <c r="AH18" s="204">
        <f t="shared" ca="1" si="7"/>
        <v>-4.7399999999999994E-3</v>
      </c>
      <c r="AI18" t="b">
        <v>1</v>
      </c>
      <c r="AJ18" s="5">
        <f t="shared" si="0"/>
        <v>0</v>
      </c>
      <c r="AK18" s="207">
        <f ca="1">EUR_DATA!Z19</f>
        <v>-4.7399999999999994E-3</v>
      </c>
      <c r="AL18" s="203"/>
      <c r="AM18" s="50"/>
      <c r="AN18" s="222" t="s">
        <v>676</v>
      </c>
      <c r="AO18" s="216" t="s">
        <v>675</v>
      </c>
      <c r="AP18" s="53"/>
      <c r="AR18" t="s">
        <v>367</v>
      </c>
      <c r="AS18" s="208">
        <f t="shared" si="1"/>
        <v>1E-3</v>
      </c>
      <c r="AT18" t="b">
        <v>1</v>
      </c>
      <c r="AU18">
        <f t="shared" si="2"/>
        <v>0</v>
      </c>
      <c r="AV18" s="207">
        <f>ZAR_DATA!Z18</f>
        <v>1E-3</v>
      </c>
      <c r="AW18" s="207"/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1655</v>
      </c>
      <c r="BL18" s="53"/>
      <c r="BN18" t="s">
        <v>358</v>
      </c>
      <c r="BO18" s="207">
        <f t="shared" ca="1" si="3"/>
        <v>4.4999999999999999E-4</v>
      </c>
      <c r="BP18" t="b">
        <v>1</v>
      </c>
      <c r="BQ18">
        <f t="shared" si="4"/>
        <v>0</v>
      </c>
      <c r="BR18">
        <f ca="1">EUR_DATA!AE21</f>
        <v>4.4999999999999999E-4</v>
      </c>
      <c r="BT18" s="50"/>
      <c r="BU18" s="222" t="s">
        <v>676</v>
      </c>
      <c r="BV18" s="639" t="s">
        <v>1655</v>
      </c>
      <c r="BW18" s="53"/>
      <c r="BY18" t="s">
        <v>501</v>
      </c>
      <c r="BZ18" s="203">
        <f t="shared" ref="BZ18" ca="1" si="13">CC18+CB18/10000</f>
        <v>-1.1999999999999999E-3</v>
      </c>
      <c r="CA18" t="b">
        <v>1</v>
      </c>
      <c r="CB18">
        <f t="shared" si="10"/>
        <v>0</v>
      </c>
      <c r="CC18" s="208">
        <f ca="1">EUR_DATA!AU11/10000</f>
        <v>-1.1999999999999999E-3</v>
      </c>
      <c r="CE18" s="50"/>
      <c r="CF18" s="57"/>
      <c r="CG18" s="57"/>
      <c r="CH18" s="52"/>
      <c r="CI18" s="299"/>
      <c r="CJ18" s="538" t="s">
        <v>46</v>
      </c>
      <c r="CK18" s="297">
        <f ca="1">EUR_DATA!AZ18</f>
        <v>52.41</v>
      </c>
      <c r="CL18" s="297">
        <f ca="1">EUR_DATA!BA18</f>
        <v>53.09</v>
      </c>
      <c r="CO18" t="s">
        <v>748</v>
      </c>
      <c r="CP18" t="s">
        <v>426</v>
      </c>
      <c r="CS18" s="200">
        <f ca="1"/>
        <v>44994</v>
      </c>
      <c r="CT18" s="207">
        <f ca="1"/>
        <v>-5.7116470544782598E-3</v>
      </c>
      <c r="CU18" s="207">
        <f ca="1"/>
        <v>-5.3690674968077E-3</v>
      </c>
      <c r="CV18" s="207">
        <f ca="1"/>
        <v>-1.9129085402491801E-3</v>
      </c>
      <c r="CW18" s="207" t="str">
        <f ca="1"/>
        <v/>
      </c>
      <c r="DB18" s="300"/>
      <c r="DC18" s="206"/>
      <c r="DD18" s="206"/>
      <c r="DE18" s="206"/>
      <c r="DF18" s="206"/>
    </row>
    <row r="19" spans="6:110" x14ac:dyDescent="0.25">
      <c r="F19" s="50"/>
      <c r="G19" s="218"/>
      <c r="H19" s="219"/>
      <c r="I19" s="53"/>
      <c r="K19" t="s">
        <v>331</v>
      </c>
      <c r="L19" s="204">
        <f t="shared" ca="1" si="11"/>
        <v>-5.1900000000000002E-3</v>
      </c>
      <c r="M19" t="b">
        <v>1</v>
      </c>
      <c r="N19">
        <f t="shared" si="12"/>
        <v>0</v>
      </c>
      <c r="O19" s="208">
        <f ca="1">EUR_DATA!M20</f>
        <v>-5.1900000000000002E-3</v>
      </c>
      <c r="Q19" s="50"/>
      <c r="R19" s="222" t="s">
        <v>716</v>
      </c>
      <c r="S19" s="223" t="s">
        <v>715</v>
      </c>
      <c r="T19" s="53"/>
      <c r="V19" s="200" t="str">
        <f>EUR_DATA!Q18</f>
        <v>ERH2</v>
      </c>
      <c r="W19" s="200">
        <f>EUR_DATA!R18</f>
        <v>44636</v>
      </c>
      <c r="X19" s="200">
        <f>EUR_DATA!S18</f>
        <v>44727</v>
      </c>
      <c r="Y19" s="5">
        <f ca="1">EUR_DATA!U18-EUR_CURVES!$Y$4/100</f>
        <v>100.535</v>
      </c>
      <c r="Z19" s="685">
        <f t="shared" si="8"/>
        <v>3.7117076873779296E-3</v>
      </c>
      <c r="AA19" s="207"/>
      <c r="AB19" s="50"/>
      <c r="AC19" s="222" t="s">
        <v>716</v>
      </c>
      <c r="AD19" s="223" t="s">
        <v>715</v>
      </c>
      <c r="AE19" s="53"/>
      <c r="AG19" t="s">
        <v>881</v>
      </c>
      <c r="AH19" s="204">
        <f t="shared" ca="1" si="7"/>
        <v>-4.7499999999999999E-3</v>
      </c>
      <c r="AI19" t="b">
        <v>1</v>
      </c>
      <c r="AJ19" s="5">
        <f t="shared" si="0"/>
        <v>0</v>
      </c>
      <c r="AK19" s="207">
        <f ca="1">EUR_DATA!Z20</f>
        <v>-4.7499999999999999E-3</v>
      </c>
      <c r="AL19" s="203"/>
      <c r="AM19" s="50"/>
      <c r="AN19" s="222" t="s">
        <v>746</v>
      </c>
      <c r="AO19" s="216" t="s">
        <v>675</v>
      </c>
      <c r="AP19" s="53"/>
      <c r="AR19" t="s">
        <v>374</v>
      </c>
      <c r="AS19" s="208">
        <f t="shared" si="1"/>
        <v>1E-3</v>
      </c>
      <c r="AT19" t="b">
        <v>1</v>
      </c>
      <c r="AU19">
        <f t="shared" si="2"/>
        <v>0</v>
      </c>
      <c r="AV19" s="207">
        <f>ZAR_DATA!Z19</f>
        <v>1E-3</v>
      </c>
      <c r="AW19" s="207"/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1655</v>
      </c>
      <c r="BL19" s="53"/>
      <c r="BN19" t="s">
        <v>367</v>
      </c>
      <c r="BO19" s="207">
        <f t="shared" ca="1" si="3"/>
        <v>4.2999999999999999E-4</v>
      </c>
      <c r="BP19" t="b">
        <v>1</v>
      </c>
      <c r="BQ19">
        <f t="shared" si="4"/>
        <v>0</v>
      </c>
      <c r="BR19">
        <f ca="1">EUR_DATA!AE22</f>
        <v>4.2999999999999999E-4</v>
      </c>
      <c r="BT19" s="50"/>
      <c r="BU19" s="222" t="s">
        <v>746</v>
      </c>
      <c r="BV19" s="639" t="s">
        <v>1655</v>
      </c>
      <c r="BW19" s="53"/>
      <c r="BY19" t="s">
        <v>308</v>
      </c>
      <c r="BZ19" s="203">
        <f t="shared" ca="1" si="9"/>
        <v>-1.1624999999999999E-3</v>
      </c>
      <c r="CA19" t="b">
        <v>1</v>
      </c>
      <c r="CB19">
        <f t="shared" si="10"/>
        <v>0</v>
      </c>
      <c r="CC19" s="208">
        <f ca="1">EUR_DATA!AU12/10000</f>
        <v>-1.1624999999999999E-3</v>
      </c>
      <c r="CE19" s="50"/>
      <c r="CF19" s="56" t="s">
        <v>814</v>
      </c>
      <c r="CG19" s="57"/>
      <c r="CH19" s="262"/>
      <c r="CI19" s="303"/>
      <c r="CJ19" s="538" t="s">
        <v>376</v>
      </c>
      <c r="CK19" s="297">
        <f ca="1">EUR_DATA!AZ21</f>
        <v>76.55</v>
      </c>
      <c r="CL19" s="297">
        <f ca="1">EUR_DATA!BA21</f>
        <v>77.55</v>
      </c>
      <c r="CS19" s="200">
        <f ca="1"/>
        <v>45086</v>
      </c>
      <c r="CT19" s="207">
        <f ca="1"/>
        <v>-5.6165308372557897E-3</v>
      </c>
      <c r="CU19" s="207">
        <f ca="1"/>
        <v>-5.2616031564452301E-3</v>
      </c>
      <c r="CV19" s="207">
        <f ca="1"/>
        <v>-1.67055984945375E-3</v>
      </c>
      <c r="CW19" s="207" t="str">
        <f ca="1"/>
        <v/>
      </c>
      <c r="DB19" s="300"/>
      <c r="DC19" s="206"/>
      <c r="DD19" s="206"/>
      <c r="DE19" s="206"/>
      <c r="DF19" s="206"/>
    </row>
    <row r="20" spans="6:110" x14ac:dyDescent="0.25">
      <c r="F20" s="50"/>
      <c r="G20" s="52"/>
      <c r="H20" s="52"/>
      <c r="I20" s="53"/>
      <c r="K20" t="s">
        <v>339</v>
      </c>
      <c r="L20" s="204">
        <f t="shared" ca="1" si="11"/>
        <v>-4.8900000000000002E-3</v>
      </c>
      <c r="M20" t="b">
        <v>1</v>
      </c>
      <c r="N20">
        <f t="shared" si="12"/>
        <v>0</v>
      </c>
      <c r="O20" s="208">
        <f ca="1">EUR_DATA!M21</f>
        <v>-4.8900000000000002E-3</v>
      </c>
      <c r="Q20" s="50"/>
      <c r="R20" s="233" t="s">
        <v>717</v>
      </c>
      <c r="S20" s="230" t="b">
        <v>0</v>
      </c>
      <c r="T20" s="53"/>
      <c r="V20" t="s">
        <v>308</v>
      </c>
      <c r="W20" s="204">
        <f t="shared" ref="W20:W35" ca="1" si="14">Z20+Y20/10000</f>
        <v>-5.2359999999999993E-3</v>
      </c>
      <c r="X20" t="b">
        <v>1</v>
      </c>
      <c r="Y20" s="5">
        <f t="shared" ref="Y20:Y35" si="15">$Y$4</f>
        <v>0</v>
      </c>
      <c r="Z20" s="203">
        <f ca="1">EUR_DATA!U19</f>
        <v>-5.2359999999999993E-3</v>
      </c>
      <c r="AA20" s="203"/>
      <c r="AB20" s="50"/>
      <c r="AC20" s="233" t="s">
        <v>717</v>
      </c>
      <c r="AD20" s="230" t="b">
        <v>1</v>
      </c>
      <c r="AE20" s="53"/>
      <c r="AG20" t="s">
        <v>882</v>
      </c>
      <c r="AH20" s="204">
        <f t="shared" ca="1" si="7"/>
        <v>-4.7699999999999999E-3</v>
      </c>
      <c r="AI20" t="b">
        <v>1</v>
      </c>
      <c r="AJ20" s="5">
        <f t="shared" si="0"/>
        <v>0</v>
      </c>
      <c r="AK20" s="207">
        <f ca="1">EUR_DATA!Z21</f>
        <v>-4.7699999999999999E-3</v>
      </c>
      <c r="AL20" s="203"/>
      <c r="AM20" s="50"/>
      <c r="AN20" s="222" t="s">
        <v>747</v>
      </c>
      <c r="AO20" s="216" t="s">
        <v>720</v>
      </c>
      <c r="AP20" s="53"/>
      <c r="AR20" t="s">
        <v>382</v>
      </c>
      <c r="AS20" s="208">
        <f t="shared" si="1"/>
        <v>1E-3</v>
      </c>
      <c r="AT20" t="b">
        <v>1</v>
      </c>
      <c r="AU20">
        <f t="shared" si="2"/>
        <v>0</v>
      </c>
      <c r="AV20" s="207">
        <f>ZAR_DATA!Z20</f>
        <v>1E-3</v>
      </c>
      <c r="AW20" s="207"/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s">
        <v>720</v>
      </c>
      <c r="BL20" s="53"/>
      <c r="BN20" t="s">
        <v>374</v>
      </c>
      <c r="BO20" s="207">
        <f t="shared" ca="1" si="3"/>
        <v>4.0499999999999998E-4</v>
      </c>
      <c r="BP20" t="b">
        <v>1</v>
      </c>
      <c r="BQ20">
        <f t="shared" si="4"/>
        <v>0</v>
      </c>
      <c r="BR20">
        <f ca="1">EUR_DATA!AE23</f>
        <v>4.0499999999999998E-4</v>
      </c>
      <c r="BT20" s="50"/>
      <c r="BU20" s="222" t="s">
        <v>747</v>
      </c>
      <c r="BV20" s="216" t="b">
        <v>0</v>
      </c>
      <c r="BW20" s="53"/>
      <c r="BY20" t="s">
        <v>316</v>
      </c>
      <c r="BZ20" s="203">
        <f t="shared" ca="1" si="9"/>
        <v>-1.2750000000000001E-3</v>
      </c>
      <c r="CA20" t="b">
        <v>1</v>
      </c>
      <c r="CB20">
        <f t="shared" si="10"/>
        <v>0</v>
      </c>
      <c r="CC20" s="208">
        <f ca="1">EUR_DATA!AU13/10000</f>
        <v>-1.2750000000000001E-3</v>
      </c>
      <c r="CE20" s="50"/>
      <c r="CF20" s="147" t="s">
        <v>704</v>
      </c>
      <c r="CG20" s="221" t="str">
        <f>INDEX('STATIC DATA'!C30:AB30,1,MATCH($A$1,'STATIC DATA'!$C$4:$AB$4,0))</f>
        <v>TGT:NYB:LNB</v>
      </c>
      <c r="CH20" s="52"/>
      <c r="CI20" s="299"/>
      <c r="CJ20" s="538" t="s">
        <v>322</v>
      </c>
      <c r="CK20" s="297">
        <f ca="1">EUR_DATA!AZ24</f>
        <v>101.66</v>
      </c>
      <c r="CL20" s="297">
        <f ca="1">EUR_DATA!BA24</f>
        <v>103.13</v>
      </c>
      <c r="CS20" s="200">
        <f ca="1"/>
        <v>45180</v>
      </c>
      <c r="CT20" s="207">
        <f ca="1"/>
        <v>-5.4404975045452501E-3</v>
      </c>
      <c r="CU20" s="207">
        <f ca="1"/>
        <v>-4.91647202218013E-3</v>
      </c>
      <c r="CV20" s="207">
        <f ca="1"/>
        <v>-1.36977995126575E-3</v>
      </c>
      <c r="CW20" s="207" t="str">
        <f ca="1"/>
        <v/>
      </c>
      <c r="DB20" s="300"/>
      <c r="DC20" s="206"/>
      <c r="DD20" s="206"/>
      <c r="DE20" s="206"/>
      <c r="DF20" s="206"/>
    </row>
    <row r="21" spans="6:110" x14ac:dyDescent="0.25">
      <c r="F21" s="50"/>
      <c r="G21" s="54" t="s">
        <v>426</v>
      </c>
      <c r="H21" s="52"/>
      <c r="I21" s="53"/>
      <c r="K21" t="s">
        <v>342</v>
      </c>
      <c r="L21" s="204">
        <f t="shared" ca="1" si="11"/>
        <v>-4.5100000000000001E-3</v>
      </c>
      <c r="M21" t="b">
        <v>1</v>
      </c>
      <c r="N21">
        <f t="shared" si="12"/>
        <v>0</v>
      </c>
      <c r="O21" s="208">
        <f ca="1">EUR_DATA!M22</f>
        <v>-4.5100000000000001E-3</v>
      </c>
      <c r="Q21" s="50"/>
      <c r="R21" s="233" t="s">
        <v>719</v>
      </c>
      <c r="S21" s="230" t="b">
        <v>1</v>
      </c>
      <c r="T21" s="53"/>
      <c r="V21" t="s">
        <v>316</v>
      </c>
      <c r="W21" s="204">
        <f t="shared" ca="1" si="14"/>
        <v>-5.2249999999999996E-3</v>
      </c>
      <c r="X21" t="b">
        <v>1</v>
      </c>
      <c r="Y21" s="5">
        <f t="shared" si="15"/>
        <v>0</v>
      </c>
      <c r="Z21" s="203">
        <f ca="1">EUR_DATA!U20</f>
        <v>-5.2249999999999996E-3</v>
      </c>
      <c r="AA21" s="203"/>
      <c r="AB21" s="50"/>
      <c r="AC21" s="233" t="s">
        <v>719</v>
      </c>
      <c r="AD21" s="230" t="b">
        <v>0</v>
      </c>
      <c r="AE21" s="53"/>
      <c r="AG21" t="s">
        <v>308</v>
      </c>
      <c r="AH21" s="204">
        <f t="shared" ca="1" si="7"/>
        <v>-4.7599999999999995E-3</v>
      </c>
      <c r="AI21" t="b">
        <v>1</v>
      </c>
      <c r="AJ21" s="5">
        <f t="shared" si="0"/>
        <v>0</v>
      </c>
      <c r="AK21" s="203">
        <f ca="1">EUR_DATA!Z22</f>
        <v>-4.7599999999999995E-3</v>
      </c>
      <c r="AL21" s="203"/>
      <c r="AM21" s="50"/>
      <c r="AN21" s="234" t="s">
        <v>748</v>
      </c>
      <c r="AO21" s="232" t="s">
        <v>790</v>
      </c>
      <c r="AP21" s="53"/>
      <c r="AR21" t="s">
        <v>389</v>
      </c>
      <c r="AS21" s="208">
        <f t="shared" si="1"/>
        <v>1E-3</v>
      </c>
      <c r="AT21" t="b">
        <v>1</v>
      </c>
      <c r="AU21">
        <f t="shared" si="2"/>
        <v>0</v>
      </c>
      <c r="AV21" s="207">
        <f>ZAR_DATA!Z21</f>
        <v>1E-3</v>
      </c>
      <c r="AW21" s="207"/>
      <c r="AX21" s="50"/>
      <c r="AY21" s="234" t="s">
        <v>748</v>
      </c>
      <c r="AZ21" s="232" t="s">
        <v>800</v>
      </c>
      <c r="BA21" s="53"/>
      <c r="BC21" t="s">
        <v>389</v>
      </c>
      <c r="BE21" t="b">
        <v>1</v>
      </c>
      <c r="BI21" s="50"/>
      <c r="BJ21" s="234" t="s">
        <v>748</v>
      </c>
      <c r="BK21" s="232" t="s">
        <v>426</v>
      </c>
      <c r="BL21" s="53"/>
      <c r="BN21" t="s">
        <v>382</v>
      </c>
      <c r="BO21" s="207">
        <f t="shared" ca="1" si="3"/>
        <v>3.6999999999999999E-4</v>
      </c>
      <c r="BP21" t="b">
        <v>1</v>
      </c>
      <c r="BQ21">
        <f t="shared" si="4"/>
        <v>0</v>
      </c>
      <c r="BR21">
        <f ca="1">EUR_DATA!AE24</f>
        <v>3.6999999999999999E-4</v>
      </c>
      <c r="BT21" s="50"/>
      <c r="BU21" s="234" t="s">
        <v>717</v>
      </c>
      <c r="BV21" s="232" t="b">
        <v>0</v>
      </c>
      <c r="BW21" s="53"/>
      <c r="BY21" t="s">
        <v>324</v>
      </c>
      <c r="BZ21" s="203">
        <f t="shared" ca="1" si="9"/>
        <v>-1.3875000000000001E-3</v>
      </c>
      <c r="CA21" t="b">
        <v>1</v>
      </c>
      <c r="CB21">
        <f t="shared" si="10"/>
        <v>0</v>
      </c>
      <c r="CC21" s="208">
        <f ca="1">EUR_DATA!AU14/10000</f>
        <v>-1.3875000000000001E-3</v>
      </c>
      <c r="CE21" s="50"/>
      <c r="CF21" s="149" t="s">
        <v>732</v>
      </c>
      <c r="CG21" s="223" t="str">
        <f>INDEX('STATIC DATA'!C19:AB19,1,MATCH($A$1,'STATIC DATA'!$C$4:$AB$4,0))</f>
        <v>2D</v>
      </c>
      <c r="CH21" s="52"/>
      <c r="CI21" s="299"/>
      <c r="CJ21" s="538" t="s">
        <v>823</v>
      </c>
      <c r="CK21" s="297">
        <f ca="1">EUR_DATA!AZ25</f>
        <v>126.93</v>
      </c>
      <c r="CL21" s="297">
        <f ca="1">EUR_DATA!BA25</f>
        <v>129.54</v>
      </c>
      <c r="CO21" s="2" t="s">
        <v>1084</v>
      </c>
      <c r="CP21" t="s">
        <v>713</v>
      </c>
      <c r="CQ21" s="2"/>
      <c r="CS21" s="200">
        <f ca="1"/>
        <v>45271</v>
      </c>
      <c r="CT21" s="207">
        <f ca="1"/>
        <v>-5.2410700155425399E-3</v>
      </c>
      <c r="CU21" s="207">
        <f ca="1"/>
        <v>-4.5888608493263299E-3</v>
      </c>
      <c r="CV21" s="207">
        <f ca="1"/>
        <v>-1.07054946223873E-3</v>
      </c>
      <c r="CW21" s="207" t="str">
        <f ca="1"/>
        <v/>
      </c>
      <c r="DB21" s="300"/>
      <c r="DC21" s="206"/>
      <c r="DD21" s="206"/>
      <c r="DE21" s="206"/>
      <c r="DF21" s="206"/>
    </row>
    <row r="22" spans="6:110" x14ac:dyDescent="0.25">
      <c r="F22" s="50"/>
      <c r="G22" s="220" t="s">
        <v>677</v>
      </c>
      <c r="H22" s="221" t="str">
        <f>INDEX('STATIC DATA'!C43:AB43,1,MATCH($A$1,'STATIC DATA'!$C$4:$AB$4,0))</f>
        <v>TGT</v>
      </c>
      <c r="I22" s="53"/>
      <c r="K22" t="s">
        <v>355</v>
      </c>
      <c r="L22" s="204">
        <f t="shared" ca="1" si="11"/>
        <v>-4.0899999999999999E-3</v>
      </c>
      <c r="M22" t="b">
        <v>1</v>
      </c>
      <c r="N22">
        <f t="shared" si="12"/>
        <v>0</v>
      </c>
      <c r="O22" s="208">
        <f ca="1">EUR_DATA!M23</f>
        <v>-4.0899999999999999E-3</v>
      </c>
      <c r="Q22" s="50"/>
      <c r="R22" s="222" t="s">
        <v>706</v>
      </c>
      <c r="S22" s="223" t="s">
        <v>721</v>
      </c>
      <c r="T22" s="53"/>
      <c r="V22" t="s">
        <v>324</v>
      </c>
      <c r="W22" s="204">
        <f t="shared" ca="1" si="14"/>
        <v>-5.0570000000000007E-3</v>
      </c>
      <c r="X22" t="b">
        <v>1</v>
      </c>
      <c r="Y22" s="5">
        <f t="shared" si="15"/>
        <v>0</v>
      </c>
      <c r="Z22" s="203">
        <f ca="1">EUR_DATA!U21</f>
        <v>-5.0570000000000007E-3</v>
      </c>
      <c r="AA22" s="203"/>
      <c r="AB22" s="50"/>
      <c r="AC22" s="222" t="s">
        <v>706</v>
      </c>
      <c r="AD22" s="223" t="s">
        <v>721</v>
      </c>
      <c r="AE22" s="53"/>
      <c r="AG22" t="s">
        <v>316</v>
      </c>
      <c r="AH22" s="204">
        <f t="shared" ca="1" si="7"/>
        <v>-4.7099999999999998E-3</v>
      </c>
      <c r="AI22" t="b">
        <v>1</v>
      </c>
      <c r="AJ22" s="5">
        <f t="shared" si="0"/>
        <v>0</v>
      </c>
      <c r="AK22" s="203">
        <f ca="1">EUR_DATA!Z23</f>
        <v>-4.7099999999999998E-3</v>
      </c>
      <c r="AL22" s="203"/>
      <c r="AM22" s="50"/>
      <c r="AN22" s="222" t="s">
        <v>713</v>
      </c>
      <c r="AO22" s="216" t="s">
        <v>713</v>
      </c>
      <c r="AP22" s="53"/>
      <c r="AR22" t="s">
        <v>445</v>
      </c>
      <c r="AS22" s="208">
        <f t="shared" si="1"/>
        <v>1E-3</v>
      </c>
      <c r="AT22" t="b">
        <v>1</v>
      </c>
      <c r="AU22">
        <f t="shared" si="2"/>
        <v>0</v>
      </c>
      <c r="AV22" s="207">
        <f>ZAR_DATA!Z22</f>
        <v>1E-3</v>
      </c>
      <c r="AW22" s="207"/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713</v>
      </c>
      <c r="BK22" s="216" t="s">
        <v>713</v>
      </c>
      <c r="BL22" s="53"/>
      <c r="BN22" t="s">
        <v>389</v>
      </c>
      <c r="BO22" s="207">
        <f t="shared" ca="1" si="3"/>
        <v>3.3999999999999997E-4</v>
      </c>
      <c r="BP22" t="b">
        <v>1</v>
      </c>
      <c r="BQ22">
        <f t="shared" si="4"/>
        <v>0</v>
      </c>
      <c r="BR22">
        <f ca="1">EUR_DATA!AE25</f>
        <v>3.3999999999999997E-4</v>
      </c>
      <c r="BT22" s="50"/>
      <c r="BU22" s="222" t="s">
        <v>805</v>
      </c>
      <c r="BV22" s="216" t="b">
        <v>1</v>
      </c>
      <c r="BW22" s="53"/>
      <c r="BY22" t="s">
        <v>331</v>
      </c>
      <c r="BZ22" s="203">
        <f t="shared" ca="1" si="9"/>
        <v>-1.5125E-3</v>
      </c>
      <c r="CA22" t="b">
        <v>1</v>
      </c>
      <c r="CB22">
        <f t="shared" si="10"/>
        <v>0</v>
      </c>
      <c r="CC22" s="208">
        <f ca="1">EUR_DATA!AU15/10000</f>
        <v>-1.5125E-3</v>
      </c>
      <c r="CE22" s="50"/>
      <c r="CF22" s="149" t="s">
        <v>707</v>
      </c>
      <c r="CG22" s="223" t="s">
        <v>687</v>
      </c>
      <c r="CH22" s="52"/>
      <c r="CI22" s="299"/>
      <c r="CJ22" s="538" t="s">
        <v>501</v>
      </c>
      <c r="CK22" s="297">
        <f ca="1">EUR_DATA!AZ26</f>
        <v>153.15</v>
      </c>
      <c r="CL22" s="297">
        <f ca="1">EUR_DATA!BA26</f>
        <v>156.15</v>
      </c>
      <c r="CO22" t="s">
        <v>1085</v>
      </c>
      <c r="CP22" t="s">
        <v>1128</v>
      </c>
      <c r="CS22" s="200">
        <f ca="1"/>
        <v>45362</v>
      </c>
      <c r="CT22" s="207">
        <f ca="1"/>
        <v>-5.0653156337743402E-3</v>
      </c>
      <c r="CU22" s="207">
        <f ca="1"/>
        <v>-4.3299015626658503E-3</v>
      </c>
      <c r="CV22" s="207">
        <f ca="1"/>
        <v>-8.1754139538148501E-4</v>
      </c>
      <c r="CW22" s="207" t="str">
        <f ca="1"/>
        <v/>
      </c>
      <c r="DB22" s="300"/>
      <c r="DC22" s="206"/>
      <c r="DD22" s="206"/>
      <c r="DE22" s="206"/>
      <c r="DF22" s="206"/>
    </row>
    <row r="23" spans="6:110" x14ac:dyDescent="0.25">
      <c r="F23" s="50"/>
      <c r="G23" s="222" t="s">
        <v>678</v>
      </c>
      <c r="H23" s="223" t="str">
        <f>INDEX('STATIC DATA'!C59:AB59,1,MATCH($A$1,'STATIC DATA'!C4:AB4,0))</f>
        <v>ACT/360</v>
      </c>
      <c r="I23" s="53"/>
      <c r="K23" t="s">
        <v>364</v>
      </c>
      <c r="L23" s="204">
        <f t="shared" ca="1" si="11"/>
        <v>-3.65E-3</v>
      </c>
      <c r="M23" t="b">
        <v>1</v>
      </c>
      <c r="N23">
        <f t="shared" si="12"/>
        <v>0</v>
      </c>
      <c r="O23" s="208">
        <f ca="1">EUR_DATA!M24</f>
        <v>-3.65E-3</v>
      </c>
      <c r="Q23" s="50"/>
      <c r="R23" s="222" t="s">
        <v>722</v>
      </c>
      <c r="S23" s="223" t="s">
        <v>718</v>
      </c>
      <c r="T23" s="53"/>
      <c r="V23" t="s">
        <v>331</v>
      </c>
      <c r="W23" s="204">
        <f t="shared" ca="1" si="14"/>
        <v>-4.7990000000000003E-3</v>
      </c>
      <c r="X23" t="b">
        <v>1</v>
      </c>
      <c r="Y23" s="5">
        <f t="shared" si="15"/>
        <v>0</v>
      </c>
      <c r="Z23" s="203">
        <f ca="1">EUR_DATA!U22</f>
        <v>-4.7990000000000003E-3</v>
      </c>
      <c r="AA23" s="203"/>
      <c r="AB23" s="50"/>
      <c r="AC23" s="222" t="s">
        <v>722</v>
      </c>
      <c r="AD23" s="223" t="s">
        <v>718</v>
      </c>
      <c r="AE23" s="53"/>
      <c r="AG23" t="s">
        <v>324</v>
      </c>
      <c r="AH23" s="204">
        <f t="shared" ca="1" si="7"/>
        <v>-4.5100000000000001E-3</v>
      </c>
      <c r="AI23" t="b">
        <v>1</v>
      </c>
      <c r="AJ23" s="5">
        <f t="shared" si="0"/>
        <v>0</v>
      </c>
      <c r="AK23" s="203">
        <f ca="1">EUR_DATA!Z24</f>
        <v>-4.5100000000000001E-3</v>
      </c>
      <c r="AL23" s="203"/>
      <c r="AM23" s="50"/>
      <c r="AN23" s="234" t="s">
        <v>713</v>
      </c>
      <c r="AO23" s="232" t="s">
        <v>713</v>
      </c>
      <c r="AP23" s="53"/>
      <c r="AR23" t="s">
        <v>448</v>
      </c>
      <c r="AS23" s="208">
        <f t="shared" si="1"/>
        <v>1E-3</v>
      </c>
      <c r="AT23" t="b">
        <v>1</v>
      </c>
      <c r="AU23">
        <f t="shared" si="2"/>
        <v>0</v>
      </c>
      <c r="AV23" s="207">
        <f>ZAR_DATA!Z23</f>
        <v>1E-3</v>
      </c>
      <c r="AW23" s="207"/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713</v>
      </c>
      <c r="BK23" s="232" t="s">
        <v>713</v>
      </c>
      <c r="BL23" s="53"/>
      <c r="BN23" t="s">
        <v>445</v>
      </c>
      <c r="BO23" s="207" t="e">
        <f t="shared" ca="1" si="3"/>
        <v>#VALUE!</v>
      </c>
      <c r="BP23" t="b">
        <v>0</v>
      </c>
      <c r="BQ23">
        <f t="shared" si="4"/>
        <v>0</v>
      </c>
      <c r="BR23" t="e">
        <f ca="1">EUR_DATA!AE26</f>
        <v>#VALUE!</v>
      </c>
      <c r="BT23" s="50"/>
      <c r="BU23" s="234" t="s">
        <v>806</v>
      </c>
      <c r="BV23" s="232" t="b">
        <v>1</v>
      </c>
      <c r="BW23" s="53"/>
      <c r="BY23" t="s">
        <v>339</v>
      </c>
      <c r="BZ23" s="203">
        <f t="shared" ca="1" si="9"/>
        <v>-1.65E-3</v>
      </c>
      <c r="CA23" t="b">
        <v>1</v>
      </c>
      <c r="CB23">
        <f t="shared" si="10"/>
        <v>0</v>
      </c>
      <c r="CC23" s="208">
        <f ca="1">EUR_DATA!AU16/10000</f>
        <v>-1.65E-3</v>
      </c>
      <c r="CE23" s="50"/>
      <c r="CF23" s="149" t="s">
        <v>689</v>
      </c>
      <c r="CG23" s="223" t="b">
        <v>1</v>
      </c>
      <c r="CH23" s="52"/>
      <c r="CI23" s="299"/>
      <c r="CJ23" s="538" t="s">
        <v>834</v>
      </c>
      <c r="CK23" s="297">
        <f ca="1">EUR_DATA!AZ27</f>
        <v>179.51</v>
      </c>
      <c r="CL23" s="297">
        <f ca="1">EUR_DATA!BA27</f>
        <v>183.48</v>
      </c>
      <c r="CO23" t="s">
        <v>1086</v>
      </c>
      <c r="CP23" t="s">
        <v>1129</v>
      </c>
      <c r="CS23" s="200">
        <f ca="1"/>
        <v>45453</v>
      </c>
      <c r="CT23" s="207">
        <f ca="1"/>
        <v>-4.9130896689009301E-3</v>
      </c>
      <c r="CU23" s="207">
        <f ca="1"/>
        <v>-4.1423590947505104E-3</v>
      </c>
      <c r="CV23" s="207">
        <f ca="1"/>
        <v>-6.1078571912176699E-4</v>
      </c>
      <c r="CW23" s="207" t="str">
        <f ca="1"/>
        <v/>
      </c>
      <c r="DB23" s="300"/>
      <c r="DC23" s="206"/>
      <c r="DD23" s="206"/>
      <c r="DE23" s="206"/>
      <c r="DF23" s="206"/>
    </row>
    <row r="24" spans="6:110" x14ac:dyDescent="0.25">
      <c r="F24" s="50"/>
      <c r="G24" s="222" t="s">
        <v>679</v>
      </c>
      <c r="H24" s="223" t="str">
        <f>IF(INDEX('STATIC DATA'!C58:AB58,1,MATCH(A1,'STATIC DATA'!C4:AB4,0))="1Y","ANNUAL",(IF(INDEX('STATIC DATA'!C58:AB58,1,MATCH($A$1,'STATIC DATA'!C4:AB4,0))="6M","SEMI-ANNUAL", "QUARTERLY")))</f>
        <v>ANNUAL</v>
      </c>
      <c r="I24" s="53"/>
      <c r="K24" t="s">
        <v>349</v>
      </c>
      <c r="L24" s="204">
        <f t="shared" ca="1" si="11"/>
        <v>-3.16E-3</v>
      </c>
      <c r="M24" t="b">
        <v>1</v>
      </c>
      <c r="N24">
        <f t="shared" si="12"/>
        <v>0</v>
      </c>
      <c r="O24" s="208">
        <f ca="1">EUR_DATA!M25</f>
        <v>-3.16E-3</v>
      </c>
      <c r="Q24" s="50"/>
      <c r="R24" s="222" t="s">
        <v>723</v>
      </c>
      <c r="S24" s="223" t="s">
        <v>718</v>
      </c>
      <c r="T24" s="53"/>
      <c r="V24" t="s">
        <v>339</v>
      </c>
      <c r="W24" s="204">
        <f t="shared" ca="1" si="14"/>
        <v>-4.457E-3</v>
      </c>
      <c r="X24" t="b">
        <v>1</v>
      </c>
      <c r="Y24" s="5">
        <f t="shared" si="15"/>
        <v>0</v>
      </c>
      <c r="Z24" s="203">
        <f ca="1">EUR_DATA!U23</f>
        <v>-4.457E-3</v>
      </c>
      <c r="AA24" s="203"/>
      <c r="AB24" s="50"/>
      <c r="AC24" s="222" t="s">
        <v>723</v>
      </c>
      <c r="AD24" s="223" t="s">
        <v>718</v>
      </c>
      <c r="AE24" s="53"/>
      <c r="AG24" t="s">
        <v>331</v>
      </c>
      <c r="AH24" s="204">
        <f t="shared" ca="1" si="7"/>
        <v>-4.2399999999999998E-3</v>
      </c>
      <c r="AI24" t="b">
        <v>1</v>
      </c>
      <c r="AJ24" s="5">
        <f t="shared" si="0"/>
        <v>0</v>
      </c>
      <c r="AK24" s="203">
        <f ca="1">EUR_DATA!Z25</f>
        <v>-4.2399999999999998E-3</v>
      </c>
      <c r="AL24" s="203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 t="s">
        <v>713</v>
      </c>
      <c r="BK24" s="85" t="s">
        <v>713</v>
      </c>
      <c r="BL24" s="53"/>
      <c r="BN24" t="s">
        <v>448</v>
      </c>
      <c r="BO24" s="207" t="e">
        <f t="shared" ca="1" si="3"/>
        <v>#VALUE!</v>
      </c>
      <c r="BP24" t="b">
        <v>0</v>
      </c>
      <c r="BQ24">
        <f t="shared" si="4"/>
        <v>0</v>
      </c>
      <c r="BR24" t="e">
        <f ca="1">EUR_DATA!AE27</f>
        <v>#VALUE!</v>
      </c>
      <c r="BT24" s="50"/>
      <c r="BU24" s="85"/>
      <c r="BV24" s="85"/>
      <c r="BW24" s="53"/>
      <c r="BY24" t="s">
        <v>342</v>
      </c>
      <c r="BZ24" s="203">
        <f t="shared" ca="1" si="9"/>
        <v>-1.75E-3</v>
      </c>
      <c r="CA24" t="b">
        <v>1</v>
      </c>
      <c r="CB24">
        <f t="shared" si="10"/>
        <v>0</v>
      </c>
      <c r="CC24" s="208">
        <f ca="1">EUR_DATA!AU17/10000</f>
        <v>-1.75E-3</v>
      </c>
      <c r="CE24" s="50"/>
      <c r="CF24" s="149" t="s">
        <v>688</v>
      </c>
      <c r="CG24" s="223">
        <v>31</v>
      </c>
      <c r="CH24" s="52"/>
      <c r="CI24" s="299"/>
      <c r="CJ24" s="538" t="s">
        <v>308</v>
      </c>
      <c r="CK24" s="297">
        <f ca="1">EUR_DATA!AZ28</f>
        <v>205.23</v>
      </c>
      <c r="CL24" s="297">
        <f ca="1">EUR_DATA!BA28</f>
        <v>209.77</v>
      </c>
      <c r="CO24" t="s">
        <v>1087</v>
      </c>
      <c r="CP24" t="s">
        <v>1465</v>
      </c>
      <c r="CS24" s="200">
        <f ca="1"/>
        <v>45544</v>
      </c>
      <c r="CT24" s="207">
        <f ca="1"/>
        <v>-4.7842562600805003E-3</v>
      </c>
      <c r="CU24" s="207">
        <f ca="1"/>
        <v>-4.0085469779517404E-3</v>
      </c>
      <c r="CV24" s="207">
        <f ca="1"/>
        <v>-4.5030285564358802E-4</v>
      </c>
      <c r="CW24" s="207" t="str">
        <f ca="1"/>
        <v/>
      </c>
      <c r="DB24" s="300"/>
      <c r="DC24" s="206"/>
      <c r="DD24" s="206"/>
      <c r="DE24" s="206"/>
      <c r="DF24" s="206"/>
    </row>
    <row r="25" spans="6:110" x14ac:dyDescent="0.25">
      <c r="F25" s="50"/>
      <c r="G25" s="222" t="s">
        <v>681</v>
      </c>
      <c r="H25" s="223" t="s">
        <v>682</v>
      </c>
      <c r="I25" s="53"/>
      <c r="K25" t="s">
        <v>358</v>
      </c>
      <c r="L25" s="204">
        <f t="shared" ca="1" si="11"/>
        <v>-2.2400000000000002E-3</v>
      </c>
      <c r="M25" t="b">
        <v>1</v>
      </c>
      <c r="N25">
        <f t="shared" si="12"/>
        <v>0</v>
      </c>
      <c r="O25" s="208">
        <f ca="1">EUR_DATA!M53-EUR_DATA!M36</f>
        <v>-2.2400000000000002E-3</v>
      </c>
      <c r="Q25" s="50"/>
      <c r="R25" s="234" t="s">
        <v>724</v>
      </c>
      <c r="S25" s="232" t="s">
        <v>426</v>
      </c>
      <c r="T25" s="53"/>
      <c r="V25" t="s">
        <v>342</v>
      </c>
      <c r="W25" s="204">
        <f t="shared" ca="1" si="14"/>
        <v>-4.0339999999999994E-3</v>
      </c>
      <c r="X25" t="b">
        <v>1</v>
      </c>
      <c r="Y25" s="5">
        <f t="shared" si="15"/>
        <v>0</v>
      </c>
      <c r="Z25" s="203">
        <f ca="1">EUR_DATA!U24</f>
        <v>-4.0339999999999994E-3</v>
      </c>
      <c r="AA25" s="203"/>
      <c r="AB25" s="50"/>
      <c r="AC25" s="234" t="s">
        <v>724</v>
      </c>
      <c r="AD25" s="232" t="s">
        <v>426</v>
      </c>
      <c r="AE25" s="53"/>
      <c r="AG25" t="s">
        <v>339</v>
      </c>
      <c r="AH25" s="204">
        <f t="shared" ca="1" si="7"/>
        <v>-3.9000000000000003E-3</v>
      </c>
      <c r="AI25" t="b">
        <v>1</v>
      </c>
      <c r="AJ25" s="5">
        <f t="shared" si="0"/>
        <v>0</v>
      </c>
      <c r="AK25" s="203">
        <f ca="1">EUR_DATA!Z26</f>
        <v>-3.9000000000000003E-3</v>
      </c>
      <c r="AL25" s="203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54" t="s">
        <v>726</v>
      </c>
      <c r="BK25" s="52" t="s">
        <v>713</v>
      </c>
      <c r="BL25" s="53"/>
      <c r="BT25" s="50"/>
      <c r="BU25" s="85"/>
      <c r="BV25" s="85"/>
      <c r="BW25" s="53"/>
      <c r="BY25" t="s">
        <v>355</v>
      </c>
      <c r="BZ25" s="203">
        <f t="shared" ca="1" si="9"/>
        <v>-1.8125000000000001E-3</v>
      </c>
      <c r="CA25" t="b">
        <v>1</v>
      </c>
      <c r="CB25">
        <f t="shared" si="10"/>
        <v>0</v>
      </c>
      <c r="CC25" s="208">
        <f ca="1">EUR_DATA!AU18/10000</f>
        <v>-1.8125000000000001E-3</v>
      </c>
      <c r="CE25" s="50"/>
      <c r="CF25" s="151" t="s">
        <v>819</v>
      </c>
      <c r="CG25" s="226" t="b">
        <v>0</v>
      </c>
      <c r="CH25" s="52"/>
      <c r="CI25" s="299"/>
      <c r="CJ25" s="538" t="s">
        <v>316</v>
      </c>
      <c r="CK25" s="297">
        <f ca="1">EUR_DATA!AZ29</f>
        <v>314.01</v>
      </c>
      <c r="CL25" s="297">
        <f ca="1">EUR_DATA!BA29</f>
        <v>323.99</v>
      </c>
      <c r="CO25" t="s">
        <v>1088</v>
      </c>
      <c r="CP25" s="445" t="s">
        <v>1465</v>
      </c>
      <c r="CR25" s="445"/>
      <c r="CS25" s="200">
        <f ca="1"/>
        <v>45635</v>
      </c>
      <c r="CT25" s="207">
        <f ca="1"/>
        <v>-4.6460395185469704E-3</v>
      </c>
      <c r="CU25" s="207">
        <f ca="1"/>
        <v>-3.8577283639115501E-3</v>
      </c>
      <c r="CV25" s="207">
        <f ca="1"/>
        <v>-2.9889135766398602E-4</v>
      </c>
      <c r="CW25" s="207" t="str">
        <f ca="1"/>
        <v/>
      </c>
      <c r="DB25" s="300"/>
      <c r="DC25" s="206"/>
      <c r="DD25" s="206"/>
      <c r="DE25" s="206"/>
      <c r="DF25" s="206"/>
    </row>
    <row r="26" spans="6:110" x14ac:dyDescent="0.25">
      <c r="F26" s="50"/>
      <c r="G26" s="222" t="s">
        <v>683</v>
      </c>
      <c r="H26" s="223" t="s">
        <v>97</v>
      </c>
      <c r="I26" s="53"/>
      <c r="K26" t="s">
        <v>367</v>
      </c>
      <c r="L26" s="204">
        <f t="shared" ca="1" si="11"/>
        <v>-1.09E-3</v>
      </c>
      <c r="M26" t="b">
        <v>1</v>
      </c>
      <c r="N26">
        <f t="shared" si="12"/>
        <v>0</v>
      </c>
      <c r="O26" s="208">
        <f ca="1">EUR_DATA!M54-EUR_DATA!M37</f>
        <v>-1.09E-3</v>
      </c>
      <c r="Q26" s="50"/>
      <c r="R26" s="52" t="s">
        <v>713</v>
      </c>
      <c r="S26" s="52" t="s">
        <v>713</v>
      </c>
      <c r="T26" s="53"/>
      <c r="V26" t="s">
        <v>355</v>
      </c>
      <c r="W26" s="204">
        <f t="shared" ca="1" si="14"/>
        <v>-3.578E-3</v>
      </c>
      <c r="X26" t="b">
        <v>1</v>
      </c>
      <c r="Y26" s="5">
        <f t="shared" si="15"/>
        <v>0</v>
      </c>
      <c r="Z26" s="203">
        <f ca="1">EUR_DATA!U25</f>
        <v>-3.578E-3</v>
      </c>
      <c r="AA26" s="203"/>
      <c r="AB26" s="50"/>
      <c r="AC26" s="52" t="s">
        <v>713</v>
      </c>
      <c r="AD26" s="52" t="s">
        <v>713</v>
      </c>
      <c r="AE26" s="53"/>
      <c r="AG26" t="s">
        <v>342</v>
      </c>
      <c r="AH26" s="204">
        <f t="shared" ca="1" si="7"/>
        <v>-3.4999999999999996E-3</v>
      </c>
      <c r="AI26" t="b">
        <v>1</v>
      </c>
      <c r="AJ26" s="5">
        <f t="shared" si="0"/>
        <v>0</v>
      </c>
      <c r="AK26" s="203">
        <f ca="1">EUR_DATA!Z27</f>
        <v>-3.4999999999999996E-3</v>
      </c>
      <c r="AL26" s="203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20" t="s">
        <v>677</v>
      </c>
      <c r="BK26" s="221" t="str">
        <f>INDEX('STATIC DATA'!C43:AB43,1,MATCH($A$1,'STATIC DATA'!$C$4:$AB$4,0))</f>
        <v>TGT</v>
      </c>
      <c r="BL26" s="53"/>
      <c r="BT26" s="50"/>
      <c r="BU26" s="54" t="s">
        <v>807</v>
      </c>
      <c r="BV26" s="85"/>
      <c r="BW26" s="53"/>
      <c r="BY26" t="s">
        <v>364</v>
      </c>
      <c r="BZ26" s="203">
        <f t="shared" ca="1" si="9"/>
        <v>-1.8500000000000001E-3</v>
      </c>
      <c r="CA26" t="b">
        <v>1</v>
      </c>
      <c r="CB26">
        <f t="shared" si="10"/>
        <v>0</v>
      </c>
      <c r="CC26" s="208">
        <f ca="1">EUR_DATA!AU19/10000</f>
        <v>-1.8500000000000001E-3</v>
      </c>
      <c r="CE26" s="50"/>
      <c r="CF26" s="52"/>
      <c r="CG26" s="52"/>
      <c r="CH26" s="52"/>
      <c r="CI26" s="299"/>
      <c r="CJ26" s="539" t="s">
        <v>324</v>
      </c>
      <c r="CK26" s="297">
        <f ca="1">EUR_DATA!AZ30</f>
        <v>436.83</v>
      </c>
      <c r="CL26" s="297">
        <f ca="1">EUR_DATA!BA30</f>
        <v>447.17</v>
      </c>
      <c r="CO26" t="s">
        <v>781</v>
      </c>
      <c r="CP26" s="290" t="s">
        <v>810</v>
      </c>
      <c r="CR26" s="206"/>
      <c r="CS26" s="200">
        <f ca="1"/>
        <v>45726</v>
      </c>
      <c r="CT26" s="207">
        <f ca="1"/>
        <v>-4.4665756648106297E-3</v>
      </c>
      <c r="CU26" s="207">
        <f ca="1"/>
        <v>-3.6675764636979898E-3</v>
      </c>
      <c r="CV26" s="207">
        <f ca="1"/>
        <v>-1.1684155758919501E-4</v>
      </c>
      <c r="CW26" s="207" t="str">
        <f ca="1"/>
        <v/>
      </c>
      <c r="DB26" s="300"/>
      <c r="DC26" s="206"/>
      <c r="DD26" s="206"/>
      <c r="DE26" s="206"/>
      <c r="DF26" s="206"/>
    </row>
    <row r="27" spans="6:110" x14ac:dyDescent="0.25">
      <c r="F27" s="50"/>
      <c r="G27" s="222" t="s">
        <v>684</v>
      </c>
      <c r="H27" s="223" t="s">
        <v>685</v>
      </c>
      <c r="I27" s="53"/>
      <c r="K27" t="s">
        <v>374</v>
      </c>
      <c r="L27" s="204">
        <f t="shared" ca="1" si="11"/>
        <v>-1.7999999999999993E-4</v>
      </c>
      <c r="M27" t="b">
        <v>1</v>
      </c>
      <c r="N27">
        <f t="shared" si="12"/>
        <v>0</v>
      </c>
      <c r="O27" s="208">
        <f ca="1">EUR_DATA!M55-EUR_DATA!M38</f>
        <v>-1.7999999999999993E-4</v>
      </c>
      <c r="Q27" s="50"/>
      <c r="R27" s="54" t="s">
        <v>726</v>
      </c>
      <c r="S27" s="52" t="s">
        <v>713</v>
      </c>
      <c r="T27" s="53"/>
      <c r="V27" t="s">
        <v>364</v>
      </c>
      <c r="W27" s="204">
        <f t="shared" ca="1" si="14"/>
        <v>-3.0959999999999998E-3</v>
      </c>
      <c r="X27" t="b">
        <v>1</v>
      </c>
      <c r="Y27" s="5">
        <f t="shared" si="15"/>
        <v>0</v>
      </c>
      <c r="Z27" s="203">
        <f ca="1">EUR_DATA!U26</f>
        <v>-3.0959999999999998E-3</v>
      </c>
      <c r="AA27" s="203"/>
      <c r="AB27" s="50"/>
      <c r="AC27" s="54" t="s">
        <v>726</v>
      </c>
      <c r="AD27" s="52" t="s">
        <v>713</v>
      </c>
      <c r="AE27" s="53"/>
      <c r="AG27" t="s">
        <v>355</v>
      </c>
      <c r="AH27" s="204">
        <f t="shared" ca="1" si="7"/>
        <v>-3.0699999999999998E-3</v>
      </c>
      <c r="AI27" t="b">
        <v>1</v>
      </c>
      <c r="AJ27" s="5">
        <f t="shared" si="0"/>
        <v>0</v>
      </c>
      <c r="AK27" s="203">
        <f ca="1">EUR_DATA!Z28</f>
        <v>-3.0699999999999998E-3</v>
      </c>
      <c r="AL27" s="203"/>
      <c r="AM27" s="50"/>
      <c r="AN27" s="245" t="s">
        <v>749</v>
      </c>
      <c r="AO27" s="243" t="s">
        <v>745</v>
      </c>
      <c r="AP27" s="53"/>
      <c r="AX27" s="50"/>
      <c r="AY27" s="245" t="s">
        <v>749</v>
      </c>
      <c r="AZ27" s="243" t="s">
        <v>798</v>
      </c>
      <c r="BA27" s="53"/>
      <c r="BI27" s="50"/>
      <c r="BJ27" s="222" t="s">
        <v>678</v>
      </c>
      <c r="BK27" s="223" t="str">
        <f>INDEX('STATIC DATA'!C55:AB55,1,MATCH("USD",'STATIC DATA'!C4:AB4,0))</f>
        <v>ACT/360</v>
      </c>
      <c r="BL27" s="53"/>
      <c r="BT27" s="50"/>
      <c r="BU27" s="245" t="s">
        <v>749</v>
      </c>
      <c r="BV27" s="243" t="s">
        <v>803</v>
      </c>
      <c r="BW27" s="53"/>
      <c r="BY27" t="s">
        <v>349</v>
      </c>
      <c r="BZ27" s="203">
        <f t="shared" ca="1" si="9"/>
        <v>-1.8749999999999999E-3</v>
      </c>
      <c r="CA27" t="b">
        <v>1</v>
      </c>
      <c r="CB27">
        <f t="shared" si="10"/>
        <v>0</v>
      </c>
      <c r="CC27" s="208">
        <f ca="1">EUR_DATA!AU20/10000</f>
        <v>-1.8749999999999999E-3</v>
      </c>
      <c r="CE27" s="50"/>
      <c r="CF27" s="52"/>
      <c r="CG27" s="52"/>
      <c r="CH27" s="52"/>
      <c r="CI27" s="299"/>
      <c r="CJ27" s="539" t="s">
        <v>331</v>
      </c>
      <c r="CK27" s="297">
        <f ca="1">EUR_DATA!AZ31</f>
        <v>574</v>
      </c>
      <c r="CL27" s="297">
        <f ca="1">EUR_DATA!BA31</f>
        <v>589</v>
      </c>
      <c r="CS27" s="200">
        <f ca="1"/>
        <v>45817</v>
      </c>
      <c r="CT27" s="207">
        <f ca="1"/>
        <v>-4.2460309517171604E-3</v>
      </c>
      <c r="CU27" s="207">
        <f ca="1"/>
        <v>-3.4432353149473701E-3</v>
      </c>
      <c r="CV27" s="207">
        <f ca="1"/>
        <v>9.5850949897154395E-5</v>
      </c>
      <c r="CW27" s="207" t="str">
        <f ca="1"/>
        <v/>
      </c>
      <c r="DB27" s="300"/>
      <c r="DC27" s="206"/>
      <c r="DD27" s="206"/>
      <c r="DE27" s="206"/>
      <c r="DF27" s="206"/>
    </row>
    <row r="28" spans="6:110" x14ac:dyDescent="0.25">
      <c r="F28" s="50"/>
      <c r="G28" s="222" t="s">
        <v>686</v>
      </c>
      <c r="H28" s="223" t="s">
        <v>687</v>
      </c>
      <c r="I28" s="53"/>
      <c r="K28" t="s">
        <v>382</v>
      </c>
      <c r="L28" s="204">
        <f t="shared" ca="1" si="11"/>
        <v>-9.9999999999999937E-5</v>
      </c>
      <c r="M28" t="b">
        <v>1</v>
      </c>
      <c r="N28">
        <f t="shared" si="12"/>
        <v>0</v>
      </c>
      <c r="O28" s="208">
        <f ca="1">EUR_DATA!M56-EUR_DATA!M39</f>
        <v>-9.9999999999999937E-5</v>
      </c>
      <c r="Q28" s="50"/>
      <c r="R28" s="220" t="s">
        <v>677</v>
      </c>
      <c r="S28" s="221" t="str">
        <f>INDEX('STATIC DATA'!C43:AB43,1,MATCH($A$1,'STATIC DATA'!$C$4:$AB$4,0))</f>
        <v>TGT</v>
      </c>
      <c r="T28" s="53"/>
      <c r="V28" t="s">
        <v>349</v>
      </c>
      <c r="W28" s="204">
        <f t="shared" ca="1" si="14"/>
        <v>-2.5990000000000002E-3</v>
      </c>
      <c r="X28" t="b">
        <v>1</v>
      </c>
      <c r="Y28" s="5">
        <f t="shared" si="15"/>
        <v>0</v>
      </c>
      <c r="Z28" s="203">
        <f ca="1">EUR_DATA!U27</f>
        <v>-2.5990000000000002E-3</v>
      </c>
      <c r="AA28" s="203"/>
      <c r="AB28" s="50"/>
      <c r="AC28" s="220" t="s">
        <v>677</v>
      </c>
      <c r="AD28" s="221" t="str">
        <f>INDEX('STATIC DATA'!C43:AB43,1,MATCH($A$1,'STATIC DATA'!$C$4:$AB$4,0))</f>
        <v>TGT</v>
      </c>
      <c r="AE28" s="53"/>
      <c r="AG28" t="s">
        <v>364</v>
      </c>
      <c r="AH28" s="204">
        <f t="shared" ca="1" si="7"/>
        <v>-2.6199999999999999E-3</v>
      </c>
      <c r="AI28" t="b">
        <v>1</v>
      </c>
      <c r="AJ28" s="5">
        <f t="shared" si="0"/>
        <v>0</v>
      </c>
      <c r="AK28" s="203">
        <f ca="1">EUR_DATA!Z29</f>
        <v>-2.6199999999999999E-3</v>
      </c>
      <c r="AL28" s="203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25" t="s">
        <v>686</v>
      </c>
      <c r="BK28" s="226" t="s">
        <v>728</v>
      </c>
      <c r="BL28" s="53"/>
      <c r="BT28" s="50"/>
      <c r="BU28" s="233" t="s">
        <v>750</v>
      </c>
      <c r="BV28" s="230" t="b">
        <v>1</v>
      </c>
      <c r="BW28" s="53"/>
      <c r="BY28" t="s">
        <v>358</v>
      </c>
      <c r="BZ28" s="203">
        <f t="shared" ca="1" si="9"/>
        <v>-1.9124999999999999E-3</v>
      </c>
      <c r="CA28" t="b">
        <v>1</v>
      </c>
      <c r="CB28">
        <f t="shared" si="10"/>
        <v>0</v>
      </c>
      <c r="CC28" s="208">
        <f ca="1">EUR_DATA!AU21/10000</f>
        <v>-1.9124999999999999E-3</v>
      </c>
      <c r="CE28" s="50"/>
      <c r="CF28" s="52"/>
      <c r="CG28" s="52"/>
      <c r="CH28" s="52"/>
      <c r="CI28" s="299"/>
      <c r="CJ28" s="539" t="s">
        <v>339</v>
      </c>
      <c r="CK28" s="297">
        <f ca="1">EUR_DATA!AZ32</f>
        <v>728.45</v>
      </c>
      <c r="CL28" s="297">
        <f ca="1">EUR_DATA!BA32</f>
        <v>747.2</v>
      </c>
      <c r="CS28" s="200">
        <f ca="1"/>
        <v>45909</v>
      </c>
      <c r="CT28" s="207">
        <f ca="1"/>
        <v>-3.9814507521678697E-3</v>
      </c>
      <c r="CU28" s="207">
        <f ca="1"/>
        <v>-3.1842903071937598E-3</v>
      </c>
      <c r="CV28" s="207">
        <f ca="1"/>
        <v>3.4202480343909099E-4</v>
      </c>
      <c r="CW28" s="207" t="str">
        <f ca="1"/>
        <v/>
      </c>
      <c r="DB28" s="300"/>
      <c r="DC28" s="206"/>
      <c r="DD28" s="206"/>
      <c r="DE28" s="206"/>
      <c r="DF28" s="206"/>
    </row>
    <row r="29" spans="6:110" x14ac:dyDescent="0.25">
      <c r="F29" s="50"/>
      <c r="G29" s="222" t="s">
        <v>688</v>
      </c>
      <c r="H29" s="216">
        <v>31</v>
      </c>
      <c r="I29" s="53"/>
      <c r="K29" t="s">
        <v>389</v>
      </c>
      <c r="L29" s="204">
        <f t="shared" ca="1" si="11"/>
        <v>-3.1E-4</v>
      </c>
      <c r="M29" t="b">
        <v>1</v>
      </c>
      <c r="N29">
        <f t="shared" si="12"/>
        <v>0</v>
      </c>
      <c r="O29" s="208">
        <f ca="1">EUR_DATA!M57-EUR_DATA!M40</f>
        <v>-3.1E-4</v>
      </c>
      <c r="Q29" s="50"/>
      <c r="R29" s="222" t="s">
        <v>678</v>
      </c>
      <c r="S29" s="223" t="str">
        <f>INDEX('STATIC DATA'!C55:AB55,1,MATCH($A$1,'STATIC DATA'!C4:AB4,0))</f>
        <v>ACT/360</v>
      </c>
      <c r="T29" s="53"/>
      <c r="V29" t="s">
        <v>358</v>
      </c>
      <c r="W29" s="204">
        <f t="shared" ca="1" si="14"/>
        <v>-1.6200000000000001E-3</v>
      </c>
      <c r="X29" t="b">
        <v>1</v>
      </c>
      <c r="Y29" s="5">
        <f t="shared" si="15"/>
        <v>0</v>
      </c>
      <c r="Z29" s="203">
        <f ca="1">EUR_DATA!U28</f>
        <v>-1.6200000000000001E-3</v>
      </c>
      <c r="AA29" s="203"/>
      <c r="AB29" s="50"/>
      <c r="AC29" s="222" t="s">
        <v>678</v>
      </c>
      <c r="AD29" s="223" t="str">
        <f>INDEX('STATIC DATA'!C55:AB55,1,MATCH($A$1,'STATIC DATA'!C4:AB4,0))</f>
        <v>ACT/360</v>
      </c>
      <c r="AE29" s="53"/>
      <c r="AG29" t="s">
        <v>349</v>
      </c>
      <c r="AH29" s="204">
        <f t="shared" ca="1" si="7"/>
        <v>-2.15E-3</v>
      </c>
      <c r="AI29" t="b">
        <v>1</v>
      </c>
      <c r="AJ29" s="5">
        <f t="shared" si="0"/>
        <v>0</v>
      </c>
      <c r="AK29" s="203">
        <f ca="1">EUR_DATA!Z30</f>
        <v>-2.15E-3</v>
      </c>
      <c r="AL29" s="203"/>
      <c r="AM29" s="50"/>
      <c r="AN29" s="222" t="s">
        <v>751</v>
      </c>
      <c r="AO29" s="216" t="str">
        <f>INDEX('STATIC DATA'!C39:AB39,1,MATCH($A$1,'STATIC DATA'!$C$4:$AB$4,0))</f>
        <v>TGT</v>
      </c>
      <c r="AP29" s="53"/>
      <c r="AX29" s="50"/>
      <c r="AY29" s="222" t="s">
        <v>751</v>
      </c>
      <c r="AZ29" s="216" t="s">
        <v>608</v>
      </c>
      <c r="BA29" s="53"/>
      <c r="BI29" s="50"/>
      <c r="BJ29" s="52" t="s">
        <v>713</v>
      </c>
      <c r="BK29" s="52" t="s">
        <v>713</v>
      </c>
      <c r="BL29" s="53"/>
      <c r="BT29" s="50"/>
      <c r="BU29" s="222" t="s">
        <v>751</v>
      </c>
      <c r="BV29" s="216" t="str">
        <f>INDEX('STATIC DATA'!C30:AB30,1,MATCH($A$1,'STATIC DATA'!$C$4:$AF$4,0))</f>
        <v>TGT:NYB:LNB</v>
      </c>
      <c r="BW29" s="53"/>
      <c r="BY29" t="s">
        <v>367</v>
      </c>
      <c r="BZ29" s="203">
        <f t="shared" ca="1" si="9"/>
        <v>-1.8875000000000001E-3</v>
      </c>
      <c r="CA29" t="b">
        <v>1</v>
      </c>
      <c r="CB29">
        <f t="shared" si="10"/>
        <v>0</v>
      </c>
      <c r="CC29" s="208">
        <f ca="1">EUR_DATA!AU22/10000</f>
        <v>-1.8875000000000001E-3</v>
      </c>
      <c r="CE29" s="50"/>
      <c r="CF29" s="52"/>
      <c r="CG29" s="52"/>
      <c r="CH29" s="55"/>
      <c r="CI29" s="332"/>
      <c r="CJ29" s="539" t="s">
        <v>342</v>
      </c>
      <c r="CK29" s="297">
        <f ca="1">EUR_DATA!AZ33</f>
        <v>896</v>
      </c>
      <c r="CL29" s="297">
        <f ca="1">EUR_DATA!BA33</f>
        <v>916</v>
      </c>
      <c r="CS29" s="200">
        <f ca="1"/>
        <v>46000</v>
      </c>
      <c r="CT29" s="207">
        <f ca="1"/>
        <v>-3.6978627261070002E-3</v>
      </c>
      <c r="CU29" s="207">
        <f ca="1"/>
        <v>-2.9080628667755202E-3</v>
      </c>
      <c r="CV29" s="207">
        <f ca="1"/>
        <v>6.0829104609371105E-4</v>
      </c>
      <c r="CW29" s="207" t="str">
        <f ca="1"/>
        <v/>
      </c>
      <c r="DB29" s="300"/>
      <c r="DC29" s="206"/>
      <c r="DD29" s="206"/>
      <c r="DE29" s="206"/>
      <c r="DF29" s="206"/>
    </row>
    <row r="30" spans="6:110" x14ac:dyDescent="0.25">
      <c r="F30" s="50"/>
      <c r="G30" s="222" t="s">
        <v>689</v>
      </c>
      <c r="H30" s="224" t="b">
        <v>1</v>
      </c>
      <c r="I30" s="53"/>
      <c r="K30" t="s">
        <v>445</v>
      </c>
      <c r="L30" s="204">
        <f t="shared" ca="1" si="11"/>
        <v>-6.9999999999999999E-4</v>
      </c>
      <c r="M30" t="b">
        <v>1</v>
      </c>
      <c r="N30">
        <f t="shared" si="12"/>
        <v>0</v>
      </c>
      <c r="O30" s="208">
        <f ca="1">EUR_DATA!M58-EUR_DATA!M41</f>
        <v>-6.9999999999999999E-4</v>
      </c>
      <c r="Q30" s="50"/>
      <c r="R30" s="225" t="s">
        <v>686</v>
      </c>
      <c r="S30" s="226" t="s">
        <v>728</v>
      </c>
      <c r="T30" s="53"/>
      <c r="V30" t="s">
        <v>367</v>
      </c>
      <c r="W30" s="204">
        <f t="shared" ca="1" si="14"/>
        <v>-4.7399999999999997E-4</v>
      </c>
      <c r="X30" t="b">
        <v>1</v>
      </c>
      <c r="Y30" s="5">
        <f t="shared" si="15"/>
        <v>0</v>
      </c>
      <c r="Z30" s="203">
        <f ca="1">EUR_DATA!U29</f>
        <v>-4.7399999999999997E-4</v>
      </c>
      <c r="AA30" s="203"/>
      <c r="AB30" s="50"/>
      <c r="AC30" s="225" t="s">
        <v>686</v>
      </c>
      <c r="AD30" s="226" t="s">
        <v>728</v>
      </c>
      <c r="AE30" s="53"/>
      <c r="AG30" t="s">
        <v>358</v>
      </c>
      <c r="AH30" s="204">
        <f t="shared" ca="1" si="7"/>
        <v>-1.2600000000000001E-3</v>
      </c>
      <c r="AI30" t="b">
        <v>1</v>
      </c>
      <c r="AJ30" s="5">
        <f t="shared" si="0"/>
        <v>0</v>
      </c>
      <c r="AK30" s="203">
        <f ca="1">EUR_DATA!Z31</f>
        <v>-1.2600000000000001E-3</v>
      </c>
      <c r="AL30" s="203"/>
      <c r="AM30" s="50"/>
      <c r="AN30" s="222" t="s">
        <v>752</v>
      </c>
      <c r="AO30" s="216" t="str">
        <f>INDEX('STATIC DATA'!C55:AB55,1,MATCH($A$1,'STATIC DATA'!C4:AB4,0))</f>
        <v>ACT/360</v>
      </c>
      <c r="AP30" s="53"/>
      <c r="AX30" s="50"/>
      <c r="AY30" s="222" t="s">
        <v>752</v>
      </c>
      <c r="AZ30" s="216" t="s">
        <v>48</v>
      </c>
      <c r="BA30" s="53"/>
      <c r="BI30" s="50"/>
      <c r="BJ30" s="54" t="s">
        <v>460</v>
      </c>
      <c r="BK30" s="52" t="s">
        <v>713</v>
      </c>
      <c r="BL30" s="53"/>
      <c r="BT30" s="50"/>
      <c r="BU30" s="222" t="s">
        <v>752</v>
      </c>
      <c r="BV30" s="216" t="str">
        <f>INDEX('STATIC DATA'!C55:AB55,1,MATCH("USD",'STATIC DATA'!C4:AB4,0))</f>
        <v>ACT/360</v>
      </c>
      <c r="BW30" s="53"/>
      <c r="BY30" t="s">
        <v>374</v>
      </c>
      <c r="BZ30" s="203">
        <f t="shared" ca="1" si="9"/>
        <v>-1.6249999999999999E-3</v>
      </c>
      <c r="CA30" t="b">
        <v>1</v>
      </c>
      <c r="CB30">
        <f t="shared" si="10"/>
        <v>0</v>
      </c>
      <c r="CC30" s="208">
        <f ca="1">EUR_DATA!AU23/10000</f>
        <v>-1.6249999999999999E-3</v>
      </c>
      <c r="CE30" s="50"/>
      <c r="CF30" s="55"/>
      <c r="CG30" s="55"/>
      <c r="CH30" s="55"/>
      <c r="CI30" s="332"/>
      <c r="CJ30" s="540" t="s">
        <v>355</v>
      </c>
      <c r="CK30" s="297">
        <f ca="1">EUR_DATA!AZ34</f>
        <v>1053.93</v>
      </c>
      <c r="CL30" s="297">
        <f ca="1">EUR_DATA!BA34</f>
        <v>1094.07</v>
      </c>
      <c r="CM30" s="302"/>
      <c r="CN30" s="302"/>
      <c r="CS30" s="200">
        <f ca="1"/>
        <v>46090</v>
      </c>
      <c r="CT30" s="207">
        <f ca="1"/>
        <v>-3.4145234456289799E-3</v>
      </c>
      <c r="CU30" s="207">
        <f ca="1"/>
        <v>-2.6133804721361099E-3</v>
      </c>
      <c r="CV30" s="207">
        <f ca="1"/>
        <v>8.85429803636629E-4</v>
      </c>
      <c r="CW30" s="207" t="str">
        <f ca="1"/>
        <v/>
      </c>
      <c r="DB30" s="300"/>
      <c r="DC30" s="206"/>
      <c r="DD30" s="206"/>
      <c r="DE30" s="206"/>
      <c r="DF30" s="206"/>
    </row>
    <row r="31" spans="6:110" x14ac:dyDescent="0.25">
      <c r="F31" s="50"/>
      <c r="G31" s="222" t="s">
        <v>690</v>
      </c>
      <c r="H31" s="223" t="s">
        <v>691</v>
      </c>
      <c r="I31" s="53"/>
      <c r="K31" t="s">
        <v>448</v>
      </c>
      <c r="L31" s="204">
        <f t="shared" ca="1" si="11"/>
        <v>-1.0500000000000002E-3</v>
      </c>
      <c r="M31" t="b">
        <v>1</v>
      </c>
      <c r="N31">
        <f t="shared" si="12"/>
        <v>0</v>
      </c>
      <c r="O31" s="208">
        <f ca="1">EUR_DATA!M59-EUR_DATA!M42</f>
        <v>-1.0500000000000002E-3</v>
      </c>
      <c r="Q31" s="50"/>
      <c r="R31" s="52" t="s">
        <v>713</v>
      </c>
      <c r="S31" s="52" t="s">
        <v>713</v>
      </c>
      <c r="T31" s="53"/>
      <c r="V31" t="s">
        <v>374</v>
      </c>
      <c r="W31" s="204">
        <f t="shared" ca="1" si="14"/>
        <v>4.2500000000000003E-4</v>
      </c>
      <c r="X31" t="b">
        <v>1</v>
      </c>
      <c r="Y31" s="5">
        <f t="shared" si="15"/>
        <v>0</v>
      </c>
      <c r="Z31" s="203">
        <f ca="1">EUR_DATA!U30</f>
        <v>4.2500000000000003E-4</v>
      </c>
      <c r="AA31" s="203"/>
      <c r="AB31" s="50"/>
      <c r="AC31" s="52" t="s">
        <v>713</v>
      </c>
      <c r="AD31" s="52" t="s">
        <v>713</v>
      </c>
      <c r="AE31" s="53"/>
      <c r="AG31" t="s">
        <v>367</v>
      </c>
      <c r="AH31" s="204">
        <f t="shared" ca="1" si="7"/>
        <v>-2.0000000000000001E-4</v>
      </c>
      <c r="AI31" t="b">
        <v>1</v>
      </c>
      <c r="AJ31" s="5">
        <f t="shared" si="0"/>
        <v>0</v>
      </c>
      <c r="AK31" s="203">
        <f ca="1">EUR_DATA!Z32</f>
        <v>-2.0000000000000001E-4</v>
      </c>
      <c r="AL31" s="203"/>
      <c r="AM31" s="50"/>
      <c r="AN31" s="225" t="s">
        <v>753</v>
      </c>
      <c r="AO31" s="219" t="s">
        <v>459</v>
      </c>
      <c r="AP31" s="53"/>
      <c r="AX31" s="50"/>
      <c r="AY31" s="225" t="s">
        <v>753</v>
      </c>
      <c r="AZ31" s="219" t="s">
        <v>680</v>
      </c>
      <c r="BA31" s="53"/>
      <c r="BI31" s="50"/>
      <c r="BJ31" s="220" t="s">
        <v>677</v>
      </c>
      <c r="BK31" s="221" t="str">
        <f>INDEX('STATIC DATA'!C43:AB43,1,MATCH($A$1,'STATIC DATA'!$C$4:$AB$4,0))</f>
        <v>TGT</v>
      </c>
      <c r="BL31" s="53"/>
      <c r="BT31" s="50"/>
      <c r="BU31" s="225" t="s">
        <v>753</v>
      </c>
      <c r="BV31" s="219" t="s">
        <v>458</v>
      </c>
      <c r="BW31" s="249"/>
      <c r="CE31" s="50"/>
      <c r="CF31" s="55"/>
      <c r="CG31" s="55"/>
      <c r="CH31" s="55"/>
      <c r="CI31" s="332"/>
      <c r="CJ31" s="541" t="s">
        <v>364</v>
      </c>
      <c r="CK31" s="297">
        <f ca="1">EUR_DATA!AZ35</f>
        <v>1218.96</v>
      </c>
      <c r="CL31" s="297">
        <f ca="1">EUR_DATA!BA35</f>
        <v>1269.04</v>
      </c>
      <c r="CM31" s="299"/>
      <c r="CN31" s="299"/>
      <c r="CS31" s="200">
        <f ca="1"/>
        <v>46182</v>
      </c>
      <c r="CT31" s="207">
        <f ca="1"/>
        <v>-3.1218893566281199E-3</v>
      </c>
      <c r="CU31" s="207">
        <f ca="1"/>
        <v>-2.2982704046035402E-3</v>
      </c>
      <c r="CV31" s="207">
        <f ca="1"/>
        <v>1.1829186782110501E-3</v>
      </c>
      <c r="CW31" s="207" t="str">
        <f ca="1"/>
        <v/>
      </c>
      <c r="DB31" s="300"/>
      <c r="DC31" s="206"/>
      <c r="DD31" s="206"/>
      <c r="DE31" s="206"/>
      <c r="DF31" s="206"/>
    </row>
    <row r="32" spans="6:110" x14ac:dyDescent="0.25">
      <c r="F32" s="50"/>
      <c r="G32" s="222" t="s">
        <v>695</v>
      </c>
      <c r="H32" s="223" t="s">
        <v>696</v>
      </c>
      <c r="I32" s="53"/>
      <c r="Q32" s="50"/>
      <c r="R32" s="54" t="s">
        <v>460</v>
      </c>
      <c r="S32" s="52" t="s">
        <v>713</v>
      </c>
      <c r="T32" s="53"/>
      <c r="V32" t="s">
        <v>382</v>
      </c>
      <c r="W32" s="204">
        <f t="shared" ca="1" si="14"/>
        <v>5.0000000000000001E-4</v>
      </c>
      <c r="X32" t="b">
        <v>1</v>
      </c>
      <c r="Y32" s="5">
        <f t="shared" si="15"/>
        <v>0</v>
      </c>
      <c r="Z32" s="203">
        <f ca="1">EUR_DATA!U31</f>
        <v>5.0000000000000001E-4</v>
      </c>
      <c r="AA32" s="203"/>
      <c r="AB32" s="50"/>
      <c r="AC32" s="54" t="s">
        <v>460</v>
      </c>
      <c r="AD32" s="52" t="s">
        <v>713</v>
      </c>
      <c r="AE32" s="53"/>
      <c r="AG32" t="s">
        <v>374</v>
      </c>
      <c r="AH32" s="204">
        <f t="shared" ca="1" si="7"/>
        <v>6.0999999999999997E-4</v>
      </c>
      <c r="AI32" t="b">
        <v>1</v>
      </c>
      <c r="AJ32" s="5">
        <f t="shared" si="0"/>
        <v>0</v>
      </c>
      <c r="AK32" s="203">
        <f ca="1">EUR_DATA!Z33</f>
        <v>6.0999999999999997E-4</v>
      </c>
      <c r="AL32" s="203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678</v>
      </c>
      <c r="BK32" s="223" t="str">
        <f>INDEX('STATIC DATA'!C55:AB55,1,MATCH("USD",'STATIC DATA'!C4:AB4,0))</f>
        <v>ACT/360</v>
      </c>
      <c r="BL32" s="53"/>
      <c r="BT32" s="50"/>
      <c r="BU32" s="222" t="s">
        <v>754</v>
      </c>
      <c r="BV32" s="216" t="s">
        <v>687</v>
      </c>
      <c r="BW32" s="53"/>
      <c r="CE32" s="50"/>
      <c r="CF32" s="55"/>
      <c r="CG32" s="55"/>
      <c r="CH32" s="55"/>
      <c r="CI32" s="332"/>
      <c r="CJ32" s="542" t="s">
        <v>349</v>
      </c>
      <c r="CK32" s="297">
        <f ca="1">EUR_DATA!AZ36</f>
        <v>1385</v>
      </c>
      <c r="CL32" s="297">
        <f ca="1">EUR_DATA!BA36</f>
        <v>1435</v>
      </c>
      <c r="CM32" s="299"/>
      <c r="CN32" s="206"/>
      <c r="CS32" s="200">
        <f ca="1"/>
        <v>46274</v>
      </c>
      <c r="CT32" s="207">
        <f ca="1"/>
        <v>-2.8261703153735999E-3</v>
      </c>
      <c r="CU32" s="207">
        <f ca="1"/>
        <v>-1.9736692526066101E-3</v>
      </c>
      <c r="CV32" s="207">
        <f ca="1"/>
        <v>1.4947641625265001E-3</v>
      </c>
      <c r="CW32" s="207" t="str">
        <f ca="1"/>
        <v/>
      </c>
      <c r="DB32" s="300"/>
      <c r="DC32" s="206"/>
      <c r="DD32" s="206"/>
      <c r="DE32" s="206"/>
      <c r="DF32" s="206"/>
    </row>
    <row r="33" spans="1:110" x14ac:dyDescent="0.25">
      <c r="F33" s="50"/>
      <c r="G33" s="222" t="s">
        <v>697</v>
      </c>
      <c r="H33" s="223">
        <v>1E-10</v>
      </c>
      <c r="I33" s="53"/>
      <c r="Q33" s="50"/>
      <c r="R33" s="220" t="s">
        <v>677</v>
      </c>
      <c r="S33" s="221" t="str">
        <f>INDEX('STATIC DATA'!C39:AB39,1,MATCH($A$1,'STATIC DATA'!$C$4:$AB$4,0))</f>
        <v>TGT</v>
      </c>
      <c r="T33" s="53"/>
      <c r="V33" t="s">
        <v>389</v>
      </c>
      <c r="W33" s="204">
        <f t="shared" ca="1" si="14"/>
        <v>2.8499999999999999E-4</v>
      </c>
      <c r="X33" t="b">
        <v>1</v>
      </c>
      <c r="Y33" s="5">
        <f t="shared" si="15"/>
        <v>0</v>
      </c>
      <c r="Z33" s="203">
        <f ca="1">EUR_DATA!U32</f>
        <v>2.8499999999999999E-4</v>
      </c>
      <c r="AA33" s="203"/>
      <c r="AB33" s="50"/>
      <c r="AC33" s="220" t="s">
        <v>677</v>
      </c>
      <c r="AD33" s="221" t="str">
        <f>INDEX('STATIC DATA'!C39:AB39,1,MATCH($A$1,'STATIC DATA'!$C$4:$AB$4,0))</f>
        <v>TGT</v>
      </c>
      <c r="AE33" s="53"/>
      <c r="AG33" t="s">
        <v>382</v>
      </c>
      <c r="AH33" s="204">
        <f t="shared" ca="1" si="7"/>
        <v>6.3000000000000003E-4</v>
      </c>
      <c r="AI33" t="b">
        <v>1</v>
      </c>
      <c r="AJ33" s="5">
        <f t="shared" si="0"/>
        <v>0</v>
      </c>
      <c r="AK33" s="203">
        <f ca="1">EUR_DATA!Z34</f>
        <v>6.3000000000000003E-4</v>
      </c>
      <c r="AM33" s="50"/>
      <c r="AN33" s="222" t="s">
        <v>755</v>
      </c>
      <c r="AO33" s="216">
        <v>0</v>
      </c>
      <c r="AP33" s="53"/>
      <c r="AX33" s="50"/>
      <c r="AY33" s="222" t="s">
        <v>755</v>
      </c>
      <c r="AZ33" s="216">
        <v>0</v>
      </c>
      <c r="BA33" s="53"/>
      <c r="BI33" s="50"/>
      <c r="BJ33" s="222" t="s">
        <v>679</v>
      </c>
      <c r="BK33" s="223" t="s">
        <v>729</v>
      </c>
      <c r="BL33" s="53"/>
      <c r="BT33" s="50"/>
      <c r="BU33" s="222" t="s">
        <v>755</v>
      </c>
      <c r="BV33" s="216" t="s">
        <v>621</v>
      </c>
      <c r="BW33" s="53"/>
      <c r="BY33" s="2" t="s">
        <v>662</v>
      </c>
      <c r="CE33" s="50"/>
      <c r="CF33" s="55"/>
      <c r="CG33" s="55"/>
      <c r="CH33" s="55"/>
      <c r="CI33" s="332"/>
      <c r="CJ33" s="206"/>
      <c r="CK33" s="206"/>
      <c r="CL33" s="305"/>
      <c r="CM33" s="299"/>
      <c r="CN33" s="206"/>
      <c r="CR33" s="360"/>
      <c r="CS33" s="200">
        <f ca="1"/>
        <v>46365</v>
      </c>
      <c r="CT33" s="207">
        <f ca="1"/>
        <v>-2.53623368175098E-3</v>
      </c>
      <c r="CU33" s="207">
        <f ca="1"/>
        <v>-1.66623759163944E-3</v>
      </c>
      <c r="CV33" s="207">
        <f ca="1"/>
        <v>1.8125920528519401E-3</v>
      </c>
      <c r="CW33" s="207" t="str">
        <f ca="1"/>
        <v/>
      </c>
      <c r="DB33" s="300"/>
      <c r="DC33" s="206"/>
      <c r="DD33" s="206"/>
      <c r="DE33" s="206"/>
      <c r="DF33" s="206"/>
    </row>
    <row r="34" spans="1:110" x14ac:dyDescent="0.25">
      <c r="F34" s="50"/>
      <c r="G34" s="222" t="s">
        <v>698</v>
      </c>
      <c r="H34" s="223">
        <v>1000</v>
      </c>
      <c r="I34" s="53"/>
      <c r="Q34" s="50"/>
      <c r="R34" s="222" t="s">
        <v>678</v>
      </c>
      <c r="S34" s="223" t="str">
        <f>INDEX('STATIC DATA'!C55:AB55,1,MATCH($A$1,'STATIC DATA'!C4:AB4,0))</f>
        <v>ACT/360</v>
      </c>
      <c r="T34" s="53"/>
      <c r="V34" t="s">
        <v>445</v>
      </c>
      <c r="W34" s="204">
        <f t="shared" ca="1" si="14"/>
        <v>-1.47E-4</v>
      </c>
      <c r="X34" t="b">
        <v>1</v>
      </c>
      <c r="Y34" s="5">
        <f t="shared" si="15"/>
        <v>0</v>
      </c>
      <c r="Z34" s="203">
        <f ca="1">EUR_DATA!U33</f>
        <v>-1.47E-4</v>
      </c>
      <c r="AA34" s="203"/>
      <c r="AB34" s="50"/>
      <c r="AC34" s="222" t="s">
        <v>678</v>
      </c>
      <c r="AD34" s="223" t="str">
        <f>INDEX('STATIC DATA'!C55:AB55,1,MATCH($A$1,'STATIC DATA'!C4:AB4,0))</f>
        <v>ACT/360</v>
      </c>
      <c r="AE34" s="53"/>
      <c r="AG34" t="s">
        <v>389</v>
      </c>
      <c r="AH34" s="204">
        <f t="shared" ca="1" si="7"/>
        <v>3.6999999999999999E-4</v>
      </c>
      <c r="AI34" t="b">
        <v>1</v>
      </c>
      <c r="AJ34" s="5">
        <f t="shared" si="0"/>
        <v>0</v>
      </c>
      <c r="AK34" s="203">
        <f ca="1">EUR_DATA!Z35</f>
        <v>3.6999999999999999E-4</v>
      </c>
      <c r="AM34" s="50"/>
      <c r="AN34" s="245" t="s">
        <v>756</v>
      </c>
      <c r="AO34" s="247" t="s">
        <v>790</v>
      </c>
      <c r="AP34" s="249" t="s">
        <v>801</v>
      </c>
      <c r="AX34" s="50"/>
      <c r="AY34" s="234" t="s">
        <v>756</v>
      </c>
      <c r="AZ34" s="247" t="s">
        <v>790</v>
      </c>
      <c r="BA34" s="249" t="s">
        <v>801</v>
      </c>
      <c r="BI34" s="50"/>
      <c r="BJ34" s="222" t="s">
        <v>683</v>
      </c>
      <c r="BK34" s="223" t="s">
        <v>5</v>
      </c>
      <c r="BL34" s="53"/>
      <c r="BT34" s="50"/>
      <c r="BU34" s="234" t="s">
        <v>757</v>
      </c>
      <c r="BV34" s="260" t="s">
        <v>1006</v>
      </c>
      <c r="BW34" s="53" t="s">
        <v>887</v>
      </c>
      <c r="BY34" t="s">
        <v>434</v>
      </c>
      <c r="BZ34" s="200" t="str">
        <f>$A$1</f>
        <v>EUR</v>
      </c>
      <c r="CE34" s="50"/>
      <c r="CF34" s="55"/>
      <c r="CG34" s="55" t="s">
        <v>424</v>
      </c>
      <c r="CH34" s="55"/>
      <c r="CI34" s="332"/>
      <c r="CJ34" s="206"/>
      <c r="CK34" s="206"/>
      <c r="CL34" s="305"/>
      <c r="CM34" s="299"/>
      <c r="CN34" s="206"/>
      <c r="CS34" s="200">
        <f ca="1"/>
        <v>46455</v>
      </c>
      <c r="CT34" s="207">
        <f ca="1"/>
        <v>-2.2573977357783601E-3</v>
      </c>
      <c r="CU34" s="207">
        <f ca="1"/>
        <v>-1.37747081840938E-3</v>
      </c>
      <c r="CV34" s="207">
        <f ca="1"/>
        <v>2.1310782711300201E-3</v>
      </c>
      <c r="CW34" s="207" t="str">
        <f ca="1"/>
        <v/>
      </c>
      <c r="DB34" s="300"/>
      <c r="DC34" s="206"/>
      <c r="DD34" s="206"/>
      <c r="DE34" s="206"/>
      <c r="DF34" s="206"/>
    </row>
    <row r="35" spans="1:110" x14ac:dyDescent="0.25">
      <c r="A35" s="200" t="s">
        <v>424</v>
      </c>
      <c r="F35" s="50"/>
      <c r="G35" s="222" t="s">
        <v>699</v>
      </c>
      <c r="H35" s="223" t="s">
        <v>700</v>
      </c>
      <c r="I35" s="53"/>
      <c r="Q35" s="50"/>
      <c r="R35" s="222" t="s">
        <v>679</v>
      </c>
      <c r="S35" s="223" t="s">
        <v>729</v>
      </c>
      <c r="T35" s="53"/>
      <c r="V35" t="s">
        <v>448</v>
      </c>
      <c r="W35" s="204">
        <f t="shared" ca="1" si="14"/>
        <v>-5.2599999999999999E-4</v>
      </c>
      <c r="X35" t="b">
        <v>1</v>
      </c>
      <c r="Y35" s="5">
        <f t="shared" si="15"/>
        <v>0</v>
      </c>
      <c r="Z35" s="203">
        <f ca="1">EUR_DATA!U34</f>
        <v>-5.2599999999999999E-4</v>
      </c>
      <c r="AA35" s="203"/>
      <c r="AB35" s="50"/>
      <c r="AC35" s="222" t="s">
        <v>679</v>
      </c>
      <c r="AD35" s="223" t="s">
        <v>729</v>
      </c>
      <c r="AE35" s="53"/>
      <c r="AG35" t="s">
        <v>445</v>
      </c>
      <c r="AH35" s="204">
        <f t="shared" ca="1" si="7"/>
        <v>-1.2999999999999999E-4</v>
      </c>
      <c r="AI35" t="b">
        <v>1</v>
      </c>
      <c r="AJ35" s="5">
        <f t="shared" si="0"/>
        <v>0</v>
      </c>
      <c r="AK35" s="203">
        <f ca="1">EUR_DATA!Z36</f>
        <v>-1.2999999999999999E-4</v>
      </c>
      <c r="AM35" s="50"/>
      <c r="AN35" s="233" t="s">
        <v>757</v>
      </c>
      <c r="AO35" s="229" t="s">
        <v>790</v>
      </c>
      <c r="AP35" s="53"/>
      <c r="AX35" s="50"/>
      <c r="AY35" s="234" t="s">
        <v>757</v>
      </c>
      <c r="AZ35" s="229" t="s">
        <v>790</v>
      </c>
      <c r="BA35" s="53"/>
      <c r="BI35" s="50"/>
      <c r="BJ35" s="225" t="s">
        <v>686</v>
      </c>
      <c r="BK35" s="226" t="s">
        <v>687</v>
      </c>
      <c r="BL35" s="53"/>
      <c r="BT35" s="50"/>
      <c r="BU35" s="234" t="s">
        <v>756</v>
      </c>
      <c r="BV35" s="260" t="s">
        <v>1079</v>
      </c>
      <c r="BW35" s="53" t="s">
        <v>887</v>
      </c>
      <c r="BY35" t="s">
        <v>435</v>
      </c>
      <c r="BZ35" t="s">
        <v>669</v>
      </c>
      <c r="CE35" s="50"/>
      <c r="CF35" s="55"/>
      <c r="CG35" s="55"/>
      <c r="CH35" s="55"/>
      <c r="CI35" s="332"/>
      <c r="CJ35" s="299"/>
      <c r="CK35" s="299"/>
      <c r="CL35" s="313"/>
      <c r="CM35" s="299"/>
      <c r="CN35" s="299"/>
      <c r="CS35" s="383">
        <f ca="1"/>
        <v>46547</v>
      </c>
      <c r="CT35" s="595">
        <f ca="1"/>
        <v>-1.98042067065498E-3</v>
      </c>
      <c r="CU35" s="595">
        <f ca="1"/>
        <v>-1.10315978732249E-3</v>
      </c>
      <c r="CV35" s="595">
        <f ca="1"/>
        <v>2.4609146558148302E-3</v>
      </c>
      <c r="CW35" s="595" t="str">
        <f ca="1"/>
        <v/>
      </c>
      <c r="CX35" s="299"/>
      <c r="CY35" s="299"/>
      <c r="CZ35" s="299"/>
      <c r="DA35" s="299"/>
      <c r="DB35" s="300"/>
      <c r="DC35" s="206"/>
      <c r="DD35" s="206"/>
      <c r="DE35" s="206"/>
      <c r="DF35" s="206"/>
    </row>
    <row r="36" spans="1:110" x14ac:dyDescent="0.25">
      <c r="F36" s="50"/>
      <c r="G36" s="222" t="s">
        <v>701</v>
      </c>
      <c r="H36" s="223" t="b">
        <v>0</v>
      </c>
      <c r="I36" s="53"/>
      <c r="Q36" s="50"/>
      <c r="R36" s="222" t="s">
        <v>683</v>
      </c>
      <c r="S36" s="223" t="str">
        <f>INDEX('STATIC DATA'!C7:AB7,1,MATCH($A$1,'STATIC DATA'!C4:AB4,0))</f>
        <v>2D</v>
      </c>
      <c r="T36" s="53"/>
      <c r="AB36" s="50"/>
      <c r="AC36" s="222" t="s">
        <v>683</v>
      </c>
      <c r="AD36" s="223" t="str">
        <f>INDEX('STATIC DATA'!C7:AB7,1,MATCH($A$1,'STATIC DATA'!C4:AB4,0))</f>
        <v>2D</v>
      </c>
      <c r="AE36" s="53"/>
      <c r="AG36" t="s">
        <v>448</v>
      </c>
      <c r="AH36" s="204">
        <f t="shared" ca="1" si="7"/>
        <v>-5.6999999999999998E-4</v>
      </c>
      <c r="AI36" t="b">
        <v>1</v>
      </c>
      <c r="AJ36" s="5">
        <f t="shared" si="0"/>
        <v>0</v>
      </c>
      <c r="AK36" s="203">
        <f ca="1">EUR_DATA!Z37</f>
        <v>-5.6999999999999998E-4</v>
      </c>
      <c r="AM36" s="50"/>
      <c r="AN36" s="245" t="s">
        <v>758</v>
      </c>
      <c r="AO36" s="244" t="s">
        <v>46</v>
      </c>
      <c r="AP36" s="53"/>
      <c r="AX36" s="50"/>
      <c r="AY36" s="245" t="s">
        <v>758</v>
      </c>
      <c r="AZ36" s="244" t="s">
        <v>322</v>
      </c>
      <c r="BA36" s="53"/>
      <c r="BI36" s="50"/>
      <c r="BJ36" s="85" t="s">
        <v>713</v>
      </c>
      <c r="BK36" s="85" t="s">
        <v>713</v>
      </c>
      <c r="BL36" s="53"/>
      <c r="BT36" s="50"/>
      <c r="BU36" s="245" t="s">
        <v>758</v>
      </c>
      <c r="BV36" s="260" t="s">
        <v>49</v>
      </c>
      <c r="BW36" s="53"/>
      <c r="BY36" t="s">
        <v>438</v>
      </c>
      <c r="BZ36" t="s">
        <v>458</v>
      </c>
      <c r="CE36" s="50"/>
      <c r="CF36" s="55"/>
      <c r="CG36" s="55"/>
      <c r="CH36" s="55"/>
      <c r="CI36" s="332"/>
      <c r="CJ36" s="303" t="s">
        <v>832</v>
      </c>
      <c r="CK36" s="299"/>
      <c r="CL36" s="313"/>
      <c r="CM36" s="299"/>
      <c r="CN36" s="299"/>
      <c r="CS36" s="383">
        <f ca="1"/>
        <v>46639</v>
      </c>
      <c r="CT36" s="595">
        <f ca="1"/>
        <v>-1.7115120978858499E-3</v>
      </c>
      <c r="CU36" s="595">
        <f ca="1"/>
        <v>-8.5143947446138203E-4</v>
      </c>
      <c r="CV36" s="595">
        <f ca="1"/>
        <v>2.7950792446946901E-3</v>
      </c>
      <c r="CW36" s="595" t="str">
        <f ca="1"/>
        <v/>
      </c>
      <c r="CX36" s="299"/>
      <c r="CY36" s="299"/>
      <c r="CZ36" s="299"/>
      <c r="DA36" s="299"/>
      <c r="DB36" s="300"/>
      <c r="DC36" s="206"/>
      <c r="DD36" s="206"/>
      <c r="DE36" s="206"/>
      <c r="DF36" s="206"/>
    </row>
    <row r="37" spans="1:110" x14ac:dyDescent="0.25">
      <c r="F37" s="50"/>
      <c r="G37" s="222"/>
      <c r="H37" s="223"/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5" t="s">
        <v>686</v>
      </c>
      <c r="AD37" s="226" t="s">
        <v>687</v>
      </c>
      <c r="AE37" s="53"/>
      <c r="AG37" s="2" t="s">
        <v>662</v>
      </c>
      <c r="AM37" s="50"/>
      <c r="AN37" s="222" t="s">
        <v>759</v>
      </c>
      <c r="AO37" s="216" t="str">
        <f>INDEX('STATIC DATA'!C55:AB55,1,MATCH($A$1,'STATIC DATA'!C4:AB4,0))</f>
        <v>ACT/360</v>
      </c>
      <c r="AP37" s="53"/>
      <c r="AR37" s="2" t="s">
        <v>662</v>
      </c>
      <c r="AX37" s="50"/>
      <c r="AY37" s="222" t="s">
        <v>759</v>
      </c>
      <c r="AZ37" s="216" t="s">
        <v>48</v>
      </c>
      <c r="BA37" s="53"/>
      <c r="BI37" s="50"/>
      <c r="BJ37" s="54" t="s">
        <v>467</v>
      </c>
      <c r="BK37" s="85" t="s">
        <v>713</v>
      </c>
      <c r="BL37" s="53"/>
      <c r="BN37" s="2" t="s">
        <v>662</v>
      </c>
      <c r="BT37" s="50"/>
      <c r="BU37" s="222" t="s">
        <v>759</v>
      </c>
      <c r="BV37" s="216" t="str">
        <f>INDEX('STATIC DATA'!C55:AB55,1,MATCH("USD",'STATIC DATA'!C4:AB4,0))</f>
        <v>ACT/360</v>
      </c>
      <c r="BW37" s="53"/>
      <c r="BY37" t="s">
        <v>440</v>
      </c>
      <c r="BZ37" s="200">
        <f ca="1">'STATIC DATA'!D5</f>
        <v>44083</v>
      </c>
      <c r="CE37" s="50"/>
      <c r="CF37" s="55"/>
      <c r="CG37" s="55"/>
      <c r="CH37" s="55"/>
      <c r="CI37" s="332"/>
      <c r="CJ37" s="323" t="s">
        <v>425</v>
      </c>
      <c r="CK37" s="299"/>
      <c r="CL37" s="313"/>
      <c r="CM37" s="299"/>
      <c r="CN37" s="299"/>
      <c r="CO37" s="2" t="s">
        <v>662</v>
      </c>
      <c r="CQ37" s="2"/>
      <c r="CR37" s="469"/>
      <c r="CS37" s="383">
        <f ca="1"/>
        <v>46730</v>
      </c>
      <c r="CT37" s="595">
        <f ca="1"/>
        <v>-1.45447887785834E-3</v>
      </c>
      <c r="CU37" s="595">
        <f ca="1"/>
        <v>-5.9061546046168902E-4</v>
      </c>
      <c r="CV37" s="595">
        <f ca="1"/>
        <v>3.1297256615930402E-3</v>
      </c>
      <c r="CW37" s="595" t="str">
        <f ca="1"/>
        <v/>
      </c>
      <c r="CX37" s="299"/>
      <c r="CY37" s="299"/>
      <c r="CZ37" s="299"/>
      <c r="DA37" s="299"/>
      <c r="DB37" s="300"/>
      <c r="DC37" s="206"/>
      <c r="DD37" s="206"/>
      <c r="DE37" s="206"/>
      <c r="DF37" s="206"/>
    </row>
    <row r="38" spans="1:110" x14ac:dyDescent="0.25">
      <c r="F38" s="50"/>
      <c r="G38" s="222"/>
      <c r="H38" s="223"/>
      <c r="I38" s="53"/>
      <c r="K38" t="s">
        <v>434</v>
      </c>
      <c r="L38" s="200" t="str">
        <f>$A$1</f>
        <v>EUR</v>
      </c>
      <c r="Q38" s="50"/>
      <c r="R38" s="52" t="s">
        <v>713</v>
      </c>
      <c r="S38" s="52" t="s">
        <v>713</v>
      </c>
      <c r="T38" s="53"/>
      <c r="V38" t="s">
        <v>434</v>
      </c>
      <c r="W38" s="200" t="str">
        <f>$A$1</f>
        <v>EUR</v>
      </c>
      <c r="AB38" s="50"/>
      <c r="AC38" s="52" t="s">
        <v>713</v>
      </c>
      <c r="AD38" s="52" t="s">
        <v>713</v>
      </c>
      <c r="AE38" s="53"/>
      <c r="AG38" t="s">
        <v>434</v>
      </c>
      <c r="AH38" s="200" t="str">
        <f>$A$1</f>
        <v>EUR</v>
      </c>
      <c r="AM38" s="50"/>
      <c r="AN38" s="222" t="s">
        <v>760</v>
      </c>
      <c r="AO38" s="216" t="str">
        <f>INDEX('STATIC DATA'!C39:AB39,1,MATCH($A$1,'STATIC DATA'!$C$4:$AB$4,0))</f>
        <v>TGT</v>
      </c>
      <c r="AP38" s="53"/>
      <c r="AR38" t="s">
        <v>434</v>
      </c>
      <c r="AS38" s="200" t="str">
        <f>$A$1</f>
        <v>EUR</v>
      </c>
      <c r="AX38" s="50"/>
      <c r="AY38" s="222" t="s">
        <v>760</v>
      </c>
      <c r="AZ38" s="216" t="s">
        <v>608</v>
      </c>
      <c r="BA38" s="53"/>
      <c r="BI38" s="50"/>
      <c r="BJ38" s="245" t="s">
        <v>749</v>
      </c>
      <c r="BK38" s="243" t="s">
        <v>795</v>
      </c>
      <c r="BL38" s="53"/>
      <c r="BN38" t="s">
        <v>434</v>
      </c>
      <c r="BO38" s="200" t="str">
        <f>$A$1</f>
        <v>EUR</v>
      </c>
      <c r="BT38" s="50"/>
      <c r="BU38" s="222" t="s">
        <v>760</v>
      </c>
      <c r="BV38" s="216" t="str">
        <f>INDEX('STATIC DATA'!C30:AB30,1,MATCH($A$1,'STATIC DATA'!$C$4:$AB$4,0))</f>
        <v>TGT:NYB:LNB</v>
      </c>
      <c r="BW38" s="53"/>
      <c r="CE38" s="50"/>
      <c r="CF38" s="55"/>
      <c r="CG38" s="55"/>
      <c r="CH38" s="55"/>
      <c r="CI38" s="332"/>
      <c r="CJ38" s="147" t="s">
        <v>434</v>
      </c>
      <c r="CK38" s="238" t="str">
        <f>$A$1&amp;"/USD"</f>
        <v>EUR/USD</v>
      </c>
      <c r="CL38" s="305"/>
      <c r="CM38" s="299"/>
      <c r="CN38" s="299"/>
      <c r="CO38" t="s">
        <v>434</v>
      </c>
      <c r="CP38" t="s">
        <v>3</v>
      </c>
      <c r="CS38" s="383">
        <f ca="1"/>
        <v>46821</v>
      </c>
      <c r="CT38" s="595">
        <f ca="1"/>
        <v>-1.20735075301396E-3</v>
      </c>
      <c r="CU38" s="595">
        <f ca="1"/>
        <v>-3.13262560485802E-4</v>
      </c>
      <c r="CV38" s="595">
        <f ca="1"/>
        <v>3.4682991175033601E-3</v>
      </c>
      <c r="CW38" s="595" t="str">
        <f ca="1"/>
        <v/>
      </c>
      <c r="CX38" s="299"/>
      <c r="CY38" s="299"/>
      <c r="CZ38" s="299"/>
      <c r="DA38" s="299"/>
      <c r="DB38" s="300"/>
      <c r="DC38" s="206"/>
      <c r="DD38" s="206"/>
      <c r="DE38" s="206"/>
      <c r="DF38" s="206"/>
    </row>
    <row r="39" spans="1:110" x14ac:dyDescent="0.25">
      <c r="F39" s="50"/>
      <c r="G39" s="52"/>
      <c r="H39" s="52"/>
      <c r="I39" s="53"/>
      <c r="K39" t="s">
        <v>435</v>
      </c>
      <c r="L39" t="s">
        <v>426</v>
      </c>
      <c r="Q39" s="50"/>
      <c r="R39" s="54" t="s">
        <v>461</v>
      </c>
      <c r="S39" s="52" t="s">
        <v>713</v>
      </c>
      <c r="T39" s="53"/>
      <c r="V39" t="s">
        <v>435</v>
      </c>
      <c r="W39" t="s">
        <v>463</v>
      </c>
      <c r="AB39" s="50"/>
      <c r="AC39" s="54" t="s">
        <v>730</v>
      </c>
      <c r="AD39" s="52" t="s">
        <v>713</v>
      </c>
      <c r="AE39" s="53"/>
      <c r="AG39" t="s">
        <v>435</v>
      </c>
      <c r="AH39" t="s">
        <v>463</v>
      </c>
      <c r="AM39" s="50"/>
      <c r="AN39" s="225" t="s">
        <v>761</v>
      </c>
      <c r="AO39" s="219" t="s">
        <v>721</v>
      </c>
      <c r="AP39" s="53"/>
      <c r="AR39" t="s">
        <v>435</v>
      </c>
      <c r="AS39" t="s">
        <v>468</v>
      </c>
      <c r="AX39" s="50"/>
      <c r="AY39" s="225" t="s">
        <v>761</v>
      </c>
      <c r="AZ39" s="219" t="s">
        <v>721</v>
      </c>
      <c r="BA39" s="53"/>
      <c r="BI39" s="50"/>
      <c r="BJ39" s="233" t="s">
        <v>750</v>
      </c>
      <c r="BK39" s="230" t="b">
        <v>1</v>
      </c>
      <c r="BL39" s="53"/>
      <c r="BN39" t="s">
        <v>435</v>
      </c>
      <c r="BO39" t="s">
        <v>468</v>
      </c>
      <c r="BT39" s="50"/>
      <c r="BU39" s="225" t="s">
        <v>761</v>
      </c>
      <c r="BV39" s="219" t="s">
        <v>458</v>
      </c>
      <c r="BW39" s="53"/>
      <c r="BY39" s="2" t="s">
        <v>441</v>
      </c>
      <c r="CE39" s="50"/>
      <c r="CF39" s="55"/>
      <c r="CG39" s="55"/>
      <c r="CH39" s="55"/>
      <c r="CI39" s="332"/>
      <c r="CJ39" s="149" t="s">
        <v>435</v>
      </c>
      <c r="CK39" s="223" t="s">
        <v>820</v>
      </c>
      <c r="CL39" s="305"/>
      <c r="CM39" s="299"/>
      <c r="CN39" s="299"/>
      <c r="CO39" t="s">
        <v>435</v>
      </c>
      <c r="CP39" t="s">
        <v>1084</v>
      </c>
      <c r="CS39" s="383">
        <f ca="1"/>
        <v>46913</v>
      </c>
      <c r="CT39" s="595">
        <f ca="1"/>
        <v>-9.6496125246309998E-4</v>
      </c>
      <c r="CU39" s="595">
        <f ca="1"/>
        <v>-1.93396510629662E-5</v>
      </c>
      <c r="CV39" s="595">
        <f ca="1"/>
        <v>3.8184414071727201E-3</v>
      </c>
      <c r="CW39" s="595" t="str">
        <f ca="1"/>
        <v/>
      </c>
      <c r="CX39" s="299"/>
      <c r="CY39" s="299"/>
      <c r="CZ39" s="299"/>
      <c r="DA39" s="299"/>
      <c r="DB39" s="300"/>
      <c r="DC39" s="206"/>
      <c r="DD39" s="206"/>
      <c r="DE39" s="206"/>
      <c r="DF39" s="206"/>
    </row>
    <row r="40" spans="1:110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220" t="s">
        <v>677</v>
      </c>
      <c r="S40" s="221" t="str">
        <f>INDEX('STATIC DATA'!C39:AB39,1,MATCH($A$1,'STATIC DATA'!$C$4:$AB$4,0))</f>
        <v>TGT</v>
      </c>
      <c r="T40" s="53"/>
      <c r="V40" t="s">
        <v>438</v>
      </c>
      <c r="W40" t="s">
        <v>458</v>
      </c>
      <c r="AB40" s="50"/>
      <c r="AC40" s="220" t="s">
        <v>704</v>
      </c>
      <c r="AD40" s="221" t="str">
        <f>INDEX('STATIC DATA'!C39:AB39,1,MATCH($A$1,'STATIC DATA'!$C$4:$AB$4,0))</f>
        <v>TGT</v>
      </c>
      <c r="AE40" s="53"/>
      <c r="AG40" t="s">
        <v>438</v>
      </c>
      <c r="AH40" t="str">
        <f>AD13</f>
        <v>SEMI-ANNUAL</v>
      </c>
      <c r="AM40" s="50"/>
      <c r="AN40" s="225" t="s">
        <v>762</v>
      </c>
      <c r="AO40" s="219" t="str">
        <f>INDEX('STATIC DATA'!C39:AB39,1,MATCH($A$1,'STATIC DATA'!$C$4:$AB$4,0))</f>
        <v>TGT</v>
      </c>
      <c r="AP40" s="53"/>
      <c r="AR40" t="s">
        <v>438</v>
      </c>
      <c r="AS40" t="s">
        <v>459</v>
      </c>
      <c r="AX40" s="50"/>
      <c r="AY40" s="225" t="s">
        <v>762</v>
      </c>
      <c r="AZ40" s="219" t="s">
        <v>608</v>
      </c>
      <c r="BA40" s="53"/>
      <c r="BI40" s="50"/>
      <c r="BJ40" s="222" t="s">
        <v>751</v>
      </c>
      <c r="BK40" s="216" t="str">
        <f>INDEX('STATIC DATA'!C43:AB43,1,MATCH($A$1,'STATIC DATA'!$C$4:$AB$4,0))</f>
        <v>TGT</v>
      </c>
      <c r="BL40" s="53"/>
      <c r="BN40" t="s">
        <v>438</v>
      </c>
      <c r="BO40" t="s">
        <v>794</v>
      </c>
      <c r="BT40" s="50"/>
      <c r="BU40" s="225" t="s">
        <v>762</v>
      </c>
      <c r="BV40" s="219" t="str">
        <f>INDEX('STATIC DATA'!C30:AB30,1,MATCH($A$1,'STATIC DATA'!$C$4:$AB$4,0))</f>
        <v>TGT:NYB:LNB</v>
      </c>
      <c r="BW40" s="53"/>
      <c r="BY40" t="s">
        <v>442</v>
      </c>
      <c r="BZ40" t="str">
        <f>A1&amp;"_"&amp;BZ35&amp;"_CURVE_MARKETDATA"</f>
        <v>EUR_XCCYBASIS_CURVE_MARKETDATA</v>
      </c>
      <c r="CE40" s="50"/>
      <c r="CF40" s="55"/>
      <c r="CG40" s="55"/>
      <c r="CH40" s="55"/>
      <c r="CI40" s="332"/>
      <c r="CJ40" s="149" t="s">
        <v>440</v>
      </c>
      <c r="CK40" s="275">
        <f ca="1">'STATIC DATA'!D5</f>
        <v>44083</v>
      </c>
      <c r="CL40" s="324"/>
      <c r="CM40" s="303"/>
      <c r="CN40" s="303"/>
      <c r="CO40" t="s">
        <v>438</v>
      </c>
      <c r="CP40" t="s">
        <v>439</v>
      </c>
      <c r="CS40" s="383">
        <f ca="1"/>
        <v>47007</v>
      </c>
      <c r="CT40" s="595">
        <f ca="1"/>
        <v>-7.3280121338991798E-4</v>
      </c>
      <c r="CU40" s="595">
        <f ca="1"/>
        <v>2.9119212727145901E-4</v>
      </c>
      <c r="CV40" s="595">
        <f ca="1"/>
        <v>4.1726740993646297E-3</v>
      </c>
      <c r="CW40" s="595" t="str">
        <f ca="1"/>
        <v/>
      </c>
      <c r="CX40" s="299"/>
      <c r="CY40" s="299"/>
      <c r="CZ40" s="299"/>
      <c r="DA40" s="299"/>
      <c r="DB40" s="300"/>
      <c r="DC40" s="206"/>
      <c r="DD40" s="206"/>
      <c r="DE40" s="206"/>
      <c r="DF40" s="206"/>
    </row>
    <row r="41" spans="1:110" x14ac:dyDescent="0.25">
      <c r="F41" s="50"/>
      <c r="G41" s="54" t="s">
        <v>428</v>
      </c>
      <c r="H41" s="227" t="s">
        <v>708</v>
      </c>
      <c r="I41" s="53"/>
      <c r="K41" t="s">
        <v>440</v>
      </c>
      <c r="L41" s="200">
        <f ca="1">'STATIC DATA'!D5</f>
        <v>44083</v>
      </c>
      <c r="Q41" s="50"/>
      <c r="R41" s="222" t="s">
        <v>678</v>
      </c>
      <c r="S41" s="223" t="str">
        <f>INDEX('STATIC DATA'!C55:AB55,1,MATCH($A$1,'STATIC DATA'!C4:AB4,0))</f>
        <v>ACT/360</v>
      </c>
      <c r="T41" s="53"/>
      <c r="V41" t="s">
        <v>440</v>
      </c>
      <c r="W41" s="200">
        <f ca="1">'STATIC DATA'!D5</f>
        <v>44083</v>
      </c>
      <c r="AB41" s="50"/>
      <c r="AC41" s="222" t="s">
        <v>731</v>
      </c>
      <c r="AD41" s="223" t="str">
        <f>INDEX('STATIC DATA'!C55:AB55,1,MATCH($A$1,'STATIC DATA'!C4:AB4,0))</f>
        <v>ACT/360</v>
      </c>
      <c r="AE41" s="53"/>
      <c r="AG41" t="s">
        <v>440</v>
      </c>
      <c r="AH41" s="200">
        <f ca="1">'STATIC DATA'!D5</f>
        <v>44083</v>
      </c>
      <c r="AM41" s="50"/>
      <c r="AN41" s="225" t="s">
        <v>763</v>
      </c>
      <c r="AO41" s="219">
        <v>0</v>
      </c>
      <c r="AP41" s="53"/>
      <c r="AR41" t="s">
        <v>440</v>
      </c>
      <c r="AS41" s="200">
        <f ca="1">INDEX('STATIC DATA'!$C$5:$AB$5,1,MATCH($W38,'STATIC DATA'!$C$4:$AB$4,0))</f>
        <v>44083</v>
      </c>
      <c r="AX41" s="50"/>
      <c r="AY41" s="225" t="s">
        <v>763</v>
      </c>
      <c r="AZ41" s="219">
        <v>0</v>
      </c>
      <c r="BA41" s="53"/>
      <c r="BI41" s="50"/>
      <c r="BJ41" s="222" t="s">
        <v>752</v>
      </c>
      <c r="BK41" s="216" t="str">
        <f>INDEX('STATIC DATA'!C55:AB55,1,MATCH("USD",'STATIC DATA'!C4:AB4,0))</f>
        <v>ACT/360</v>
      </c>
      <c r="BL41" s="53"/>
      <c r="BN41" t="s">
        <v>440</v>
      </c>
      <c r="BO41" s="200">
        <f ca="1">'STATIC DATA'!D5</f>
        <v>44083</v>
      </c>
      <c r="BT41" s="50"/>
      <c r="BU41" s="225" t="s">
        <v>763</v>
      </c>
      <c r="BV41" s="219" t="s">
        <v>621</v>
      </c>
      <c r="BW41" s="53"/>
      <c r="BY41" t="s">
        <v>444</v>
      </c>
      <c r="BZ41" t="str">
        <f ca="1">_xll.meLWOCurveMarketDataCreate(BZ40,BY33,BY34:BZ38,"FXSPOTS",BY7:CA7,"FXFWDS",BY8:CA13,"XCCYSWAPS",BY14:CA30)</f>
        <v>EUR_XCCYBASIS_CURVE_MARKETDATA@32:3</v>
      </c>
      <c r="CE41" s="50"/>
      <c r="CF41" s="55"/>
      <c r="CG41" s="55"/>
      <c r="CH41" s="55"/>
      <c r="CI41" s="332"/>
      <c r="CJ41" s="151" t="s">
        <v>821</v>
      </c>
      <c r="CK41" s="226">
        <f>IF(INDEX('STATIC DATA'!C49:AB49,1,MATCH($A$1,'STATIC DATA'!C4:AB4,0))=4,1/10000,IF(INDEX('STATIC DATA'!C49:AB49,1,MATCH($A$1,'STATIC DATA'!C4:AB4,0))=3,1/1000,1/100))</f>
        <v>1E-4</v>
      </c>
      <c r="CL41" s="305"/>
      <c r="CM41" s="299"/>
      <c r="CN41" s="299"/>
      <c r="CO41" t="s">
        <v>440</v>
      </c>
      <c r="CP41" s="360">
        <f ca="1">'STATIC DATA'!D5</f>
        <v>44083</v>
      </c>
      <c r="CS41" s="383">
        <f ca="1"/>
        <v>47098</v>
      </c>
      <c r="CT41" s="595">
        <f ca="1"/>
        <v>-4.85164023835618E-4</v>
      </c>
      <c r="CU41" s="595">
        <f ca="1"/>
        <v>5.9097577473446396E-4</v>
      </c>
      <c r="CV41" s="595">
        <f ca="1"/>
        <v>4.5125876550670798E-3</v>
      </c>
      <c r="CW41" s="595" t="str">
        <f ca="1"/>
        <v/>
      </c>
      <c r="CX41" s="299"/>
      <c r="CY41" s="299"/>
      <c r="CZ41" s="299"/>
      <c r="DA41" s="299"/>
      <c r="DB41" s="300"/>
      <c r="DC41" s="206"/>
      <c r="DD41" s="206"/>
      <c r="DE41" s="206"/>
      <c r="DF41" s="206"/>
    </row>
    <row r="42" spans="1:110" x14ac:dyDescent="0.25">
      <c r="F42" s="50"/>
      <c r="G42" s="220" t="s">
        <v>677</v>
      </c>
      <c r="H42" s="221" t="str">
        <f>INDEX('STATIC DATA'!C43:AB43,1,MATCH(A1,'STATIC DATA'!$C$4:$AB$4,0))</f>
        <v>TGT</v>
      </c>
      <c r="I42" s="53"/>
      <c r="Q42" s="50"/>
      <c r="R42" s="222" t="s">
        <v>683</v>
      </c>
      <c r="S42" s="223" t="str">
        <f>INDEX('STATIC DATA'!C7:AB7,1,MATCH($A$1,'STATIC DATA'!C4:AB4,0))</f>
        <v>2D</v>
      </c>
      <c r="T42" s="53"/>
      <c r="AB42" s="50"/>
      <c r="AC42" s="222" t="s">
        <v>732</v>
      </c>
      <c r="AD42" s="223" t="str">
        <f>INDEX('STATIC DATA'!C7:AB7,1,MATCH($A$1,'STATIC DATA'!C4:AB4,0))</f>
        <v>2D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5" t="s">
        <v>753</v>
      </c>
      <c r="BK42" s="219" t="s">
        <v>794</v>
      </c>
      <c r="BL42" s="53"/>
      <c r="BT42" s="50"/>
      <c r="BU42" s="220" t="s">
        <v>764</v>
      </c>
      <c r="BV42" s="238" t="s">
        <v>687</v>
      </c>
      <c r="BW42" s="53"/>
      <c r="CE42" s="50"/>
      <c r="CF42" s="55"/>
      <c r="CG42" s="55"/>
      <c r="CH42" s="55"/>
      <c r="CI42" s="332"/>
      <c r="CJ42" s="299"/>
      <c r="CK42" s="299"/>
      <c r="CL42" s="313"/>
      <c r="CM42" s="299"/>
      <c r="CN42" s="299"/>
      <c r="CS42" s="383">
        <f ca="1"/>
        <v>47186</v>
      </c>
      <c r="CT42" s="595">
        <f ca="1"/>
        <v>-1.9434585263763699E-4</v>
      </c>
      <c r="CU42" s="595">
        <f ca="1"/>
        <v>8.7665545336684597E-4</v>
      </c>
      <c r="CV42" s="595">
        <f ca="1"/>
        <v>4.8282943227288197E-3</v>
      </c>
      <c r="CW42" s="595" t="str">
        <f ca="1"/>
        <v/>
      </c>
      <c r="CX42" s="299"/>
      <c r="CY42" s="299"/>
      <c r="CZ42" s="299"/>
      <c r="DA42" s="299"/>
      <c r="DB42" s="300"/>
      <c r="DC42" s="206"/>
      <c r="DD42" s="206"/>
      <c r="DE42" s="206"/>
      <c r="DF42" s="206"/>
    </row>
    <row r="43" spans="1:110" x14ac:dyDescent="0.25">
      <c r="F43" s="50"/>
      <c r="G43" s="222" t="s">
        <v>709</v>
      </c>
      <c r="H43" s="223" t="str">
        <f>INDEX('STATIC DATA'!C53:AB53,1,MATCH(A1,'STATIC DATA'!C4:AB4,0))</f>
        <v>30/360</v>
      </c>
      <c r="I43" s="53"/>
      <c r="K43" s="2" t="s">
        <v>441</v>
      </c>
      <c r="Q43" s="50"/>
      <c r="R43" s="222" t="s">
        <v>686</v>
      </c>
      <c r="S43" s="223" t="s">
        <v>687</v>
      </c>
      <c r="T43" s="53"/>
      <c r="V43" s="2" t="s">
        <v>441</v>
      </c>
      <c r="AB43" s="50"/>
      <c r="AC43" s="222" t="s">
        <v>707</v>
      </c>
      <c r="AD43" s="223" t="s">
        <v>687</v>
      </c>
      <c r="AE43" s="53"/>
      <c r="AG43" s="2" t="s">
        <v>441</v>
      </c>
      <c r="AM43" s="50"/>
      <c r="AN43" s="222" t="s">
        <v>765</v>
      </c>
      <c r="AO43" s="216" t="str">
        <f>INDEX('STATIC DATA'!C39:AB39,1,MATCH($A$1,'STATIC DATA'!$C$4:$AB$4,0))</f>
        <v>TGT</v>
      </c>
      <c r="AP43" s="53"/>
      <c r="AR43" s="2" t="s">
        <v>441</v>
      </c>
      <c r="AX43" s="50"/>
      <c r="AY43" s="222" t="s">
        <v>765</v>
      </c>
      <c r="AZ43" s="216" t="s">
        <v>608</v>
      </c>
      <c r="BA43" s="53"/>
      <c r="BI43" s="50"/>
      <c r="BJ43" s="222" t="s">
        <v>754</v>
      </c>
      <c r="BK43" s="216" t="s">
        <v>687</v>
      </c>
      <c r="BL43" s="53"/>
      <c r="BN43" s="2" t="s">
        <v>441</v>
      </c>
      <c r="BT43" s="50"/>
      <c r="BU43" s="222" t="s">
        <v>765</v>
      </c>
      <c r="BV43" s="216" t="str">
        <f>INDEX('STATIC DATA'!C30:AB30,1,MATCH($A$1,'STATIC DATA'!$C$4:$AB$4,0))</f>
        <v>TGT:NYB:LNB</v>
      </c>
      <c r="BW43" s="53"/>
      <c r="BY43" s="2" t="s">
        <v>447</v>
      </c>
      <c r="CE43" s="50"/>
      <c r="CF43" s="55"/>
      <c r="CG43" s="55"/>
      <c r="CH43" s="55"/>
      <c r="CI43" s="332"/>
      <c r="CJ43" s="323" t="s">
        <v>824</v>
      </c>
      <c r="CK43" s="303"/>
      <c r="CL43" s="313"/>
      <c r="CM43" s="299"/>
      <c r="CN43" s="299"/>
      <c r="CO43" s="2" t="s">
        <v>441</v>
      </c>
      <c r="CQ43" s="2"/>
      <c r="CS43" s="383">
        <f ca="1"/>
        <v>47280</v>
      </c>
      <c r="CT43" s="595">
        <f ca="1"/>
        <v>1.6096132027251201E-4</v>
      </c>
      <c r="CU43" s="595">
        <f ca="1"/>
        <v>1.17388077701906E-3</v>
      </c>
      <c r="CV43" s="595">
        <f ca="1"/>
        <v>5.1402973978145602E-3</v>
      </c>
      <c r="CW43" s="595" t="str">
        <f ca="1"/>
        <v/>
      </c>
      <c r="CX43" s="299"/>
      <c r="CY43" s="299"/>
      <c r="CZ43" s="299"/>
      <c r="DA43" s="299"/>
      <c r="DB43" s="300"/>
      <c r="DC43" s="206"/>
      <c r="DD43" s="206"/>
      <c r="DE43" s="206"/>
      <c r="DF43" s="206"/>
    </row>
    <row r="44" spans="1:110" x14ac:dyDescent="0.25">
      <c r="F44" s="50"/>
      <c r="G44" s="222" t="s">
        <v>710</v>
      </c>
      <c r="H44" s="223" t="str">
        <f>IF(INDEX('STATIC DATA'!C54:AB54,1,MATCH(A1,'STATIC DATA'!C4:AB4,0))="1Y","ANNUAL",(IF(INDEX('STATIC DATA'!C54:AB54,1,MATCH(A1,'STATIC DATA'!C4:AB4,0))="6M","SEMI-ANNUAL", "QUARTERLY")))</f>
        <v>ANNUAL</v>
      </c>
      <c r="I44" s="53"/>
      <c r="K44" t="s">
        <v>442</v>
      </c>
      <c r="L44" s="206" t="str">
        <f>L38&amp;"_"&amp;L39&amp;"_CURVE_MARKETDATA"</f>
        <v>EUR_OIS_CURVE_MARKETDATA</v>
      </c>
      <c r="Q44" s="50"/>
      <c r="R44" s="233" t="s">
        <v>733</v>
      </c>
      <c r="S44" s="231">
        <v>0.03</v>
      </c>
      <c r="T44" s="53"/>
      <c r="V44" t="s">
        <v>442</v>
      </c>
      <c r="W44" t="str">
        <f>W38&amp;"_"&amp;W39&amp;"_"&amp;"3M"&amp;"_CURVE_MARKETDATA"</f>
        <v>EUR_SWAP_3M_CURVE_MARKETDATA</v>
      </c>
      <c r="AB44" s="50"/>
      <c r="AC44" s="222"/>
      <c r="AD44" s="223"/>
      <c r="AE44" s="53"/>
      <c r="AG44" t="s">
        <v>442</v>
      </c>
      <c r="AH44" t="str">
        <f>AH38&amp;"_"&amp;AH39&amp;"_"&amp;"6M"&amp;"_CURVE_MARKETDATA"</f>
        <v>EUR_SWAP_6M_CURVE_MARKETDATA</v>
      </c>
      <c r="AM44" s="50"/>
      <c r="AN44" s="222" t="s">
        <v>766</v>
      </c>
      <c r="AO44" s="216" t="str">
        <f>INDEX('STATIC DATA'!C55:AB55,1,MATCH($A$1,'STATIC DATA'!C4:AB4,0))</f>
        <v>ACT/360</v>
      </c>
      <c r="AP44" s="53"/>
      <c r="AR44" t="s">
        <v>442</v>
      </c>
      <c r="AS44" t="str">
        <f>A1&amp;"_BASIS_3X6_MARKETDATA"</f>
        <v>EUR_BASIS_3X6_MARKETDATA</v>
      </c>
      <c r="AX44" s="50"/>
      <c r="AY44" s="222" t="s">
        <v>766</v>
      </c>
      <c r="AZ44" s="216" t="s">
        <v>48</v>
      </c>
      <c r="BA44" s="53"/>
      <c r="BI44" s="50"/>
      <c r="BJ44" s="222" t="s">
        <v>755</v>
      </c>
      <c r="BK44" s="216" t="s">
        <v>5</v>
      </c>
      <c r="BL44" s="53"/>
      <c r="BN44" t="s">
        <v>442</v>
      </c>
      <c r="BO44" t="str">
        <f>A1&amp;"_BASIS_1M3M_MARKETDATA"</f>
        <v>EUR_BASIS_1M3M_MARKETDATA</v>
      </c>
      <c r="BT44" s="50"/>
      <c r="BU44" s="222" t="s">
        <v>766</v>
      </c>
      <c r="BV44" s="216" t="str">
        <f>INDEX('STATIC DATA'!C55:AB55,1,MATCH("USD",'STATIC DATA'!C4:AB4,0))</f>
        <v>ACT/360</v>
      </c>
      <c r="BW44" s="53"/>
      <c r="BY44" t="s">
        <v>442</v>
      </c>
      <c r="BZ44" t="str">
        <f>A1&amp;"_"&amp;BZ35&amp;"_CURVE"</f>
        <v>EUR_XCCYBASIS_CURVE</v>
      </c>
      <c r="CE44" s="50"/>
      <c r="CF44" s="55"/>
      <c r="CG44" s="55"/>
      <c r="CH44" s="55"/>
      <c r="CI44" s="332"/>
      <c r="CJ44" s="270" t="s">
        <v>830</v>
      </c>
      <c r="CK44" s="271" t="s">
        <v>1065</v>
      </c>
      <c r="CL44" s="325"/>
      <c r="CM44" s="303"/>
      <c r="CN44" s="303"/>
      <c r="CO44" t="s">
        <v>442</v>
      </c>
      <c r="CP44" t="s">
        <v>1293</v>
      </c>
      <c r="CS44" s="383">
        <f ca="1"/>
        <v>47371</v>
      </c>
      <c r="CT44" s="595">
        <f ca="1"/>
        <v>5.5958983694806097E-4</v>
      </c>
      <c r="CU44" s="595">
        <f ca="1"/>
        <v>1.4533656261933401E-3</v>
      </c>
      <c r="CV44" s="595">
        <f ca="1"/>
        <v>5.4280583308133198E-3</v>
      </c>
      <c r="CW44" s="595" t="str">
        <f ca="1"/>
        <v/>
      </c>
      <c r="CX44" s="299"/>
      <c r="CY44" s="299"/>
      <c r="CZ44" s="299"/>
      <c r="DA44" s="299"/>
      <c r="DB44" s="300"/>
      <c r="DC44" s="206"/>
      <c r="DD44" s="206"/>
      <c r="DE44" s="206"/>
      <c r="DF44" s="206"/>
    </row>
    <row r="45" spans="1:110" x14ac:dyDescent="0.25">
      <c r="F45" s="50"/>
      <c r="G45" s="225" t="s">
        <v>686</v>
      </c>
      <c r="H45" s="226" t="s">
        <v>687</v>
      </c>
      <c r="I45" s="53"/>
      <c r="K45" t="s">
        <v>444</v>
      </c>
      <c r="L45" s="206" t="str">
        <f ca="1">_xll.meLWOCurveMarketDataCreate(L44,"MarketDataProperties",K38:L41,"FUTURES",K7:P14,"OIS",K15:L31)</f>
        <v>EUR_OIS_CURVE_MARKETDATA@35:3</v>
      </c>
      <c r="Q45" s="50"/>
      <c r="R45" s="52" t="s">
        <v>713</v>
      </c>
      <c r="S45" s="52" t="s">
        <v>713</v>
      </c>
      <c r="T45" s="53"/>
      <c r="V45" t="s">
        <v>444</v>
      </c>
      <c r="W45" t="str">
        <f ca="1">_xll.meLWOCurveMarketDataCreate(W44,V37,V38:W41,"LIBORFIXINGS",V7:X11,"FUTURES",V12:Z19,"SWAPS",V20:X35)</f>
        <v>EUR_SWAP_3M_CURVE_MARKETDATA@34:3</v>
      </c>
      <c r="AB45" s="50"/>
      <c r="AC45" s="225"/>
      <c r="AD45" s="226"/>
      <c r="AE45" s="53"/>
      <c r="AG45" t="s">
        <v>444</v>
      </c>
      <c r="AH45" t="str">
        <f ca="1">_xll.meLWOCurveMarketDataCreate(AH44,AG37,AG38:AH42,"LIBORFIXINGS",AG7:AH9,"FRAS",AG10:AH20,"SWAPS",AG21:AH36)</f>
        <v>EUR_SWAP_6M_CURVE_MARKETDATA@33:3</v>
      </c>
      <c r="AM45" s="50"/>
      <c r="AN45" s="222" t="s">
        <v>767</v>
      </c>
      <c r="AO45" s="216" t="s">
        <v>458</v>
      </c>
      <c r="AP45" s="53"/>
      <c r="AR45" t="s">
        <v>444</v>
      </c>
      <c r="AS45" t="str">
        <f ca="1">_xll.meLWOCurveMarketDataCreate(AS44,AR37,AR38:AS42,"BASISSWAPS",AR7:AT21)</f>
        <v>EUR_BASIS_3X6_MARKETDATA@18:3</v>
      </c>
      <c r="AX45" s="50"/>
      <c r="AY45" s="222" t="s">
        <v>767</v>
      </c>
      <c r="AZ45" s="216" t="s">
        <v>458</v>
      </c>
      <c r="BA45" s="53"/>
      <c r="BI45" s="50"/>
      <c r="BJ45" s="245" t="s">
        <v>756</v>
      </c>
      <c r="BK45" s="248" t="s">
        <v>1079</v>
      </c>
      <c r="BL45" s="53" t="s">
        <v>801</v>
      </c>
      <c r="BN45" t="s">
        <v>444</v>
      </c>
      <c r="BO45" t="str">
        <f ca="1">_xll.meLWOCurveMarketDataCreate(BO44,"MARKETDATAPROPERTIES",BN38:BO41,"LIBORFIXINGS",BN7:BP7,"BASISSWAPS",BN8:BP22)</f>
        <v>EUR_BASIS_1M3M_MARKETDATA@36:3</v>
      </c>
      <c r="BT45" s="50"/>
      <c r="BU45" s="222" t="s">
        <v>767</v>
      </c>
      <c r="BV45" s="216" t="s">
        <v>458</v>
      </c>
      <c r="BW45" s="53"/>
      <c r="BY45" t="s">
        <v>450</v>
      </c>
      <c r="BZ45" t="str">
        <f>BV8</f>
        <v>EUR_XCCY@9:1</v>
      </c>
      <c r="CE45" s="50"/>
      <c r="CF45" s="55"/>
      <c r="CG45" s="55"/>
      <c r="CH45" s="55"/>
      <c r="CI45" s="332"/>
      <c r="CJ45" s="206"/>
      <c r="CK45" s="263" t="str">
        <f ca="1">_xll.meLWOCurveMarketDataCreate(CK44,"MARKETDATAPROPERTIES",CJ38:CK41,"FXSPOTS",CK7:CL7,"FXFWDS",CJ8:CL32)</f>
        <v>MKTDATA_EURUSD@48:3</v>
      </c>
      <c r="CL45" s="313"/>
      <c r="CM45" s="313"/>
      <c r="CN45" s="313"/>
      <c r="CO45" t="s">
        <v>444</v>
      </c>
      <c r="CP45" s="444" t="str">
        <f ca="1">_xll.meLWOCurveMarketDataCreate(CP44,CO37,CO38:CP41)</f>
        <v>EUR_FXFWD_MARKET_DATA@20:3</v>
      </c>
      <c r="CS45" s="383">
        <f ca="1"/>
        <v>47462</v>
      </c>
      <c r="CT45" s="595">
        <f ca="1"/>
        <v>9.4955001613590995E-4</v>
      </c>
      <c r="CU45" s="595">
        <f ca="1"/>
        <v>1.7240354307320801E-3</v>
      </c>
      <c r="CV45" s="595">
        <f ca="1"/>
        <v>5.7076859911999699E-3</v>
      </c>
      <c r="CW45" s="595" t="str">
        <f ca="1"/>
        <v/>
      </c>
      <c r="CX45" s="299"/>
      <c r="CY45" s="299"/>
      <c r="CZ45" s="299"/>
      <c r="DA45" s="299"/>
      <c r="DB45" s="300"/>
      <c r="DC45" s="206"/>
      <c r="DD45" s="206"/>
      <c r="DE45" s="206"/>
      <c r="DF45" s="206"/>
    </row>
    <row r="46" spans="1:110" x14ac:dyDescent="0.25">
      <c r="F46" s="50"/>
      <c r="G46" s="52"/>
      <c r="H46" s="52"/>
      <c r="I46" s="53"/>
      <c r="L46" s="206"/>
      <c r="Q46" s="50"/>
      <c r="R46" s="54" t="s">
        <v>428</v>
      </c>
      <c r="S46" s="85" t="s">
        <v>713</v>
      </c>
      <c r="T46" s="53"/>
      <c r="AB46" s="50"/>
      <c r="AC46" s="52" t="s">
        <v>713</v>
      </c>
      <c r="AD46" s="52" t="s">
        <v>713</v>
      </c>
      <c r="AE46" s="53"/>
      <c r="AM46" s="50"/>
      <c r="AN46" s="222" t="s">
        <v>768</v>
      </c>
      <c r="AO46" s="239" t="s">
        <v>459</v>
      </c>
      <c r="AP46" s="53"/>
      <c r="AX46" s="50"/>
      <c r="AY46" s="222" t="s">
        <v>768</v>
      </c>
      <c r="AZ46" s="239" t="s">
        <v>680</v>
      </c>
      <c r="BA46" s="53"/>
      <c r="BI46" s="50"/>
      <c r="BJ46" s="233" t="s">
        <v>757</v>
      </c>
      <c r="BK46" s="242" t="s">
        <v>1079</v>
      </c>
      <c r="BL46" s="53"/>
      <c r="BT46" s="50"/>
      <c r="BU46" s="222" t="s">
        <v>769</v>
      </c>
      <c r="BV46" s="239" t="s">
        <v>687</v>
      </c>
      <c r="BW46" s="53"/>
      <c r="BY46" t="s">
        <v>452</v>
      </c>
      <c r="BZ46" t="str">
        <f>A1&amp;"YC"</f>
        <v>EURYC</v>
      </c>
      <c r="CE46" s="50"/>
      <c r="CF46" s="55"/>
      <c r="CG46" s="55"/>
      <c r="CH46" s="55"/>
      <c r="CI46" s="332"/>
      <c r="CJ46" s="206"/>
      <c r="CK46" s="206"/>
      <c r="CL46" s="305"/>
      <c r="CM46" s="299"/>
      <c r="CN46" s="299"/>
      <c r="CS46" s="383">
        <f ca="1"/>
        <v>47553</v>
      </c>
      <c r="CT46" s="595">
        <f ca="1"/>
        <v>1.2729942389808899E-3</v>
      </c>
      <c r="CU46" s="595">
        <f ca="1"/>
        <v>1.9896729916177198E-3</v>
      </c>
      <c r="CV46" s="595">
        <f ca="1"/>
        <v>5.9887046680086702E-3</v>
      </c>
      <c r="CW46" s="595" t="str">
        <f ca="1"/>
        <v/>
      </c>
      <c r="CX46" s="299"/>
      <c r="CY46" s="299"/>
      <c r="CZ46" s="299"/>
      <c r="DA46" s="299"/>
      <c r="DB46" s="300"/>
      <c r="DC46" s="206"/>
      <c r="DD46" s="206"/>
      <c r="DE46" s="206"/>
      <c r="DF46" s="206"/>
    </row>
    <row r="47" spans="1:110" x14ac:dyDescent="0.25">
      <c r="F47" s="50"/>
      <c r="G47" s="52"/>
      <c r="H47" s="52"/>
      <c r="I47" s="53"/>
      <c r="K47" s="2" t="s">
        <v>447</v>
      </c>
      <c r="L47" s="206"/>
      <c r="Q47" s="50"/>
      <c r="R47" s="220" t="s">
        <v>704</v>
      </c>
      <c r="S47" s="221" t="s">
        <v>612</v>
      </c>
      <c r="T47" s="53"/>
      <c r="V47" s="2" t="s">
        <v>447</v>
      </c>
      <c r="AB47" s="50"/>
      <c r="AC47" s="54" t="s">
        <v>461</v>
      </c>
      <c r="AD47" s="52" t="s">
        <v>713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R47" s="2" t="s">
        <v>447</v>
      </c>
      <c r="AX47" s="50"/>
      <c r="AY47" s="222" t="s">
        <v>769</v>
      </c>
      <c r="AZ47" s="216" t="s">
        <v>687</v>
      </c>
      <c r="BA47" s="53"/>
      <c r="BI47" s="50"/>
      <c r="BJ47" s="245" t="s">
        <v>758</v>
      </c>
      <c r="BK47" s="244" t="s">
        <v>300</v>
      </c>
      <c r="BL47" s="53"/>
      <c r="BN47" s="2" t="s">
        <v>447</v>
      </c>
      <c r="BT47" s="50"/>
      <c r="BU47" s="222" t="s">
        <v>770</v>
      </c>
      <c r="BV47" s="216" t="s">
        <v>621</v>
      </c>
      <c r="BW47" s="53"/>
      <c r="BY47" t="s">
        <v>453</v>
      </c>
      <c r="BZ47" t="s">
        <v>437</v>
      </c>
      <c r="CE47" s="50"/>
      <c r="CF47" s="55"/>
      <c r="CG47" s="55"/>
      <c r="CH47" s="55"/>
      <c r="CI47" s="332"/>
      <c r="CJ47" s="299"/>
      <c r="CK47" s="299"/>
      <c r="CL47" s="299"/>
      <c r="CM47" s="299"/>
      <c r="CN47" s="299"/>
      <c r="CO47" s="2" t="s">
        <v>447</v>
      </c>
      <c r="CQ47" s="2"/>
      <c r="CS47" s="383">
        <f ca="1"/>
        <v>47644</v>
      </c>
      <c r="CT47" s="595">
        <f ca="1"/>
        <v>1.5299276165955001E-3</v>
      </c>
      <c r="CU47" s="595">
        <f ca="1"/>
        <v>2.24295351074341E-3</v>
      </c>
      <c r="CV47" s="595">
        <f ca="1"/>
        <v>6.2711541701995499E-3</v>
      </c>
      <c r="CW47" s="595" t="str">
        <f ca="1"/>
        <v/>
      </c>
      <c r="CX47" s="299"/>
      <c r="CY47" s="299"/>
      <c r="CZ47" s="299"/>
      <c r="DA47" s="299"/>
      <c r="DB47" s="300"/>
      <c r="DC47" s="206"/>
      <c r="DD47" s="206"/>
      <c r="DE47" s="206"/>
      <c r="DF47" s="206"/>
    </row>
    <row r="48" spans="1:110" x14ac:dyDescent="0.25">
      <c r="K48" t="s">
        <v>442</v>
      </c>
      <c r="L48" s="206" t="str">
        <f>L38&amp;"_"&amp;L39&amp;"_CURVE"</f>
        <v>EUR_OIS_CURVE</v>
      </c>
      <c r="Q48" s="50"/>
      <c r="R48" s="222" t="s">
        <v>731</v>
      </c>
      <c r="S48" s="223" t="str">
        <f>INDEX('STATIC DATA'!C53:AB53,1,MATCH($A$1,'STATIC DATA'!C4:AB4,0))</f>
        <v>30/360</v>
      </c>
      <c r="T48" s="53"/>
      <c r="V48" t="s">
        <v>442</v>
      </c>
      <c r="W48" t="str">
        <f>W38&amp;"_"&amp;W39&amp;"_3M"&amp;"_CURVE"</f>
        <v>EUR_SWAP_3M_CURVE</v>
      </c>
      <c r="AB48" s="50"/>
      <c r="AC48" s="220" t="s">
        <v>677</v>
      </c>
      <c r="AD48" s="221" t="str">
        <f>INDEX('STATIC DATA'!C39:AB39,1,MATCH($A$1,'STATIC DATA'!$C$4:$AB$4,0))</f>
        <v>TGT</v>
      </c>
      <c r="AE48" s="53"/>
      <c r="AG48" t="s">
        <v>442</v>
      </c>
      <c r="AH48" t="str">
        <f>AH38&amp;"_"&amp;AH39&amp;"_6M"&amp;"_CURVE"</f>
        <v>EUR_SWAP_6M_CURVE</v>
      </c>
      <c r="AM48" s="50"/>
      <c r="AN48" s="225" t="s">
        <v>770</v>
      </c>
      <c r="AO48" s="219">
        <v>0</v>
      </c>
      <c r="AP48" s="53"/>
      <c r="AR48" t="s">
        <v>442</v>
      </c>
      <c r="AS48" t="str">
        <f>A1&amp;"_BASIS_6M_CURVE"</f>
        <v>EUR_BASIS_6M_CURVE</v>
      </c>
      <c r="AX48" s="50"/>
      <c r="AY48" s="225" t="s">
        <v>770</v>
      </c>
      <c r="AZ48" s="219">
        <v>0</v>
      </c>
      <c r="BA48" s="53"/>
      <c r="BI48" s="50"/>
      <c r="BJ48" s="222" t="s">
        <v>759</v>
      </c>
      <c r="BK48" s="216" t="str">
        <f>INDEX('STATIC DATA'!C55:AB55,1,MATCH($A$1,'STATIC DATA'!C4:AB4,0))</f>
        <v>ACT/360</v>
      </c>
      <c r="BL48" s="53"/>
      <c r="BN48" t="s">
        <v>442</v>
      </c>
      <c r="BO48" t="str">
        <f>A1&amp;"_BASIS_1M3M_CURVE"</f>
        <v>EUR_BASIS_1M3M_CURVE</v>
      </c>
      <c r="BT48" s="50"/>
      <c r="BU48" s="234" t="s">
        <v>772</v>
      </c>
      <c r="BV48" s="247" t="s">
        <v>884</v>
      </c>
      <c r="BW48" s="249" t="s">
        <v>801</v>
      </c>
      <c r="CE48" s="50"/>
      <c r="CF48" s="55"/>
      <c r="CG48" s="55"/>
      <c r="CH48" s="55"/>
      <c r="CI48" s="332"/>
      <c r="CJ48" s="303"/>
      <c r="CK48" s="299"/>
      <c r="CL48" s="299"/>
      <c r="CM48" s="299"/>
      <c r="CN48" s="299"/>
      <c r="CO48" t="s">
        <v>442</v>
      </c>
      <c r="CP48" t="s">
        <v>1294</v>
      </c>
      <c r="CS48" s="383">
        <f ca="1"/>
        <v>47735</v>
      </c>
      <c r="CT48" s="595">
        <f ca="1"/>
        <v>1.72030773274629E-3</v>
      </c>
      <c r="CU48" s="595">
        <f ca="1"/>
        <v>2.4843380288381901E-3</v>
      </c>
      <c r="CV48" s="595">
        <f ca="1"/>
        <v>6.5550754631516798E-3</v>
      </c>
      <c r="CW48" s="595" t="str">
        <f ca="1"/>
        <v/>
      </c>
      <c r="CX48" s="299"/>
      <c r="CY48" s="299"/>
      <c r="CZ48" s="299"/>
      <c r="DA48" s="299"/>
      <c r="DB48" s="300"/>
      <c r="DC48" s="206"/>
      <c r="DD48" s="206"/>
      <c r="DE48" s="206"/>
      <c r="DF48" s="206"/>
    </row>
    <row r="49" spans="11:110" x14ac:dyDescent="0.25">
      <c r="K49" t="s">
        <v>450</v>
      </c>
      <c r="L49" s="206" t="str">
        <f>H8</f>
        <v>EUR_OIS@8:1</v>
      </c>
      <c r="Q49" s="50"/>
      <c r="R49" s="222" t="s">
        <v>734</v>
      </c>
      <c r="S49" s="223" t="str">
        <f>INDEX('STATIC DATA'!C55:AB55,1,MATCH($A$1,'STATIC DATA'!C4:AB4,0))</f>
        <v>ACT/360</v>
      </c>
      <c r="T49" s="53"/>
      <c r="V49" t="s">
        <v>450</v>
      </c>
      <c r="W49" t="str">
        <f>S8</f>
        <v>EUR_SWAP_3M@10:1</v>
      </c>
      <c r="AB49" s="50"/>
      <c r="AC49" s="222" t="s">
        <v>678</v>
      </c>
      <c r="AD49" s="223" t="str">
        <f>INDEX('STATIC DATA'!C55:AB55,1,MATCH($A$1,'STATIC DATA'!C4:AB4,0))</f>
        <v>ACT/360</v>
      </c>
      <c r="AE49" s="53"/>
      <c r="AG49" t="s">
        <v>450</v>
      </c>
      <c r="AH49" t="str">
        <f>AD8</f>
        <v>EUR_SWAP_6ML@7:1</v>
      </c>
      <c r="AM49" s="50"/>
      <c r="AN49" s="234" t="s">
        <v>771</v>
      </c>
      <c r="AO49" s="242" t="s">
        <v>792</v>
      </c>
      <c r="AP49" s="53"/>
      <c r="AR49" t="s">
        <v>450</v>
      </c>
      <c r="AS49" t="str">
        <f>AO8</f>
        <v>Disabled</v>
      </c>
      <c r="AX49" s="50"/>
      <c r="AY49" s="234" t="s">
        <v>771</v>
      </c>
      <c r="AZ49" s="242" t="s">
        <v>792</v>
      </c>
      <c r="BA49" s="53"/>
      <c r="BI49" s="50"/>
      <c r="BJ49" s="222" t="s">
        <v>760</v>
      </c>
      <c r="BK49" s="216" t="str">
        <f>INDEX('STATIC DATA'!C39:AB39,1,MATCH($A$1,'STATIC DATA'!$C$4:$AB$4,0))</f>
        <v>TGT</v>
      </c>
      <c r="BL49" s="53"/>
      <c r="BN49" t="s">
        <v>450</v>
      </c>
      <c r="BO49" t="str">
        <f>BK8</f>
        <v>EUR_BASIS_1M3M@12:1</v>
      </c>
      <c r="BT49" s="50"/>
      <c r="BU49" s="234" t="s">
        <v>771</v>
      </c>
      <c r="BV49" s="242" t="s">
        <v>885</v>
      </c>
      <c r="BW49" s="53"/>
      <c r="BY49" s="2" t="s">
        <v>454</v>
      </c>
      <c r="CE49" s="50"/>
      <c r="CF49" s="55"/>
      <c r="CG49" s="55"/>
      <c r="CH49" s="55"/>
      <c r="CI49" s="332"/>
      <c r="CJ49" s="323"/>
      <c r="CK49" s="303"/>
      <c r="CL49" s="299"/>
      <c r="CM49" s="299"/>
      <c r="CN49" s="299"/>
      <c r="CO49" t="s">
        <v>450</v>
      </c>
      <c r="CP49" t="str">
        <f>CP6</f>
        <v>EUR_JPYCSA@11:1</v>
      </c>
      <c r="CS49" s="383" t="str">
        <f ca="1"/>
        <v/>
      </c>
      <c r="CT49" s="595" t="str">
        <f ca="1"/>
        <v/>
      </c>
      <c r="CU49" s="595" t="str">
        <f ca="1"/>
        <v/>
      </c>
      <c r="CV49" s="595" t="str">
        <f ca="1"/>
        <v/>
      </c>
      <c r="CW49" s="595" t="str">
        <f ca="1"/>
        <v/>
      </c>
      <c r="CX49" s="299"/>
      <c r="CY49" s="299"/>
      <c r="CZ49" s="299"/>
      <c r="DA49" s="299"/>
      <c r="DB49" s="300"/>
      <c r="DC49" s="206"/>
      <c r="DD49" s="206"/>
      <c r="DE49" s="206"/>
      <c r="DF49" s="206"/>
    </row>
    <row r="50" spans="11:110" x14ac:dyDescent="0.25">
      <c r="K50" t="s">
        <v>452</v>
      </c>
      <c r="L50" s="206" t="str">
        <f>$A$1&amp;"YC"</f>
        <v>EURYC</v>
      </c>
      <c r="Q50" s="50"/>
      <c r="R50" s="222" t="s">
        <v>706</v>
      </c>
      <c r="S50" s="223" t="str">
        <f>IF(INDEX('STATIC DATA'!C54:AB54,1,MATCH(A1,'STATIC DATA'!C4:AB4,0))="1Y","ANNUAL",(IF(INDEX('STATIC DATA'!C54:AB54,1,MATCH(A1,'STATIC DATA'!C4:AB4,0))="6M","SEMI-ANNUAL", "QUARTERLY")))</f>
        <v>ANNUAL</v>
      </c>
      <c r="T50" s="53"/>
      <c r="V50" t="s">
        <v>452</v>
      </c>
      <c r="W50" t="str">
        <f>$A$1&amp;"YC"</f>
        <v>EURYC</v>
      </c>
      <c r="AB50" s="50"/>
      <c r="AC50" s="222" t="s">
        <v>683</v>
      </c>
      <c r="AD50" s="223" t="str">
        <f>INDEX('STATIC DATA'!C7:AB7,1,MATCH($A$1,'STATIC DATA'!C4:AB4,0))</f>
        <v>2D</v>
      </c>
      <c r="AE50" s="53"/>
      <c r="AG50" t="s">
        <v>452</v>
      </c>
      <c r="AH50" t="str">
        <f>$A$1&amp;"YC"</f>
        <v>EURYC</v>
      </c>
      <c r="AM50" s="50"/>
      <c r="AN50" s="234" t="s">
        <v>772</v>
      </c>
      <c r="AO50" s="242" t="s">
        <v>792</v>
      </c>
      <c r="AP50" s="53"/>
      <c r="AR50" t="s">
        <v>452</v>
      </c>
      <c r="AS50" t="str">
        <f>$A$1&amp;"YC"</f>
        <v>EURYC</v>
      </c>
      <c r="AX50" s="50"/>
      <c r="AY50" s="234" t="s">
        <v>772</v>
      </c>
      <c r="AZ50" s="242" t="s">
        <v>792</v>
      </c>
      <c r="BA50" s="53"/>
      <c r="BI50" s="50"/>
      <c r="BJ50" s="225" t="s">
        <v>761</v>
      </c>
      <c r="BK50" s="219" t="s">
        <v>721</v>
      </c>
      <c r="BL50" s="53"/>
      <c r="BN50" t="s">
        <v>452</v>
      </c>
      <c r="BO50" t="str">
        <f>A1&amp;"YC"</f>
        <v>EURYC</v>
      </c>
      <c r="BT50" s="50"/>
      <c r="BU50" s="245" t="s">
        <v>774</v>
      </c>
      <c r="BV50" s="244" t="s">
        <v>49</v>
      </c>
      <c r="BW50" s="53"/>
      <c r="BY50" t="s">
        <v>442</v>
      </c>
      <c r="BZ50" s="647" t="str">
        <f t="array" aca="1" ref="BZ50:BZ53" ca="1">IF(AND(ExistsEUR3M,ExistsUSD3M),_xll.meLWOCurveCalibrate($BZ$44,$BZ$45,$BZ$41,$BZ$46,$BZ$47),"LOAD DEPENDENCY")</f>
        <v>EUR_XCCYBASIS_CURVE@53:3</v>
      </c>
      <c r="CE50" s="50"/>
      <c r="CF50" s="55"/>
      <c r="CG50" s="55"/>
      <c r="CH50" s="55"/>
      <c r="CI50" s="332"/>
      <c r="CJ50" s="308"/>
      <c r="CK50" s="308"/>
      <c r="CL50" s="308"/>
      <c r="CM50" s="299"/>
      <c r="CN50" s="299"/>
      <c r="CO50" t="s">
        <v>452</v>
      </c>
      <c r="CP50" t="s">
        <v>929</v>
      </c>
      <c r="CS50" s="383" t="str">
        <f ca="1"/>
        <v/>
      </c>
      <c r="CT50" s="595" t="str">
        <f ca="1"/>
        <v/>
      </c>
      <c r="CU50" s="595" t="str">
        <f ca="1"/>
        <v/>
      </c>
      <c r="CV50" s="595" t="str">
        <f ca="1"/>
        <v/>
      </c>
      <c r="CW50" s="595" t="str">
        <f ca="1"/>
        <v/>
      </c>
      <c r="CX50" s="299"/>
      <c r="CY50" s="299"/>
      <c r="CZ50" s="299"/>
      <c r="DA50" s="299"/>
      <c r="DB50" s="300"/>
      <c r="DC50" s="206"/>
      <c r="DD50" s="206"/>
      <c r="DE50" s="206"/>
      <c r="DF50" s="206"/>
    </row>
    <row r="51" spans="11:110" x14ac:dyDescent="0.25">
      <c r="K51" t="s">
        <v>453</v>
      </c>
      <c r="Q51" s="50"/>
      <c r="R51" s="222" t="s">
        <v>735</v>
      </c>
      <c r="S51" s="223" t="s">
        <v>458</v>
      </c>
      <c r="T51" s="53"/>
      <c r="V51" t="s">
        <v>453</v>
      </c>
      <c r="AB51" s="50"/>
      <c r="AC51" s="222" t="s">
        <v>686</v>
      </c>
      <c r="AD51" s="223" t="s">
        <v>687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R51" t="s">
        <v>453</v>
      </c>
      <c r="AX51" s="50"/>
      <c r="AY51" s="245" t="s">
        <v>774</v>
      </c>
      <c r="AZ51" s="244" t="s">
        <v>49</v>
      </c>
      <c r="BA51" s="53"/>
      <c r="BI51" s="50"/>
      <c r="BJ51" s="225" t="s">
        <v>762</v>
      </c>
      <c r="BK51" s="219" t="str">
        <f>INDEX('STATIC DATA'!C39:AB39,1,MATCH($A$1,'STATIC DATA'!$C$4:$AB$4,0))</f>
        <v>TGT</v>
      </c>
      <c r="BL51" s="53"/>
      <c r="BN51" t="s">
        <v>453</v>
      </c>
      <c r="BT51" s="50"/>
      <c r="BU51" s="222" t="s">
        <v>775</v>
      </c>
      <c r="BV51" s="216" t="str">
        <f>INDEX('STATIC DATA'!C55:AB55,1,MATCH($A$1,'STATIC DATA'!C4:AB4,0))</f>
        <v>ACT/360</v>
      </c>
      <c r="BW51" s="53"/>
      <c r="BY51" t="s">
        <v>455</v>
      </c>
      <c r="BZ51" t="str">
        <f ca="1"/>
        <v>EURYC</v>
      </c>
      <c r="CE51" s="50"/>
      <c r="CF51" s="55"/>
      <c r="CG51" s="55"/>
      <c r="CH51" s="55"/>
      <c r="CI51" s="332"/>
      <c r="CJ51" s="276"/>
      <c r="CK51" s="277"/>
      <c r="CL51" s="278"/>
      <c r="CM51" s="299"/>
      <c r="CN51" s="299"/>
      <c r="CO51" t="s">
        <v>453</v>
      </c>
      <c r="CP51" t="s">
        <v>1131</v>
      </c>
      <c r="CR51" s="299"/>
      <c r="CS51" s="383" t="str">
        <f ca="1"/>
        <v/>
      </c>
      <c r="CT51" s="595" t="str">
        <f ca="1"/>
        <v/>
      </c>
      <c r="CU51" s="595" t="str">
        <f ca="1"/>
        <v/>
      </c>
      <c r="CV51" s="595" t="str">
        <f ca="1"/>
        <v/>
      </c>
      <c r="CW51" s="595" t="str">
        <f ca="1"/>
        <v/>
      </c>
      <c r="CX51" s="299"/>
      <c r="CY51" s="299"/>
      <c r="CZ51" s="299"/>
      <c r="DA51" s="299"/>
      <c r="DB51" s="300"/>
      <c r="DC51" s="206"/>
      <c r="DD51" s="206"/>
      <c r="DE51" s="206"/>
      <c r="DF51" s="206"/>
    </row>
    <row r="52" spans="11:110" x14ac:dyDescent="0.25">
      <c r="Q52" s="50"/>
      <c r="R52" s="222" t="s">
        <v>736</v>
      </c>
      <c r="S52" s="223" t="s">
        <v>718</v>
      </c>
      <c r="T52" s="53"/>
      <c r="AB52" s="50"/>
      <c r="AC52" s="233" t="s">
        <v>733</v>
      </c>
      <c r="AD52" s="231">
        <v>0.03</v>
      </c>
      <c r="AE52" s="53"/>
      <c r="AM52" s="50"/>
      <c r="AN52" s="222" t="s">
        <v>775</v>
      </c>
      <c r="AO52" s="216" t="str">
        <f>INDEX('STATIC DATA'!C55:AB55,1,MATCH($A$1,'STATIC DATA'!C4:AB4,0))</f>
        <v>ACT/360</v>
      </c>
      <c r="AP52" s="53"/>
      <c r="AX52" s="50"/>
      <c r="AY52" s="222" t="s">
        <v>775</v>
      </c>
      <c r="AZ52" s="216" t="s">
        <v>48</v>
      </c>
      <c r="BA52" s="53"/>
      <c r="BI52" s="50"/>
      <c r="BJ52" s="225" t="s">
        <v>763</v>
      </c>
      <c r="BK52" s="219" t="s">
        <v>5</v>
      </c>
      <c r="BL52" s="53"/>
      <c r="BT52" s="50"/>
      <c r="BU52" s="222" t="s">
        <v>776</v>
      </c>
      <c r="BV52" s="216" t="str">
        <f>INDEX('STATIC DATA'!C39:AB39,1,MATCH("USD",'STATIC DATA'!$C$4:$AB$4,0))</f>
        <v>LNB</v>
      </c>
      <c r="BW52" s="53"/>
      <c r="BY52" t="s">
        <v>456</v>
      </c>
      <c r="BZ52" t="str">
        <f ca="1"/>
        <v>XccyBasis:EURDF_USDCSA</v>
      </c>
      <c r="CE52" s="50"/>
      <c r="CF52" s="55"/>
      <c r="CG52" s="55"/>
      <c r="CH52" s="55"/>
      <c r="CI52" s="332"/>
      <c r="CJ52" s="279"/>
      <c r="CK52" s="280"/>
      <c r="CL52" s="281"/>
      <c r="CM52" s="299"/>
      <c r="CN52" s="299"/>
      <c r="CR52" s="299"/>
      <c r="CS52" s="383" t="str">
        <f ca="1"/>
        <v/>
      </c>
      <c r="CT52" s="595" t="str">
        <f ca="1"/>
        <v/>
      </c>
      <c r="CU52" s="595" t="str">
        <f ca="1"/>
        <v/>
      </c>
      <c r="CV52" s="595" t="str">
        <f ca="1"/>
        <v/>
      </c>
      <c r="CW52" s="595" t="str">
        <f ca="1"/>
        <v/>
      </c>
      <c r="CX52" s="299"/>
      <c r="CY52" s="299"/>
      <c r="CZ52" s="299"/>
      <c r="DA52" s="299"/>
      <c r="DB52" s="300"/>
      <c r="DC52" s="206"/>
      <c r="DD52" s="206"/>
      <c r="DE52" s="206"/>
      <c r="DF52" s="206"/>
    </row>
    <row r="53" spans="11:110" x14ac:dyDescent="0.25">
      <c r="K53" s="2" t="s">
        <v>454</v>
      </c>
      <c r="Q53" s="50"/>
      <c r="R53" s="222" t="s">
        <v>737</v>
      </c>
      <c r="S53" s="223">
        <v>31</v>
      </c>
      <c r="T53" s="53"/>
      <c r="V53" s="2" t="s">
        <v>454</v>
      </c>
      <c r="AB53" s="50"/>
      <c r="AC53" s="222"/>
      <c r="AD53" s="223"/>
      <c r="AE53" s="53"/>
      <c r="AG53" s="2" t="s">
        <v>454</v>
      </c>
      <c r="AM53" s="50"/>
      <c r="AN53" s="222" t="s">
        <v>776</v>
      </c>
      <c r="AO53" s="216" t="str">
        <f>INDEX('STATIC DATA'!C39:AB39,1,MATCH($A$1,'STATIC DATA'!$C$4:$AB$4,0))</f>
        <v>TGT</v>
      </c>
      <c r="AP53" s="53"/>
      <c r="AR53" s="2" t="s">
        <v>454</v>
      </c>
      <c r="AX53" s="50"/>
      <c r="AY53" s="222" t="s">
        <v>776</v>
      </c>
      <c r="AZ53" s="216" t="s">
        <v>608</v>
      </c>
      <c r="BA53" s="53"/>
      <c r="BI53" s="50"/>
      <c r="BJ53" s="220" t="s">
        <v>764</v>
      </c>
      <c r="BK53" s="238" t="s">
        <v>687</v>
      </c>
      <c r="BL53" s="53"/>
      <c r="BN53" s="2" t="s">
        <v>454</v>
      </c>
      <c r="BT53" s="50"/>
      <c r="BU53" s="222" t="s">
        <v>777</v>
      </c>
      <c r="BV53" s="216" t="s">
        <v>458</v>
      </c>
      <c r="BW53" s="53"/>
      <c r="BY53" t="s">
        <v>664</v>
      </c>
      <c r="BZ53" t="str">
        <f ca="1"/>
        <v>0.025000 sec</v>
      </c>
      <c r="CE53" s="50"/>
      <c r="CF53" s="55"/>
      <c r="CG53" s="55"/>
      <c r="CH53" s="55"/>
      <c r="CI53" s="332"/>
      <c r="CJ53" s="323" t="s">
        <v>829</v>
      </c>
      <c r="CK53" s="299"/>
      <c r="CL53" s="283"/>
      <c r="CM53" s="299"/>
      <c r="CN53" s="299"/>
      <c r="CO53" s="2" t="s">
        <v>454</v>
      </c>
      <c r="CQ53" s="2"/>
      <c r="CR53" s="332"/>
      <c r="CS53" s="384" t="str">
        <f ca="1"/>
        <v/>
      </c>
      <c r="CT53" s="596" t="str">
        <f ca="1"/>
        <v/>
      </c>
      <c r="CU53" s="596" t="str">
        <f ca="1"/>
        <v/>
      </c>
      <c r="CV53" s="596" t="str">
        <f ca="1"/>
        <v/>
      </c>
      <c r="CW53" s="596" t="str">
        <f ca="1"/>
        <v/>
      </c>
      <c r="CX53" s="332"/>
      <c r="CY53" s="332"/>
      <c r="CZ53" s="332"/>
      <c r="DA53" s="332"/>
      <c r="DB53" s="300"/>
      <c r="DC53" s="206"/>
      <c r="DD53" s="206"/>
      <c r="DE53" s="206"/>
      <c r="DF53" s="206"/>
    </row>
    <row r="54" spans="11:110" x14ac:dyDescent="0.25">
      <c r="K54" t="s">
        <v>442</v>
      </c>
      <c r="L54" s="290" t="str">
        <f t="array" aca="1" ref="L54:L57" ca="1">_xll.meLWOCurveCalibrate(L48,L49,L45,L50)</f>
        <v>EUR_OIS_CURVE@37:3</v>
      </c>
      <c r="Q54" s="50"/>
      <c r="R54" s="222" t="s">
        <v>738</v>
      </c>
      <c r="S54" s="223" t="s">
        <v>718</v>
      </c>
      <c r="T54" s="53"/>
      <c r="V54" t="s">
        <v>442</v>
      </c>
      <c r="W54" s="647" t="str">
        <f t="array" aca="1" ref="W54:W57" ca="1">IF(ExistsEUROIS,_xll.meLWOCurveCalibrate(W48,W49,W45,W50),"LOAD DEPENDENCY")</f>
        <v>EUR_SWAP_3M_CURVE@38:3</v>
      </c>
      <c r="AB54" s="50"/>
      <c r="AC54" s="225"/>
      <c r="AD54" s="226"/>
      <c r="AE54" s="53"/>
      <c r="AG54" t="s">
        <v>442</v>
      </c>
      <c r="AH54" s="647" t="str">
        <f t="array" aca="1" ref="AH54:AH57" ca="1">IF(ExistsEUR3M,_xll.meLWOCurveCalibrate(AH48,AH49,AH45,AH50),"LOAD DEPENDENCY")</f>
        <v>EUR_SWAP_6M_CURVE@39:3</v>
      </c>
      <c r="AM54" s="50"/>
      <c r="AN54" s="222" t="s">
        <v>777</v>
      </c>
      <c r="AO54" s="216" t="s">
        <v>721</v>
      </c>
      <c r="AP54" s="53"/>
      <c r="AR54" t="s">
        <v>442</v>
      </c>
      <c r="AS54" t="str">
        <f t="array" ref="AS54:AS57">IF($W$58,_xll.meLWOCurveCalibrate($AS$48,$AS$49,$AS$45,$AS$50),"LOAD ZAR3MJ CURVE")</f>
        <v>LOAD ZAR3MJ CURVE</v>
      </c>
      <c r="AX54" s="50"/>
      <c r="AY54" s="222" t="s">
        <v>777</v>
      </c>
      <c r="AZ54" s="216" t="s">
        <v>721</v>
      </c>
      <c r="BA54" s="53"/>
      <c r="BI54" s="50"/>
      <c r="BJ54" s="222" t="s">
        <v>765</v>
      </c>
      <c r="BK54" s="216" t="str">
        <f>INDEX('STATIC DATA'!C39:AB39,1,MATCH($A$1,'STATIC DATA'!$C$4:$AB$4,0))</f>
        <v>TGT</v>
      </c>
      <c r="BL54" s="53"/>
      <c r="BN54" t="s">
        <v>442</v>
      </c>
      <c r="BO54" s="647" t="str">
        <f t="array" aca="1" ref="BO54:BO57" ca="1">IF(ExistsEUR3M,_xll.meLWOCurveCalibrate($BO$48,$BO$49,$BO$45,$BO$50),"LOAD DEPENDENCY")</f>
        <v>EUR_BASIS_1M3M_CURVE@40:3</v>
      </c>
      <c r="BT54" s="50"/>
      <c r="BU54" s="222" t="s">
        <v>778</v>
      </c>
      <c r="BV54" s="216" t="str">
        <f>INDEX('STATIC DATA'!C30:AB30,1,MATCH($A$1,'STATIC DATA'!$C$4:$AB$4,0))</f>
        <v>TGT:NYB:LNB</v>
      </c>
      <c r="BW54" s="53"/>
      <c r="CE54" s="50"/>
      <c r="CF54" s="55"/>
      <c r="CG54" s="55"/>
      <c r="CH54" s="55"/>
      <c r="CI54" s="332"/>
      <c r="CJ54" s="270" t="s">
        <v>831</v>
      </c>
      <c r="CK54" s="271" t="s">
        <v>1067</v>
      </c>
      <c r="CL54" s="283"/>
      <c r="CM54" s="299"/>
      <c r="CN54" s="299"/>
      <c r="CO54" t="s">
        <v>442</v>
      </c>
      <c r="CP54" s="647" t="str">
        <f t="array" aca="1" ref="CP54:CP57" ca="1">IF(AND(ExistsEURXCCY,ExistsJPYXCCY),_xll.meLWOCurveCalibrate(CP48,CP49,CP45,CP50,CP51),"LOAD DEPENDENCY")</f>
        <v>EUR_JPYCSA_CURVE@57:3</v>
      </c>
      <c r="CR54" s="332"/>
      <c r="CS54" s="384" t="str">
        <f ca="1"/>
        <v/>
      </c>
      <c r="CT54" s="596" t="str">
        <f ca="1"/>
        <v/>
      </c>
      <c r="CU54" s="596" t="str">
        <f ca="1"/>
        <v/>
      </c>
      <c r="CV54" s="596" t="str">
        <f ca="1"/>
        <v/>
      </c>
      <c r="CW54" s="596" t="str">
        <f ca="1"/>
        <v/>
      </c>
      <c r="CX54" s="332"/>
      <c r="CY54" s="332"/>
      <c r="CZ54" s="332"/>
      <c r="DA54" s="332"/>
      <c r="DB54" s="300"/>
      <c r="DC54" s="206"/>
      <c r="DD54" s="206"/>
      <c r="DE54" s="206"/>
      <c r="DF54" s="206"/>
    </row>
    <row r="55" spans="11:110" x14ac:dyDescent="0.25">
      <c r="K55" t="s">
        <v>455</v>
      </c>
      <c r="L55" t="str">
        <f ca="1"/>
        <v>EURYC</v>
      </c>
      <c r="Q55" s="50"/>
      <c r="R55" s="222" t="s">
        <v>739</v>
      </c>
      <c r="S55" s="223" t="s">
        <v>5</v>
      </c>
      <c r="T55" s="53"/>
      <c r="V55" t="s">
        <v>455</v>
      </c>
      <c r="W55" s="206" t="str">
        <f ca="1"/>
        <v>EURYC</v>
      </c>
      <c r="AB55" s="50"/>
      <c r="AC55" s="52" t="s">
        <v>713</v>
      </c>
      <c r="AD55" s="52" t="s">
        <v>713</v>
      </c>
      <c r="AE55" s="53"/>
      <c r="AG55" t="s">
        <v>455</v>
      </c>
      <c r="AH55" s="206" t="str">
        <f ca="1"/>
        <v>EURYC</v>
      </c>
      <c r="AM55" s="50"/>
      <c r="AN55" s="222" t="s">
        <v>778</v>
      </c>
      <c r="AO55" s="216" t="str">
        <f>INDEX('STATIC DATA'!C39:AB39,1,MATCH($A$1,'STATIC DATA'!$C$4:$AB$4,0))</f>
        <v>TGT</v>
      </c>
      <c r="AP55" s="53"/>
      <c r="AR55" t="s">
        <v>455</v>
      </c>
      <c r="AS55" t="str">
        <v>LOAD ZAR3MJ CURVE</v>
      </c>
      <c r="AX55" s="50"/>
      <c r="AY55" s="222" t="s">
        <v>778</v>
      </c>
      <c r="AZ55" s="216" t="s">
        <v>608</v>
      </c>
      <c r="BA55" s="53"/>
      <c r="BI55" s="50"/>
      <c r="BJ55" s="222" t="s">
        <v>766</v>
      </c>
      <c r="BK55" s="216" t="str">
        <f>INDEX('STATIC DATA'!C55:AB55,1,MATCH($A$1,'STATIC DATA'!C4:AB4,0))</f>
        <v>ACT/360</v>
      </c>
      <c r="BL55" s="53"/>
      <c r="BN55" t="s">
        <v>455</v>
      </c>
      <c r="BO55" t="str">
        <f ca="1"/>
        <v>EURYC</v>
      </c>
      <c r="BT55" s="50"/>
      <c r="BU55" s="222" t="s">
        <v>779</v>
      </c>
      <c r="BV55" s="216" t="s">
        <v>621</v>
      </c>
      <c r="BW55" s="53"/>
      <c r="CE55" s="50"/>
      <c r="CF55" s="55"/>
      <c r="CG55" s="55"/>
      <c r="CH55" s="55"/>
      <c r="CI55" s="332"/>
      <c r="CK55" s="263" t="str">
        <f ca="1">_xll.meLWOFXCurveCreate(CK54,CG8,CK45)</f>
        <v>FX_CURVE_EURUSD@50:3</v>
      </c>
      <c r="CL55" s="283"/>
      <c r="CM55" s="299"/>
      <c r="CN55" s="299"/>
      <c r="CO55" t="s">
        <v>455</v>
      </c>
      <c r="CP55" t="str">
        <f ca="1"/>
        <v>EURYC</v>
      </c>
      <c r="CR55" s="332"/>
      <c r="CS55" s="384" t="str">
        <f ca="1"/>
        <v/>
      </c>
      <c r="CT55" s="596" t="str">
        <f ca="1"/>
        <v/>
      </c>
      <c r="CU55" s="596" t="str">
        <f ca="1"/>
        <v/>
      </c>
      <c r="CV55" s="596" t="str">
        <f ca="1"/>
        <v/>
      </c>
      <c r="CW55" s="596" t="str">
        <f ca="1"/>
        <v/>
      </c>
      <c r="CX55" s="332"/>
      <c r="CY55" s="332"/>
      <c r="CZ55" s="332"/>
      <c r="DA55" s="332"/>
      <c r="DB55" s="300"/>
      <c r="DC55" s="206"/>
      <c r="DD55" s="206"/>
      <c r="DE55" s="206"/>
      <c r="DF55" s="206"/>
    </row>
    <row r="56" spans="11:110" x14ac:dyDescent="0.25">
      <c r="K56" t="s">
        <v>456</v>
      </c>
      <c r="L56" t="str">
        <f ca="1"/>
        <v>OIS:EUROIS</v>
      </c>
      <c r="Q56" s="50"/>
      <c r="R56" s="222" t="s">
        <v>707</v>
      </c>
      <c r="S56" s="223" t="s">
        <v>687</v>
      </c>
      <c r="T56" s="53"/>
      <c r="V56" t="s">
        <v>456</v>
      </c>
      <c r="W56" s="206" t="str">
        <f ca="1"/>
        <v>STD:EUR3ML</v>
      </c>
      <c r="AB56" s="50"/>
      <c r="AC56" s="54" t="s">
        <v>428</v>
      </c>
      <c r="AD56" s="52" t="s">
        <v>713</v>
      </c>
      <c r="AE56" s="53"/>
      <c r="AG56" t="s">
        <v>456</v>
      </c>
      <c r="AH56" s="206" t="str">
        <f ca="1"/>
        <v>EUR6ML:STD</v>
      </c>
      <c r="AM56" s="50"/>
      <c r="AN56" s="222" t="s">
        <v>779</v>
      </c>
      <c r="AO56" s="216">
        <v>0</v>
      </c>
      <c r="AP56" s="53"/>
      <c r="AR56" t="s">
        <v>456</v>
      </c>
      <c r="AS56" t="str">
        <v>LOAD ZAR3MJ CURVE</v>
      </c>
      <c r="AX56" s="50"/>
      <c r="AY56" s="222" t="s">
        <v>779</v>
      </c>
      <c r="AZ56" s="216">
        <v>0</v>
      </c>
      <c r="BA56" s="53"/>
      <c r="BI56" s="50"/>
      <c r="BJ56" s="222" t="s">
        <v>767</v>
      </c>
      <c r="BK56" s="216" t="s">
        <v>1120</v>
      </c>
      <c r="BL56" s="53"/>
      <c r="BN56" t="s">
        <v>456</v>
      </c>
      <c r="BO56" t="str">
        <f ca="1"/>
        <v>1M3MBasis:EUR1ML</v>
      </c>
      <c r="BT56" s="50"/>
      <c r="BU56" s="222" t="s">
        <v>780</v>
      </c>
      <c r="BV56" s="216" t="s">
        <v>687</v>
      </c>
      <c r="BW56" s="53"/>
      <c r="CE56" s="50"/>
      <c r="CF56" s="55"/>
      <c r="CG56" s="55"/>
      <c r="CH56" s="55"/>
      <c r="CI56" s="332"/>
      <c r="CJ56" s="279"/>
      <c r="CK56" s="282"/>
      <c r="CL56" s="283"/>
      <c r="CM56" s="299"/>
      <c r="CN56" s="299"/>
      <c r="CO56" t="s">
        <v>456</v>
      </c>
      <c r="CP56" t="str">
        <f ca="1"/>
        <v>FwdFXConstJPY:EURDF_JPYCSA</v>
      </c>
      <c r="CR56" s="332"/>
      <c r="CS56" s="384" t="str">
        <f ca="1"/>
        <v/>
      </c>
      <c r="CT56" s="596" t="str">
        <f ca="1"/>
        <v/>
      </c>
      <c r="CU56" s="596" t="str">
        <f ca="1"/>
        <v/>
      </c>
      <c r="CV56" s="596" t="str">
        <f ca="1"/>
        <v/>
      </c>
      <c r="CW56" s="596" t="str">
        <f ca="1"/>
        <v/>
      </c>
      <c r="CX56" s="332"/>
      <c r="CY56" s="332"/>
      <c r="CZ56" s="332"/>
      <c r="DA56" s="332"/>
      <c r="DB56" s="300"/>
      <c r="DC56" s="206"/>
      <c r="DD56" s="206"/>
      <c r="DE56" s="206"/>
      <c r="DF56" s="206"/>
    </row>
    <row r="57" spans="11:110" x14ac:dyDescent="0.25">
      <c r="K57" t="s">
        <v>664</v>
      </c>
      <c r="L57" t="str">
        <f ca="1"/>
        <v>0.057000 sec</v>
      </c>
      <c r="Q57" s="50"/>
      <c r="R57" s="222" t="s">
        <v>740</v>
      </c>
      <c r="S57" s="223" t="s">
        <v>718</v>
      </c>
      <c r="T57" s="53"/>
      <c r="V57" t="s">
        <v>664</v>
      </c>
      <c r="W57" s="206" t="str">
        <f ca="1"/>
        <v>0.016000 sec</v>
      </c>
      <c r="AB57" s="50"/>
      <c r="AC57" s="220" t="s">
        <v>704</v>
      </c>
      <c r="AD57" s="221" t="str">
        <f>INDEX('STATIC DATA'!C43:AB43,1,MATCH($A$1,'STATIC DATA'!$C$4:$AB$4,0))</f>
        <v>TGT</v>
      </c>
      <c r="AE57" s="53"/>
      <c r="AG57" t="s">
        <v>664</v>
      </c>
      <c r="AH57" s="206" t="str">
        <f ca="1"/>
        <v>0.009000 sec</v>
      </c>
      <c r="AM57" s="50"/>
      <c r="AN57" s="222" t="s">
        <v>780</v>
      </c>
      <c r="AO57" s="216" t="s">
        <v>687</v>
      </c>
      <c r="AP57" s="53"/>
      <c r="AR57" t="s">
        <v>664</v>
      </c>
      <c r="AS57" t="str">
        <v>LOAD ZAR3MJ CURVE</v>
      </c>
      <c r="AX57" s="50"/>
      <c r="AY57" s="222" t="s">
        <v>780</v>
      </c>
      <c r="AZ57" s="216" t="s">
        <v>687</v>
      </c>
      <c r="BA57" s="53"/>
      <c r="BI57" s="50"/>
      <c r="BJ57" s="222" t="s">
        <v>768</v>
      </c>
      <c r="BK57" s="239" t="s">
        <v>458</v>
      </c>
      <c r="BL57" s="53"/>
      <c r="BN57" t="s">
        <v>664</v>
      </c>
      <c r="BO57" t="str">
        <f ca="1"/>
        <v>0.026000 sec</v>
      </c>
      <c r="BT57" s="50"/>
      <c r="BU57" s="233" t="s">
        <v>781</v>
      </c>
      <c r="BV57" s="241" t="s">
        <v>886</v>
      </c>
      <c r="BW57" s="53"/>
      <c r="CE57" s="50"/>
      <c r="CF57" s="55"/>
      <c r="CG57" s="55"/>
      <c r="CH57" s="55"/>
      <c r="CI57" s="332"/>
      <c r="CJ57" s="279"/>
      <c r="CK57" s="282"/>
      <c r="CL57" s="283"/>
      <c r="CM57" s="299"/>
      <c r="CN57" s="299"/>
      <c r="CO57" t="s">
        <v>664</v>
      </c>
      <c r="CP57" t="str">
        <f ca="1"/>
        <v>0.001000 sec</v>
      </c>
      <c r="CR57" s="332"/>
      <c r="CS57" s="384" t="str">
        <f ca="1"/>
        <v/>
      </c>
      <c r="CT57" s="596" t="str">
        <f ca="1"/>
        <v/>
      </c>
      <c r="CU57" s="596" t="str">
        <f ca="1"/>
        <v/>
      </c>
      <c r="CV57" s="596" t="str">
        <f ca="1"/>
        <v/>
      </c>
      <c r="CW57" s="596" t="str">
        <f ca="1"/>
        <v/>
      </c>
      <c r="CX57" s="332"/>
      <c r="CY57" s="332"/>
      <c r="CZ57" s="332"/>
      <c r="DA57" s="332"/>
      <c r="DB57" s="300"/>
      <c r="DC57" s="206"/>
      <c r="DD57" s="206"/>
      <c r="DE57" s="206"/>
      <c r="DF57" s="206"/>
    </row>
    <row r="58" spans="11:110" x14ac:dyDescent="0.25">
      <c r="Q58" s="50"/>
      <c r="R58" s="222" t="s">
        <v>697</v>
      </c>
      <c r="S58" s="224">
        <v>1.0000000000000001E-9</v>
      </c>
      <c r="T58" s="53"/>
      <c r="AB58" s="50"/>
      <c r="AC58" s="222" t="s">
        <v>731</v>
      </c>
      <c r="AD58" s="223" t="str">
        <f>INDEX('STATIC DATA'!C53:AB53,1,MATCH(A1,'STATIC DATA'!C4:AB4,0))</f>
        <v>30/360</v>
      </c>
      <c r="AE58" s="53"/>
      <c r="AM58" s="50"/>
      <c r="AN58" s="233" t="s">
        <v>781</v>
      </c>
      <c r="AO58" s="241" t="s">
        <v>782</v>
      </c>
      <c r="AP58" s="53"/>
      <c r="AS58" t="b">
        <f>_xll.meLWOExists(AS54,"CURVE")</f>
        <v>0</v>
      </c>
      <c r="AX58" s="50"/>
      <c r="AY58" s="233" t="s">
        <v>781</v>
      </c>
      <c r="AZ58" s="241" t="s">
        <v>782</v>
      </c>
      <c r="BA58" s="53"/>
      <c r="BI58" s="50"/>
      <c r="BJ58" s="222" t="s">
        <v>769</v>
      </c>
      <c r="BK58" s="216" t="s">
        <v>687</v>
      </c>
      <c r="BL58" s="53"/>
      <c r="BT58" s="50"/>
      <c r="BU58" s="222" t="s">
        <v>811</v>
      </c>
      <c r="BV58" s="216" t="b">
        <v>0</v>
      </c>
      <c r="BW58" s="53"/>
      <c r="CE58" s="50"/>
      <c r="CF58" s="55"/>
      <c r="CG58" s="55"/>
      <c r="CH58" s="55"/>
      <c r="CI58" s="332"/>
      <c r="CJ58" s="279"/>
      <c r="CK58" s="282"/>
      <c r="CL58" s="283"/>
      <c r="CM58" s="299"/>
      <c r="CN58" s="299"/>
      <c r="CR58" s="332"/>
      <c r="CS58" s="384" t="str">
        <f ca="1"/>
        <v/>
      </c>
      <c r="CT58" s="596" t="str">
        <f ca="1"/>
        <v/>
      </c>
      <c r="CU58" s="596" t="str">
        <f ca="1"/>
        <v/>
      </c>
      <c r="CV58" s="596" t="str">
        <f ca="1"/>
        <v/>
      </c>
      <c r="CW58" s="596" t="str">
        <f ca="1"/>
        <v/>
      </c>
      <c r="CX58" s="332"/>
      <c r="CY58" s="332"/>
      <c r="CZ58" s="332"/>
      <c r="DA58" s="332"/>
      <c r="DB58" s="300"/>
      <c r="DC58" s="206"/>
      <c r="DD58" s="206"/>
      <c r="DE58" s="206"/>
      <c r="DF58" s="206"/>
    </row>
    <row r="59" spans="11:110" x14ac:dyDescent="0.25">
      <c r="Q59" s="50"/>
      <c r="R59" s="222" t="s">
        <v>698</v>
      </c>
      <c r="S59" s="223">
        <v>1000</v>
      </c>
      <c r="T59" s="53"/>
      <c r="AB59" s="50"/>
      <c r="AC59" s="222" t="s">
        <v>734</v>
      </c>
      <c r="AD59" s="223" t="str">
        <f>INDEX('STATIC DATA'!C55:AB55,1,MATCH(A1,'STATIC DATA'!C4:AB4,0))</f>
        <v>ACT/360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5" t="s">
        <v>770</v>
      </c>
      <c r="BK59" s="219" t="s">
        <v>5</v>
      </c>
      <c r="BL59" s="53"/>
      <c r="BT59" s="50"/>
      <c r="BU59" s="222" t="s">
        <v>812</v>
      </c>
      <c r="BV59" s="216" t="b">
        <v>1</v>
      </c>
      <c r="BW59" s="53"/>
      <c r="CE59" s="50"/>
      <c r="CF59" s="55"/>
      <c r="CG59" s="55"/>
      <c r="CH59" s="55"/>
      <c r="CI59" s="332"/>
      <c r="CJ59" s="279"/>
      <c r="CK59" s="282"/>
      <c r="CL59" s="283"/>
      <c r="CM59" s="299"/>
      <c r="CN59" s="299"/>
      <c r="CO59" s="332"/>
      <c r="CP59" s="332"/>
      <c r="CQ59" s="332"/>
      <c r="CR59" s="332"/>
      <c r="CS59" s="384" t="str">
        <f ca="1"/>
        <v/>
      </c>
      <c r="CT59" s="596" t="str">
        <f ca="1"/>
        <v/>
      </c>
      <c r="CU59" s="596" t="str">
        <f ca="1"/>
        <v/>
      </c>
      <c r="CV59" s="596" t="str">
        <f ca="1"/>
        <v/>
      </c>
      <c r="CW59" s="596" t="str">
        <f ca="1"/>
        <v/>
      </c>
      <c r="CX59" s="332"/>
      <c r="CY59" s="332"/>
      <c r="CZ59" s="332"/>
      <c r="DA59" s="332"/>
      <c r="DB59" s="300"/>
      <c r="DC59" s="206"/>
      <c r="DD59" s="206"/>
      <c r="DE59" s="206"/>
      <c r="DF59" s="206"/>
    </row>
    <row r="60" spans="11:110" x14ac:dyDescent="0.25">
      <c r="Q60" s="50"/>
      <c r="R60" s="225"/>
      <c r="S60" s="226"/>
      <c r="T60" s="53"/>
      <c r="AB60" s="50"/>
      <c r="AC60" s="222" t="s">
        <v>706</v>
      </c>
      <c r="AD60" s="223" t="str">
        <f>IF(INDEX('STATIC DATA'!C54:AB54,1,MATCH(A1,'STATIC DATA'!C4:AB4,0))="1Y","ANNUAL",(IF(INDEX('STATIC DATA'!C54:AB54,1,MATCH(A1,'STATIC DATA'!C4:AB4,0))="6M","SEMI-ANNUAL", "QUARTERLY")))</f>
        <v>ANNUAL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34" t="s">
        <v>771</v>
      </c>
      <c r="BK60" s="242" t="s">
        <v>1539</v>
      </c>
      <c r="BL60" s="249"/>
      <c r="BT60" s="50"/>
      <c r="BU60" s="222" t="s">
        <v>688</v>
      </c>
      <c r="BV60" s="216">
        <v>31</v>
      </c>
      <c r="BW60" s="53"/>
      <c r="CE60" s="50"/>
      <c r="CF60" s="55"/>
      <c r="CG60" s="55"/>
      <c r="CH60" s="55"/>
      <c r="CI60" s="332"/>
      <c r="CJ60" s="279"/>
      <c r="CK60" s="282"/>
      <c r="CL60" s="283"/>
      <c r="CM60" s="299"/>
      <c r="CN60" s="299"/>
      <c r="CO60" s="332"/>
      <c r="CP60" s="332"/>
      <c r="CQ60" s="332"/>
      <c r="CR60" s="332"/>
      <c r="CS60" s="384" t="str">
        <f ca="1"/>
        <v/>
      </c>
      <c r="CT60" s="596" t="str">
        <f ca="1"/>
        <v/>
      </c>
      <c r="CU60" s="596" t="str">
        <f ca="1"/>
        <v/>
      </c>
      <c r="CV60" s="596" t="str">
        <f ca="1"/>
        <v/>
      </c>
      <c r="CW60" s="596" t="str">
        <f ca="1"/>
        <v/>
      </c>
      <c r="CX60" s="332"/>
      <c r="CY60" s="332"/>
      <c r="CZ60" s="332"/>
      <c r="DA60" s="332"/>
      <c r="DB60" s="300"/>
      <c r="DC60" s="206"/>
      <c r="DD60" s="206"/>
      <c r="DE60" s="206"/>
      <c r="DF60" s="206"/>
    </row>
    <row r="61" spans="11:110" x14ac:dyDescent="0.25">
      <c r="Q61" s="50"/>
      <c r="R61" s="52"/>
      <c r="S61" s="52"/>
      <c r="T61" s="53"/>
      <c r="AB61" s="50"/>
      <c r="AC61" s="222" t="s">
        <v>735</v>
      </c>
      <c r="AD61" s="223" t="str">
        <f>AD13</f>
        <v>SEMI-ANNUAL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34" t="s">
        <v>772</v>
      </c>
      <c r="BK61" s="242" t="s">
        <v>1539</v>
      </c>
      <c r="BL61" s="53"/>
      <c r="BT61" s="50"/>
      <c r="BU61" s="222" t="s">
        <v>689</v>
      </c>
      <c r="BV61" s="216" t="b">
        <v>1</v>
      </c>
      <c r="BW61" s="53"/>
      <c r="CE61" s="50"/>
      <c r="CF61" s="55"/>
      <c r="CG61" s="55"/>
      <c r="CH61" s="55"/>
      <c r="CI61" s="332"/>
      <c r="CJ61" s="279"/>
      <c r="CK61" s="282"/>
      <c r="CL61" s="283"/>
      <c r="CM61" s="299"/>
      <c r="CN61" s="299"/>
      <c r="CO61" s="299"/>
      <c r="CP61" s="299"/>
      <c r="CQ61" s="299"/>
      <c r="CR61" s="299"/>
      <c r="CS61" s="383" t="str">
        <f ca="1"/>
        <v/>
      </c>
      <c r="CT61" s="595" t="str">
        <f ca="1"/>
        <v/>
      </c>
      <c r="CU61" s="595" t="str">
        <f ca="1"/>
        <v/>
      </c>
      <c r="CV61" s="595" t="str">
        <f ca="1"/>
        <v/>
      </c>
      <c r="CW61" s="595" t="str">
        <f ca="1"/>
        <v/>
      </c>
      <c r="CX61" s="299"/>
      <c r="CY61" s="299"/>
      <c r="CZ61" s="299"/>
      <c r="DA61" s="299"/>
      <c r="DB61" s="300"/>
      <c r="DC61" s="206"/>
      <c r="DD61" s="206"/>
      <c r="DE61" s="206"/>
      <c r="DF61" s="206"/>
    </row>
    <row r="62" spans="11:110" x14ac:dyDescent="0.25">
      <c r="Q62" s="50"/>
      <c r="R62" s="52"/>
      <c r="S62" s="52"/>
      <c r="T62" s="53"/>
      <c r="AB62" s="50"/>
      <c r="AC62" s="222" t="s">
        <v>736</v>
      </c>
      <c r="AD62" s="223" t="s">
        <v>718</v>
      </c>
      <c r="AE62" s="53"/>
      <c r="AM62" s="50"/>
      <c r="AN62" s="233" t="s">
        <v>786</v>
      </c>
      <c r="AO62" s="246" t="s">
        <v>46</v>
      </c>
      <c r="AP62" s="53"/>
      <c r="AX62" s="50"/>
      <c r="AY62" s="233" t="s">
        <v>786</v>
      </c>
      <c r="AZ62" s="246" t="s">
        <v>322</v>
      </c>
      <c r="BA62" s="53"/>
      <c r="BI62" s="50"/>
      <c r="BJ62" s="245" t="s">
        <v>774</v>
      </c>
      <c r="BK62" s="244" t="s">
        <v>49</v>
      </c>
      <c r="BL62" s="53"/>
      <c r="BT62" s="50"/>
      <c r="BU62" s="222" t="s">
        <v>740</v>
      </c>
      <c r="BV62" s="216" t="b">
        <v>1</v>
      </c>
      <c r="BW62" s="53"/>
      <c r="CE62" s="50"/>
      <c r="CF62" s="55"/>
      <c r="CG62" s="55"/>
      <c r="CH62" s="55"/>
      <c r="CI62" s="332"/>
      <c r="CJ62" s="279"/>
      <c r="CK62" s="282"/>
      <c r="CL62" s="283"/>
      <c r="CM62" s="299"/>
      <c r="CN62" s="299"/>
      <c r="CO62" s="299"/>
      <c r="CP62" s="299"/>
      <c r="CQ62" s="299"/>
      <c r="CR62" s="299"/>
      <c r="CS62" s="383" t="str">
        <f ca="1"/>
        <v/>
      </c>
      <c r="CT62" s="595" t="str">
        <f ca="1"/>
        <v/>
      </c>
      <c r="CU62" s="595" t="str">
        <f ca="1"/>
        <v/>
      </c>
      <c r="CV62" s="595" t="str">
        <f ca="1"/>
        <v/>
      </c>
      <c r="CW62" s="595" t="str">
        <f ca="1"/>
        <v/>
      </c>
      <c r="CX62" s="299"/>
      <c r="CY62" s="299"/>
      <c r="CZ62" s="299"/>
      <c r="DA62" s="299"/>
      <c r="DB62" s="300"/>
      <c r="DC62" s="206"/>
      <c r="DD62" s="206"/>
      <c r="DE62" s="206"/>
      <c r="DF62" s="206"/>
    </row>
    <row r="63" spans="11:110" x14ac:dyDescent="0.25">
      <c r="Q63" s="50"/>
      <c r="R63" s="52"/>
      <c r="S63" s="52"/>
      <c r="T63" s="53"/>
      <c r="AB63" s="50"/>
      <c r="AC63" s="222" t="s">
        <v>737</v>
      </c>
      <c r="AD63" s="223">
        <v>31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775</v>
      </c>
      <c r="BK63" s="216" t="str">
        <f>INDEX('STATIC DATA'!C55:AB55,1,MATCH($A$1,'STATIC DATA'!C4:AB4,0))</f>
        <v>ACT/360</v>
      </c>
      <c r="BL63" s="53"/>
      <c r="BT63" s="50"/>
      <c r="BU63" s="222" t="s">
        <v>813</v>
      </c>
      <c r="BV63" s="216" t="b">
        <v>0</v>
      </c>
      <c r="BW63" s="53"/>
      <c r="CE63" s="50"/>
      <c r="CF63" s="55"/>
      <c r="CG63" s="55"/>
      <c r="CH63" s="55"/>
      <c r="CI63" s="332"/>
      <c r="CJ63" s="279"/>
      <c r="CK63" s="282"/>
      <c r="CL63" s="283"/>
      <c r="CM63" s="299"/>
      <c r="CN63" s="299"/>
      <c r="CO63" s="299"/>
      <c r="CP63" s="299"/>
      <c r="CQ63" s="299"/>
      <c r="CR63" s="299"/>
      <c r="CS63" s="383" t="str">
        <f ca="1"/>
        <v/>
      </c>
      <c r="CT63" s="595" t="str">
        <f ca="1"/>
        <v/>
      </c>
      <c r="CU63" s="595" t="str">
        <f ca="1"/>
        <v/>
      </c>
      <c r="CV63" s="595" t="str">
        <f ca="1"/>
        <v/>
      </c>
      <c r="CW63" s="595" t="str">
        <f ca="1"/>
        <v/>
      </c>
      <c r="CX63" s="299"/>
      <c r="CY63" s="299"/>
      <c r="CZ63" s="299"/>
      <c r="DA63" s="299"/>
      <c r="DB63" s="300"/>
      <c r="DC63" s="206"/>
      <c r="DD63" s="206"/>
      <c r="DE63" s="206"/>
      <c r="DF63" s="206"/>
    </row>
    <row r="64" spans="11:110" x14ac:dyDescent="0.25">
      <c r="Q64" s="75"/>
      <c r="R64" s="76"/>
      <c r="S64" s="76"/>
      <c r="T64" s="77"/>
      <c r="AB64" s="50"/>
      <c r="AC64" s="222" t="s">
        <v>738</v>
      </c>
      <c r="AD64" s="223" t="s">
        <v>718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776</v>
      </c>
      <c r="BK64" s="216" t="str">
        <f>INDEX('STATIC DATA'!C39:AB39,1,MATCH($A$1,'STATIC DATA'!$C$4:$AB$4,0))</f>
        <v>TGT</v>
      </c>
      <c r="BL64" s="53"/>
      <c r="BT64" s="50"/>
      <c r="BU64" s="233" t="s">
        <v>786</v>
      </c>
      <c r="BV64" s="246" t="s">
        <v>49</v>
      </c>
      <c r="BW64" s="53"/>
      <c r="CE64" s="50"/>
      <c r="CF64" s="55"/>
      <c r="CG64" s="55"/>
      <c r="CH64" s="55"/>
      <c r="CI64" s="332"/>
      <c r="CJ64" s="279"/>
      <c r="CK64" s="282"/>
      <c r="CL64" s="283"/>
      <c r="CM64" s="299"/>
      <c r="CN64" s="299"/>
      <c r="CO64" s="299"/>
      <c r="CP64" s="299"/>
      <c r="CQ64" s="299"/>
      <c r="CR64" s="299"/>
      <c r="CS64" s="383" t="str">
        <f ca="1"/>
        <v/>
      </c>
      <c r="CT64" s="595" t="str">
        <f ca="1"/>
        <v/>
      </c>
      <c r="CU64" s="595" t="str">
        <f ca="1"/>
        <v/>
      </c>
      <c r="CV64" s="595" t="str">
        <f ca="1"/>
        <v/>
      </c>
      <c r="CW64" s="595" t="str">
        <f ca="1"/>
        <v/>
      </c>
      <c r="CX64" s="299"/>
      <c r="CY64" s="299"/>
      <c r="CZ64" s="299"/>
      <c r="DA64" s="299"/>
      <c r="DB64" s="300"/>
      <c r="DC64" s="206"/>
      <c r="DD64" s="206"/>
      <c r="DE64" s="206"/>
      <c r="DF64" s="206"/>
    </row>
    <row r="65" spans="28:111" x14ac:dyDescent="0.25">
      <c r="AB65" s="50"/>
      <c r="AC65" s="222" t="s">
        <v>739</v>
      </c>
      <c r="AD65" s="223" t="str">
        <f>INDEX('STATIC DATA'!C7:AB7,1,MATCH($A$1,'STATIC DATA'!C4:AB4,0))</f>
        <v>2D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777</v>
      </c>
      <c r="BK65" s="216" t="s">
        <v>721</v>
      </c>
      <c r="BL65" s="53"/>
      <c r="BT65" s="50"/>
      <c r="BU65" s="252"/>
      <c r="BV65" s="253"/>
      <c r="BW65" s="53"/>
      <c r="CE65" s="50"/>
      <c r="CF65" s="55"/>
      <c r="CG65" s="55"/>
      <c r="CH65" s="55"/>
      <c r="CI65" s="332"/>
      <c r="CJ65" s="279"/>
      <c r="CK65" s="282"/>
      <c r="CL65" s="283"/>
      <c r="CM65" s="299"/>
      <c r="CN65" s="299"/>
      <c r="CO65" s="299"/>
      <c r="CP65" s="299"/>
      <c r="CQ65" s="299"/>
      <c r="CR65" s="299"/>
      <c r="CS65" s="383" t="str">
        <f ca="1"/>
        <v/>
      </c>
      <c r="CT65" s="595" t="str">
        <f ca="1"/>
        <v/>
      </c>
      <c r="CU65" s="595" t="str">
        <f ca="1"/>
        <v/>
      </c>
      <c r="CV65" s="595" t="str">
        <f ca="1"/>
        <v/>
      </c>
      <c r="CW65" s="595" t="str">
        <f ca="1"/>
        <v/>
      </c>
      <c r="CX65" s="299"/>
      <c r="CY65" s="299"/>
      <c r="CZ65" s="299"/>
      <c r="DA65" s="299"/>
      <c r="DB65" s="300"/>
      <c r="DC65" s="206"/>
      <c r="DD65" s="206"/>
      <c r="DE65" s="206"/>
      <c r="DF65" s="206"/>
    </row>
    <row r="66" spans="28:111" x14ac:dyDescent="0.25">
      <c r="AB66" s="50"/>
      <c r="AC66" s="222" t="s">
        <v>707</v>
      </c>
      <c r="AD66" s="223" t="s">
        <v>687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778</v>
      </c>
      <c r="BK66" s="216" t="str">
        <f>INDEX('STATIC DATA'!C39:AB39,1,MATCH($A$1,'STATIC DATA'!$C$4:$AB$4,0))</f>
        <v>TGT</v>
      </c>
      <c r="BL66" s="53"/>
      <c r="BT66" s="50"/>
      <c r="BU66" s="250"/>
      <c r="BV66" s="254"/>
      <c r="BW66" s="53"/>
      <c r="CE66" s="50"/>
      <c r="CF66" s="52"/>
      <c r="CG66" s="52"/>
      <c r="CH66" s="52"/>
      <c r="CI66" s="299"/>
      <c r="CJ66" s="279"/>
      <c r="CK66" s="282"/>
      <c r="CL66" s="283"/>
      <c r="CM66" s="299"/>
      <c r="CN66" s="299"/>
      <c r="CO66" s="299"/>
      <c r="CP66" s="299"/>
      <c r="CQ66" s="299"/>
      <c r="CR66" s="299"/>
      <c r="CS66" s="383" t="str">
        <f ca="1"/>
        <v/>
      </c>
      <c r="CT66" s="595" t="str">
        <f ca="1"/>
        <v/>
      </c>
      <c r="CU66" s="595" t="str">
        <f ca="1"/>
        <v/>
      </c>
      <c r="CV66" s="595" t="str">
        <f ca="1"/>
        <v/>
      </c>
      <c r="CW66" s="595" t="str">
        <f ca="1"/>
        <v/>
      </c>
      <c r="CX66" s="299"/>
      <c r="CY66" s="299"/>
      <c r="CZ66" s="299"/>
      <c r="DA66" s="299"/>
      <c r="DB66" s="300"/>
      <c r="DC66" s="206"/>
      <c r="DD66" s="206"/>
      <c r="DE66" s="206"/>
      <c r="DF66" s="206"/>
    </row>
    <row r="67" spans="28:111" x14ac:dyDescent="0.25">
      <c r="AB67" s="50"/>
      <c r="AC67" s="222" t="s">
        <v>740</v>
      </c>
      <c r="AD67" s="223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22" t="s">
        <v>779</v>
      </c>
      <c r="BK67" s="216" t="s">
        <v>5</v>
      </c>
      <c r="BL67" s="53"/>
      <c r="BT67" s="50"/>
      <c r="BU67" s="255" t="s">
        <v>814</v>
      </c>
      <c r="BV67" s="256"/>
      <c r="BW67" s="53"/>
      <c r="CE67" s="50"/>
      <c r="CF67" s="52"/>
      <c r="CG67" s="52"/>
      <c r="CH67" s="52"/>
      <c r="CI67" s="299"/>
      <c r="CJ67" s="279"/>
      <c r="CK67" s="282"/>
      <c r="CL67" s="283"/>
      <c r="CM67" s="299"/>
      <c r="CN67" s="299"/>
      <c r="CO67" s="299"/>
      <c r="CP67" s="299"/>
      <c r="CQ67" s="299"/>
      <c r="CR67" s="299"/>
      <c r="CS67" s="383" t="str">
        <f ca="1"/>
        <v/>
      </c>
      <c r="CT67" s="595" t="str">
        <f ca="1"/>
        <v/>
      </c>
      <c r="CU67" s="595" t="str">
        <f ca="1"/>
        <v/>
      </c>
      <c r="CV67" s="595" t="str">
        <f ca="1"/>
        <v/>
      </c>
      <c r="CW67" s="595" t="str">
        <f ca="1"/>
        <v/>
      </c>
      <c r="CX67" s="299"/>
      <c r="CY67" s="299"/>
      <c r="CZ67" s="299"/>
      <c r="DA67" s="299"/>
      <c r="DB67" s="300"/>
      <c r="DC67" s="206"/>
      <c r="DD67" s="206"/>
      <c r="DE67" s="206"/>
      <c r="DF67" s="206"/>
    </row>
    <row r="68" spans="28:111" x14ac:dyDescent="0.25">
      <c r="AB68" s="50"/>
      <c r="AC68" s="222" t="s">
        <v>697</v>
      </c>
      <c r="AD68" s="224">
        <v>1.0000000000000001E-9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2" t="s">
        <v>780</v>
      </c>
      <c r="BK68" s="216" t="s">
        <v>687</v>
      </c>
      <c r="BL68" s="53"/>
      <c r="BT68" s="50"/>
      <c r="BU68" s="225" t="s">
        <v>677</v>
      </c>
      <c r="BV68" s="240" t="str">
        <f>INDEX('STATIC DATA'!C30:AB30,1,MATCH($A$1,'STATIC DATA'!$C$4:$AB$4,0))</f>
        <v>TGT:NYB:LNB</v>
      </c>
      <c r="BW68" s="53"/>
      <c r="CE68" s="50"/>
      <c r="CF68" s="52"/>
      <c r="CG68" s="52"/>
      <c r="CH68" s="52"/>
      <c r="CI68" s="299"/>
      <c r="CJ68" s="279"/>
      <c r="CK68" s="282"/>
      <c r="CL68" s="283"/>
      <c r="CM68" s="299"/>
      <c r="CN68" s="299"/>
      <c r="CO68" s="299"/>
      <c r="CP68" s="299"/>
      <c r="CQ68" s="299"/>
      <c r="CR68" s="299"/>
      <c r="CS68" s="383" t="str">
        <f ca="1"/>
        <v/>
      </c>
      <c r="CT68" s="595" t="str">
        <f ca="1"/>
        <v/>
      </c>
      <c r="CU68" s="595" t="str">
        <f ca="1"/>
        <v/>
      </c>
      <c r="CV68" s="595" t="str">
        <f ca="1"/>
        <v/>
      </c>
      <c r="CW68" s="595" t="str">
        <f ca="1"/>
        <v/>
      </c>
      <c r="CX68" s="299"/>
      <c r="CY68" s="299"/>
      <c r="CZ68" s="299"/>
      <c r="DA68" s="299"/>
      <c r="DB68" s="300"/>
      <c r="DC68" s="206"/>
      <c r="DD68" s="206"/>
      <c r="DE68" s="206"/>
      <c r="DF68" s="206"/>
      <c r="DG68" s="206"/>
    </row>
    <row r="69" spans="28:111" x14ac:dyDescent="0.25">
      <c r="AB69" s="50"/>
      <c r="AC69" s="222" t="s">
        <v>698</v>
      </c>
      <c r="AD69" s="223">
        <v>1000</v>
      </c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33" t="s">
        <v>781</v>
      </c>
      <c r="BK69" s="241" t="s">
        <v>782</v>
      </c>
      <c r="BL69" s="53"/>
      <c r="BT69" s="50"/>
      <c r="BU69" s="225" t="s">
        <v>683</v>
      </c>
      <c r="BV69" s="257" t="s">
        <v>621</v>
      </c>
      <c r="BW69" s="53"/>
      <c r="CE69" s="50"/>
      <c r="CF69" s="52"/>
      <c r="CG69" s="52"/>
      <c r="CH69" s="52"/>
      <c r="CI69" s="299"/>
      <c r="CJ69" s="279"/>
      <c r="CK69" s="282"/>
      <c r="CL69" s="283"/>
      <c r="CM69" s="299"/>
      <c r="CN69" s="299"/>
      <c r="CO69" s="299"/>
      <c r="CP69" s="299"/>
      <c r="CQ69" s="299"/>
      <c r="CR69" s="299"/>
      <c r="CS69" s="383" t="str">
        <f ca="1"/>
        <v/>
      </c>
      <c r="CT69" s="595" t="str">
        <f ca="1"/>
        <v/>
      </c>
      <c r="CU69" s="595" t="str">
        <f ca="1"/>
        <v/>
      </c>
      <c r="CV69" s="595" t="str">
        <f ca="1"/>
        <v/>
      </c>
      <c r="CW69" s="595" t="str">
        <f ca="1"/>
        <v/>
      </c>
      <c r="CX69" s="299"/>
      <c r="CY69" s="299"/>
      <c r="CZ69" s="299"/>
      <c r="DA69" s="299"/>
      <c r="DB69" s="300"/>
      <c r="DC69" s="206"/>
      <c r="DD69" s="206"/>
      <c r="DE69" s="206"/>
      <c r="DF69" s="206"/>
      <c r="DG69" s="206"/>
    </row>
    <row r="70" spans="28:111" x14ac:dyDescent="0.25">
      <c r="AB70" s="50"/>
      <c r="AC70" s="225"/>
      <c r="AD70" s="226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783</v>
      </c>
      <c r="BK70" s="216" t="s">
        <v>718</v>
      </c>
      <c r="BL70" s="53"/>
      <c r="BT70" s="50"/>
      <c r="BU70" s="225" t="s">
        <v>686</v>
      </c>
      <c r="BV70" s="240" t="s">
        <v>816</v>
      </c>
      <c r="BW70" s="53"/>
      <c r="CE70" s="50"/>
      <c r="CF70" s="52"/>
      <c r="CG70" s="52"/>
      <c r="CH70" s="52"/>
      <c r="CI70" s="299"/>
      <c r="CJ70" s="279"/>
      <c r="CK70" s="282"/>
      <c r="CL70" s="283"/>
      <c r="CM70" s="299"/>
      <c r="CN70" s="299"/>
      <c r="CO70" s="299"/>
      <c r="CP70" s="299"/>
      <c r="CQ70" s="299"/>
      <c r="CR70" s="299"/>
      <c r="CS70" s="383" t="str">
        <f ca="1"/>
        <v/>
      </c>
      <c r="CT70" s="595" t="str">
        <f ca="1"/>
        <v/>
      </c>
      <c r="CU70" s="595" t="str">
        <f ca="1"/>
        <v/>
      </c>
      <c r="CV70" s="595" t="str">
        <f ca="1"/>
        <v/>
      </c>
      <c r="CW70" s="595" t="str">
        <f ca="1"/>
        <v/>
      </c>
      <c r="CX70" s="299"/>
      <c r="CY70" s="299"/>
      <c r="CZ70" s="299"/>
      <c r="DA70" s="299"/>
      <c r="DB70" s="300"/>
      <c r="DC70" s="206"/>
      <c r="DD70" s="206"/>
      <c r="DE70" s="206"/>
      <c r="DF70" s="206"/>
      <c r="DG70" s="206"/>
    </row>
    <row r="71" spans="28:111" x14ac:dyDescent="0.25">
      <c r="AB71" s="50"/>
      <c r="AC71" s="52"/>
      <c r="AD71" s="52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784</v>
      </c>
      <c r="BK71" s="216" t="s">
        <v>675</v>
      </c>
      <c r="BL71" s="53"/>
      <c r="BT71" s="50"/>
      <c r="BU71" s="225" t="s">
        <v>689</v>
      </c>
      <c r="BV71" s="240" t="b">
        <v>1</v>
      </c>
      <c r="BW71" s="53"/>
      <c r="CE71" s="50"/>
      <c r="CF71" s="52"/>
      <c r="CG71" s="52"/>
      <c r="CH71" s="52"/>
      <c r="CI71" s="299"/>
      <c r="CJ71" s="279"/>
      <c r="CK71" s="282"/>
      <c r="CL71" s="283"/>
      <c r="CM71" s="299"/>
      <c r="CN71" s="299"/>
      <c r="CO71" s="299"/>
      <c r="CP71" s="299"/>
      <c r="CQ71" s="299"/>
      <c r="CR71" s="299"/>
      <c r="CS71" s="383" t="str">
        <f ca="1"/>
        <v/>
      </c>
      <c r="CT71" s="595" t="str">
        <f ca="1"/>
        <v/>
      </c>
      <c r="CU71" s="595" t="str">
        <f ca="1"/>
        <v/>
      </c>
      <c r="CV71" s="595" t="str">
        <f ca="1"/>
        <v/>
      </c>
      <c r="CW71" s="595" t="str">
        <f ca="1"/>
        <v/>
      </c>
      <c r="CX71" s="299"/>
      <c r="CY71" s="299"/>
      <c r="CZ71" s="299"/>
      <c r="DA71" s="299"/>
      <c r="DB71" s="300"/>
      <c r="DC71" s="206"/>
      <c r="DD71" s="206"/>
      <c r="DE71" s="206"/>
      <c r="DF71" s="206"/>
      <c r="DG71" s="206"/>
    </row>
    <row r="72" spans="28:111" x14ac:dyDescent="0.25">
      <c r="AB72" s="50"/>
      <c r="AC72" s="52"/>
      <c r="AD72" s="52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785</v>
      </c>
      <c r="BK72" s="216" t="s">
        <v>718</v>
      </c>
      <c r="BL72" s="53"/>
      <c r="BT72" s="50"/>
      <c r="BU72" s="225" t="s">
        <v>688</v>
      </c>
      <c r="BV72" s="257">
        <v>31</v>
      </c>
      <c r="BW72" s="53"/>
      <c r="CE72" s="50"/>
      <c r="CF72" s="52"/>
      <c r="CG72" s="52"/>
      <c r="CH72" s="52"/>
      <c r="CI72" s="299"/>
      <c r="CJ72" s="279"/>
      <c r="CK72" s="282"/>
      <c r="CL72" s="283"/>
      <c r="CM72" s="299"/>
      <c r="CN72" s="299"/>
      <c r="CO72" s="299"/>
      <c r="CP72" s="299"/>
      <c r="CQ72" s="299"/>
      <c r="CR72" s="299"/>
      <c r="CS72" s="383" t="str">
        <f ca="1"/>
        <v/>
      </c>
      <c r="CT72" s="595" t="str">
        <f ca="1"/>
        <v/>
      </c>
      <c r="CU72" s="595" t="str">
        <f ca="1"/>
        <v/>
      </c>
      <c r="CV72" s="595" t="str">
        <f ca="1"/>
        <v/>
      </c>
      <c r="CW72" s="595" t="str">
        <f ca="1"/>
        <v/>
      </c>
      <c r="CX72" s="299"/>
      <c r="CY72" s="299"/>
      <c r="CZ72" s="299"/>
      <c r="DA72" s="299"/>
      <c r="DB72" s="300"/>
      <c r="DC72" s="206"/>
      <c r="DD72" s="206"/>
      <c r="DE72" s="206"/>
      <c r="DF72" s="206"/>
      <c r="DG72" s="206"/>
    </row>
    <row r="73" spans="28:111" x14ac:dyDescent="0.25">
      <c r="AB73" s="50"/>
      <c r="AC73" s="52"/>
      <c r="AD73" s="52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3" t="s">
        <v>786</v>
      </c>
      <c r="BK73" s="246" t="s">
        <v>300</v>
      </c>
      <c r="BL73" s="53"/>
      <c r="BT73" s="50"/>
      <c r="BU73" s="234" t="s">
        <v>817</v>
      </c>
      <c r="BV73" s="258">
        <f>IF(INDEX('STATIC DATA'!C49:AB49,1,MATCH($A$1,'STATIC DATA'!C4:AB4,0))=4,10000,IF(INDEX('STATIC DATA'!C49:AB49,1,MATCH($A$1,'STATIC DATA'!C4:AB4,0))=3,1000,100))</f>
        <v>10000</v>
      </c>
      <c r="BW73" s="53"/>
      <c r="CE73" s="50"/>
      <c r="CF73" s="52"/>
      <c r="CG73" s="52"/>
      <c r="CH73" s="52"/>
      <c r="CI73" s="299"/>
      <c r="CJ73" s="279"/>
      <c r="CK73" s="282"/>
      <c r="CL73" s="283"/>
      <c r="CM73" s="299"/>
      <c r="CN73" s="299"/>
      <c r="CO73" s="299"/>
      <c r="CP73" s="299"/>
      <c r="CQ73" s="299"/>
      <c r="CR73" s="299"/>
      <c r="CS73" s="383" t="str">
        <f ca="1"/>
        <v/>
      </c>
      <c r="CT73" s="595" t="str">
        <f ca="1"/>
        <v/>
      </c>
      <c r="CU73" s="595" t="str">
        <f ca="1"/>
        <v/>
      </c>
      <c r="CV73" s="595" t="str">
        <f ca="1"/>
        <v/>
      </c>
      <c r="CW73" s="595" t="str">
        <f ca="1"/>
        <v/>
      </c>
      <c r="CX73" s="299"/>
      <c r="CY73" s="299"/>
      <c r="CZ73" s="299"/>
      <c r="DA73" s="299"/>
      <c r="DB73" s="300"/>
      <c r="DC73" s="206"/>
      <c r="DD73" s="206"/>
      <c r="DE73" s="206"/>
      <c r="DF73" s="206"/>
      <c r="DG73" s="206"/>
    </row>
    <row r="74" spans="28:111" x14ac:dyDescent="0.25">
      <c r="AB74" s="50"/>
      <c r="AC74" s="52"/>
      <c r="AD74" s="52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22" t="s">
        <v>787</v>
      </c>
      <c r="BK74" s="216" t="s">
        <v>720</v>
      </c>
      <c r="BL74" s="53"/>
      <c r="BT74" s="50"/>
      <c r="BU74" s="234" t="s">
        <v>818</v>
      </c>
      <c r="BV74" s="259" t="b">
        <v>0</v>
      </c>
      <c r="BW74" s="53"/>
      <c r="CE74" s="50"/>
      <c r="CF74" s="52"/>
      <c r="CG74" s="52"/>
      <c r="CH74" s="52"/>
      <c r="CI74" s="299"/>
      <c r="CJ74" s="279"/>
      <c r="CK74" s="282"/>
      <c r="CL74" s="283"/>
      <c r="CM74" s="299"/>
      <c r="CN74" s="299"/>
      <c r="CO74" s="299"/>
      <c r="CP74" s="299"/>
      <c r="CQ74" s="299"/>
      <c r="CR74" s="299"/>
      <c r="CS74" s="383" t="str">
        <f ca="1"/>
        <v/>
      </c>
      <c r="CT74" s="595" t="str">
        <f ca="1"/>
        <v/>
      </c>
      <c r="CU74" s="595" t="str">
        <f ca="1"/>
        <v/>
      </c>
      <c r="CV74" s="595" t="str">
        <f ca="1"/>
        <v/>
      </c>
      <c r="CW74" s="595" t="str">
        <f ca="1"/>
        <v/>
      </c>
      <c r="CX74" s="299"/>
      <c r="CY74" s="299"/>
      <c r="CZ74" s="299"/>
      <c r="DA74" s="299"/>
      <c r="DB74" s="300"/>
      <c r="DC74" s="206"/>
      <c r="DD74" s="206"/>
      <c r="DE74" s="206"/>
      <c r="DF74" s="206"/>
      <c r="DG74" s="206"/>
    </row>
    <row r="75" spans="28:111" x14ac:dyDescent="0.25">
      <c r="AB75" s="50"/>
      <c r="AC75" s="52"/>
      <c r="AD75" s="52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697</v>
      </c>
      <c r="BK75" s="240">
        <v>1.0000000000000003E-9</v>
      </c>
      <c r="BL75" s="53"/>
      <c r="BT75" s="50"/>
      <c r="BU75" s="225" t="s">
        <v>679</v>
      </c>
      <c r="BV75" s="240" t="s">
        <v>729</v>
      </c>
      <c r="BW75" s="53"/>
      <c r="CE75" s="50"/>
      <c r="CF75" s="52"/>
      <c r="CG75" s="52"/>
      <c r="CH75" s="52"/>
      <c r="CI75" s="299"/>
      <c r="CJ75" s="264"/>
      <c r="CK75" s="265"/>
      <c r="CL75" s="266"/>
      <c r="CM75" s="299"/>
      <c r="CN75" s="299"/>
      <c r="CO75" s="299"/>
      <c r="CP75" s="299"/>
      <c r="CQ75" s="299"/>
      <c r="CR75" s="299"/>
      <c r="CS75" s="383" t="str">
        <f ca="1"/>
        <v/>
      </c>
      <c r="CT75" s="595" t="str">
        <f ca="1"/>
        <v/>
      </c>
      <c r="CU75" s="595" t="str">
        <f ca="1"/>
        <v/>
      </c>
      <c r="CV75" s="595" t="str">
        <f ca="1"/>
        <v/>
      </c>
      <c r="CW75" s="595" t="str">
        <f ca="1"/>
        <v/>
      </c>
      <c r="CX75" s="299"/>
      <c r="CY75" s="299"/>
      <c r="CZ75" s="299"/>
      <c r="DA75" s="299"/>
      <c r="DB75" s="300"/>
      <c r="DC75" s="206"/>
      <c r="DD75" s="206"/>
      <c r="DE75" s="206"/>
      <c r="DF75" s="206"/>
      <c r="DG75" s="206"/>
    </row>
    <row r="76" spans="28:111" x14ac:dyDescent="0.25">
      <c r="AB76" s="50"/>
      <c r="AC76" s="52"/>
      <c r="AD76" s="52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25" t="s">
        <v>698</v>
      </c>
      <c r="BK76" s="219">
        <v>1000</v>
      </c>
      <c r="BL76" s="53"/>
      <c r="BT76" s="50"/>
      <c r="BU76" s="234" t="s">
        <v>819</v>
      </c>
      <c r="BV76" s="259" t="b">
        <v>0</v>
      </c>
      <c r="BW76" s="53"/>
      <c r="CE76" s="50"/>
      <c r="CF76" s="52"/>
      <c r="CG76" s="52"/>
      <c r="CH76" s="52"/>
      <c r="CI76" s="299"/>
      <c r="CJ76" s="267"/>
      <c r="CK76" s="268"/>
      <c r="CL76" s="269"/>
      <c r="CM76" s="299"/>
      <c r="CN76" s="299"/>
      <c r="CO76" s="299"/>
      <c r="CP76" s="299"/>
      <c r="CQ76" s="299"/>
      <c r="CR76" s="299"/>
      <c r="CS76" s="383" t="str">
        <f ca="1"/>
        <v/>
      </c>
      <c r="CT76" s="595" t="str">
        <f ca="1"/>
        <v/>
      </c>
      <c r="CU76" s="595" t="str">
        <f ca="1"/>
        <v/>
      </c>
      <c r="CV76" s="595" t="str">
        <f ca="1"/>
        <v/>
      </c>
      <c r="CW76" s="595" t="str">
        <f ca="1"/>
        <v/>
      </c>
      <c r="CX76" s="299"/>
      <c r="CY76" s="299"/>
      <c r="CZ76" s="299"/>
      <c r="DA76" s="299"/>
      <c r="DB76" s="300"/>
      <c r="DC76" s="206"/>
      <c r="DD76" s="206"/>
      <c r="DE76" s="206"/>
      <c r="DF76" s="206"/>
      <c r="DG76" s="206"/>
    </row>
    <row r="77" spans="28:111" x14ac:dyDescent="0.25">
      <c r="AB77" s="50"/>
      <c r="AC77" s="52"/>
      <c r="AD77" s="52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225" t="s">
        <v>788</v>
      </c>
      <c r="BK77" s="219" t="s">
        <v>720</v>
      </c>
      <c r="BL77" s="53"/>
      <c r="BT77" s="50"/>
      <c r="BU77" s="85"/>
      <c r="BV77" s="85"/>
      <c r="BW77" s="53"/>
      <c r="CE77" s="50"/>
      <c r="CF77" s="52"/>
      <c r="CG77" s="52"/>
      <c r="CH77" s="52"/>
      <c r="CI77" s="299"/>
      <c r="CJ77" s="299"/>
      <c r="CK77" s="299"/>
      <c r="CL77" s="299"/>
      <c r="CM77" s="299"/>
      <c r="CN77" s="299"/>
      <c r="CO77" s="299"/>
      <c r="CP77" s="299"/>
      <c r="CQ77" s="299"/>
      <c r="CR77" s="299"/>
      <c r="CS77" s="383" t="str">
        <f ca="1"/>
        <v/>
      </c>
      <c r="CT77" s="595" t="str">
        <f ca="1"/>
        <v/>
      </c>
      <c r="CU77" s="595" t="str">
        <f ca="1"/>
        <v/>
      </c>
      <c r="CV77" s="595" t="str">
        <f ca="1"/>
        <v/>
      </c>
      <c r="CW77" s="595" t="str">
        <f ca="1"/>
        <v/>
      </c>
      <c r="CX77" s="299"/>
      <c r="CY77" s="299"/>
      <c r="CZ77" s="299"/>
      <c r="DA77" s="299"/>
      <c r="DB77" s="300"/>
      <c r="DC77" s="206"/>
      <c r="DD77" s="206"/>
      <c r="DE77" s="206"/>
      <c r="DF77" s="206"/>
      <c r="DG77" s="206"/>
    </row>
    <row r="78" spans="28:111" x14ac:dyDescent="0.25">
      <c r="AB78" s="50"/>
      <c r="AC78" s="52"/>
      <c r="AD78" s="52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225" t="s">
        <v>789</v>
      </c>
      <c r="BK78" s="219" t="s">
        <v>718</v>
      </c>
      <c r="BL78" s="53"/>
      <c r="BT78" s="50"/>
      <c r="BU78" s="85"/>
      <c r="BV78" s="85"/>
      <c r="BW78" s="53"/>
      <c r="CE78" s="50"/>
      <c r="CF78" s="52"/>
      <c r="CG78" s="52"/>
      <c r="CH78" s="52"/>
      <c r="CI78" s="299"/>
      <c r="CJ78" s="299"/>
      <c r="CK78" s="299"/>
      <c r="CL78" s="299"/>
      <c r="CM78" s="299"/>
      <c r="CN78" s="299"/>
      <c r="CO78" s="299"/>
      <c r="CP78" s="299"/>
      <c r="CQ78" s="299"/>
      <c r="CR78" s="299"/>
      <c r="CS78" s="383" t="str">
        <f ca="1"/>
        <v/>
      </c>
      <c r="CT78" s="595" t="str">
        <f ca="1"/>
        <v/>
      </c>
      <c r="CU78" s="595" t="str">
        <f ca="1"/>
        <v/>
      </c>
      <c r="CV78" s="595" t="str">
        <f ca="1"/>
        <v/>
      </c>
      <c r="CW78" s="595" t="str">
        <f ca="1"/>
        <v/>
      </c>
      <c r="CX78" s="299"/>
      <c r="CY78" s="299"/>
      <c r="CZ78" s="299"/>
      <c r="DA78" s="299"/>
      <c r="DB78" s="300"/>
      <c r="DC78" s="206"/>
      <c r="DD78" s="206"/>
      <c r="DE78" s="206"/>
      <c r="DF78" s="206"/>
      <c r="DG78" s="206"/>
    </row>
    <row r="79" spans="28:111" x14ac:dyDescent="0.25">
      <c r="AB79" s="50"/>
      <c r="AC79" s="52"/>
      <c r="AD79" s="52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25" t="s">
        <v>688</v>
      </c>
      <c r="BK79" s="219">
        <v>31</v>
      </c>
      <c r="BL79" s="53"/>
      <c r="BT79" s="50"/>
      <c r="BU79" s="251"/>
      <c r="BV79" s="112"/>
      <c r="BW79" s="53"/>
      <c r="CE79" s="50"/>
      <c r="CF79" s="52"/>
      <c r="CG79" s="52"/>
      <c r="CH79" s="52"/>
      <c r="CI79" s="299"/>
      <c r="CJ79" s="299"/>
      <c r="CK79" s="299"/>
      <c r="CL79" s="299"/>
      <c r="CM79" s="299"/>
      <c r="CN79" s="299"/>
      <c r="CO79" s="299"/>
      <c r="CP79" s="299"/>
      <c r="CQ79" s="299"/>
      <c r="CR79" s="299"/>
      <c r="CS79" s="383" t="str">
        <f ca="1"/>
        <v/>
      </c>
      <c r="CT79" s="595" t="str">
        <f ca="1"/>
        <v/>
      </c>
      <c r="CU79" s="595" t="str">
        <f ca="1"/>
        <v/>
      </c>
      <c r="CV79" s="595" t="str">
        <f ca="1"/>
        <v/>
      </c>
      <c r="CW79" s="595" t="str">
        <f ca="1"/>
        <v/>
      </c>
      <c r="CX79" s="299"/>
      <c r="CY79" s="299"/>
      <c r="CZ79" s="299"/>
      <c r="DA79" s="299"/>
      <c r="DB79" s="300"/>
      <c r="DC79" s="206"/>
      <c r="DD79" s="206"/>
      <c r="DE79" s="206"/>
      <c r="DF79" s="206"/>
      <c r="DG79" s="206"/>
    </row>
    <row r="80" spans="28:111" x14ac:dyDescent="0.25">
      <c r="AB80" s="50"/>
      <c r="AC80" s="52"/>
      <c r="AD80" s="52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85"/>
      <c r="BK80" s="85"/>
      <c r="BL80" s="53"/>
      <c r="BT80" s="50"/>
      <c r="BU80" s="251"/>
      <c r="BV80" s="112"/>
      <c r="BW80" s="53"/>
      <c r="CE80" s="50"/>
      <c r="CF80" s="52"/>
      <c r="CG80" s="52"/>
      <c r="CH80" s="52"/>
      <c r="CI80" s="299"/>
      <c r="CJ80" s="332"/>
      <c r="CK80" s="332"/>
      <c r="CL80" s="332"/>
      <c r="CM80" s="299"/>
      <c r="CN80" s="299"/>
      <c r="CO80" s="299"/>
      <c r="CP80" s="299"/>
      <c r="CQ80" s="299"/>
      <c r="CR80" s="299"/>
      <c r="CS80" s="383" t="str">
        <f ca="1"/>
        <v/>
      </c>
      <c r="CT80" s="595" t="str">
        <f ca="1"/>
        <v/>
      </c>
      <c r="CU80" s="595" t="str">
        <f ca="1"/>
        <v/>
      </c>
      <c r="CV80" s="595" t="str">
        <f ca="1"/>
        <v/>
      </c>
      <c r="CW80" s="595" t="str">
        <f ca="1"/>
        <v/>
      </c>
      <c r="CX80" s="299"/>
      <c r="CY80" s="299"/>
      <c r="CZ80" s="299"/>
      <c r="DA80" s="299"/>
      <c r="DB80" s="300"/>
      <c r="DC80" s="206"/>
      <c r="DD80" s="206"/>
      <c r="DE80" s="206"/>
      <c r="DF80" s="206"/>
      <c r="DG80" s="206"/>
    </row>
    <row r="81" spans="28:111" x14ac:dyDescent="0.25">
      <c r="AB81" s="50"/>
      <c r="AC81" s="52"/>
      <c r="AD81" s="52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85"/>
      <c r="BK81" s="85"/>
      <c r="BL81" s="53"/>
      <c r="BT81" s="50"/>
      <c r="BU81" s="251"/>
      <c r="BV81" s="112"/>
      <c r="BW81" s="53"/>
      <c r="CE81" s="50"/>
      <c r="CF81" s="52"/>
      <c r="CG81" s="52"/>
      <c r="CH81" s="52"/>
      <c r="CI81" s="299"/>
      <c r="CJ81" s="332"/>
      <c r="CK81" s="332"/>
      <c r="CL81" s="332"/>
      <c r="CM81" s="299"/>
      <c r="CN81" s="299"/>
      <c r="CO81" s="299"/>
      <c r="CP81" s="299"/>
      <c r="CQ81" s="299"/>
      <c r="CR81" s="299"/>
      <c r="CS81" s="383" t="str">
        <f ca="1"/>
        <v/>
      </c>
      <c r="CT81" s="595" t="str">
        <f ca="1"/>
        <v/>
      </c>
      <c r="CU81" s="595" t="str">
        <f ca="1"/>
        <v/>
      </c>
      <c r="CV81" s="595" t="str">
        <f ca="1"/>
        <v/>
      </c>
      <c r="CW81" s="595" t="str">
        <f ca="1"/>
        <v/>
      </c>
      <c r="CX81" s="299"/>
      <c r="CY81" s="299"/>
      <c r="CZ81" s="299"/>
      <c r="DA81" s="299"/>
      <c r="DB81" s="300"/>
      <c r="DC81" s="206"/>
      <c r="DD81" s="206"/>
      <c r="DE81" s="206"/>
      <c r="DF81" s="206"/>
      <c r="DG81" s="206"/>
    </row>
    <row r="82" spans="28:111" x14ac:dyDescent="0.25">
      <c r="AB82" s="50"/>
      <c r="AC82" s="52"/>
      <c r="AD82" s="52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85"/>
      <c r="BK82" s="85"/>
      <c r="BL82" s="53"/>
      <c r="BT82" s="50"/>
      <c r="BU82" s="251"/>
      <c r="BV82" s="112"/>
      <c r="BW82" s="53"/>
      <c r="CE82" s="50"/>
      <c r="CF82" s="52"/>
      <c r="CG82" s="52"/>
      <c r="CH82" s="52"/>
      <c r="CI82" s="299"/>
      <c r="CJ82" s="332"/>
      <c r="CK82" s="332"/>
      <c r="CL82" s="332"/>
      <c r="CM82" s="299"/>
      <c r="CN82" s="299"/>
      <c r="CO82" s="299"/>
      <c r="CP82" s="299"/>
      <c r="CQ82" s="299"/>
      <c r="CR82" s="299"/>
      <c r="CS82" s="383" t="str">
        <f ca="1"/>
        <v/>
      </c>
      <c r="CT82" s="595" t="str">
        <f ca="1"/>
        <v/>
      </c>
      <c r="CU82" s="595" t="str">
        <f ca="1"/>
        <v/>
      </c>
      <c r="CV82" s="595" t="str">
        <f ca="1"/>
        <v/>
      </c>
      <c r="CW82" s="595" t="str">
        <f ca="1"/>
        <v/>
      </c>
      <c r="CX82" s="299"/>
      <c r="CY82" s="299"/>
      <c r="CZ82" s="299"/>
      <c r="DA82" s="299"/>
      <c r="DB82" s="300"/>
      <c r="DC82" s="206"/>
      <c r="DD82" s="206"/>
      <c r="DE82" s="206"/>
      <c r="DF82" s="206"/>
      <c r="DG82" s="206"/>
    </row>
    <row r="83" spans="28:111" x14ac:dyDescent="0.25">
      <c r="AB83" s="50"/>
      <c r="AC83" s="52"/>
      <c r="AD83" s="52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85"/>
      <c r="BK83" s="85"/>
      <c r="BL83" s="53"/>
      <c r="BT83" s="50"/>
      <c r="BU83" s="251"/>
      <c r="BV83" s="112"/>
      <c r="BW83" s="53"/>
      <c r="CE83" s="50"/>
      <c r="CF83" s="52"/>
      <c r="CG83" s="52"/>
      <c r="CH83" s="52"/>
      <c r="CI83" s="299"/>
      <c r="CJ83" s="332"/>
      <c r="CK83" s="332"/>
      <c r="CL83" s="332"/>
      <c r="CM83" s="299"/>
      <c r="CN83" s="299"/>
      <c r="CO83" s="299"/>
      <c r="CP83" s="299"/>
      <c r="CQ83" s="299"/>
      <c r="CR83" s="299"/>
      <c r="CS83" s="383" t="str">
        <f ca="1"/>
        <v/>
      </c>
      <c r="CT83" s="595" t="str">
        <f ca="1"/>
        <v/>
      </c>
      <c r="CU83" s="595" t="str">
        <f ca="1"/>
        <v/>
      </c>
      <c r="CV83" s="595" t="str">
        <f ca="1"/>
        <v/>
      </c>
      <c r="CW83" s="595" t="str">
        <f ca="1"/>
        <v/>
      </c>
      <c r="CX83" s="299"/>
      <c r="CY83" s="299"/>
      <c r="CZ83" s="299"/>
      <c r="DA83" s="299"/>
      <c r="DB83" s="300"/>
      <c r="DC83" s="206"/>
      <c r="DD83" s="206"/>
      <c r="DE83" s="206"/>
      <c r="DF83" s="206"/>
      <c r="DG83" s="206"/>
    </row>
    <row r="84" spans="28:111" x14ac:dyDescent="0.25">
      <c r="AB84" s="50"/>
      <c r="AC84" s="52"/>
      <c r="AD84" s="52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85"/>
      <c r="BK84" s="85"/>
      <c r="BL84" s="53"/>
      <c r="BT84" s="50"/>
      <c r="BU84" s="251"/>
      <c r="BV84" s="112"/>
      <c r="BW84" s="53"/>
      <c r="CE84" s="50"/>
      <c r="CF84" s="52"/>
      <c r="CG84" s="52"/>
      <c r="CH84" s="52"/>
      <c r="CI84" s="299"/>
      <c r="CJ84" s="332"/>
      <c r="CK84" s="332"/>
      <c r="CL84" s="332"/>
      <c r="CM84" s="332"/>
      <c r="CN84" s="332"/>
      <c r="CO84" s="299"/>
      <c r="CP84" s="299"/>
      <c r="CQ84" s="299"/>
      <c r="CR84" s="299"/>
      <c r="CS84" s="383" t="str">
        <f ca="1"/>
        <v/>
      </c>
      <c r="CT84" s="595" t="str">
        <f ca="1"/>
        <v/>
      </c>
      <c r="CU84" s="595" t="str">
        <f ca="1"/>
        <v/>
      </c>
      <c r="CV84" s="595" t="str">
        <f ca="1"/>
        <v/>
      </c>
      <c r="CW84" s="595" t="str">
        <f ca="1"/>
        <v/>
      </c>
      <c r="CX84" s="299"/>
      <c r="CY84" s="299"/>
      <c r="CZ84" s="299"/>
      <c r="DA84" s="299"/>
      <c r="DB84" s="300"/>
      <c r="DC84" s="206"/>
      <c r="DD84" s="206"/>
      <c r="DE84" s="206"/>
      <c r="DF84" s="206"/>
      <c r="DG84" s="206"/>
    </row>
    <row r="85" spans="28:111" x14ac:dyDescent="0.25">
      <c r="AB85" s="50"/>
      <c r="AC85" s="52"/>
      <c r="AD85" s="52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85"/>
      <c r="BK85" s="85"/>
      <c r="BL85" s="53"/>
      <c r="BT85" s="50"/>
      <c r="BU85" s="251"/>
      <c r="BV85" s="112"/>
      <c r="BW85" s="53"/>
      <c r="CE85" s="50"/>
      <c r="CF85" s="52"/>
      <c r="CG85" s="52"/>
      <c r="CH85" s="52"/>
      <c r="CI85" s="299"/>
      <c r="CJ85" s="332"/>
      <c r="CK85" s="332"/>
      <c r="CL85" s="332"/>
      <c r="CM85" s="332"/>
      <c r="CN85" s="332"/>
      <c r="CO85" s="299"/>
      <c r="CP85" s="299"/>
      <c r="CQ85" s="299"/>
      <c r="CR85" s="299"/>
      <c r="CS85" s="383" t="str">
        <f ca="1"/>
        <v/>
      </c>
      <c r="CT85" s="595" t="str">
        <f ca="1"/>
        <v/>
      </c>
      <c r="CU85" s="595" t="str">
        <f ca="1"/>
        <v/>
      </c>
      <c r="CV85" s="595" t="str">
        <f ca="1"/>
        <v/>
      </c>
      <c r="CW85" s="595" t="str">
        <f ca="1"/>
        <v/>
      </c>
      <c r="CX85" s="299"/>
      <c r="CY85" s="299"/>
      <c r="CZ85" s="299"/>
      <c r="DA85" s="299"/>
      <c r="DB85" s="300"/>
      <c r="DC85" s="206"/>
      <c r="DD85" s="206"/>
      <c r="DE85" s="206"/>
      <c r="DF85" s="206"/>
      <c r="DG85" s="206"/>
    </row>
    <row r="86" spans="28:111" x14ac:dyDescent="0.25">
      <c r="AB86" s="50"/>
      <c r="AC86" s="52"/>
      <c r="AD86" s="52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85"/>
      <c r="BK86" s="85"/>
      <c r="BL86" s="53"/>
      <c r="BT86" s="50"/>
      <c r="BU86" s="251"/>
      <c r="BV86" s="112"/>
      <c r="BW86" s="53"/>
      <c r="CE86" s="50"/>
      <c r="CF86" s="52"/>
      <c r="CG86" s="52"/>
      <c r="CH86" s="52"/>
      <c r="CI86" s="299"/>
      <c r="CJ86" s="332"/>
      <c r="CK86" s="332"/>
      <c r="CL86" s="332"/>
      <c r="CM86" s="332"/>
      <c r="CN86" s="332"/>
      <c r="CO86" s="299"/>
      <c r="CP86" s="299"/>
      <c r="CQ86" s="299"/>
      <c r="CR86" s="299"/>
      <c r="CS86" s="383" t="str">
        <f ca="1"/>
        <v/>
      </c>
      <c r="CT86" s="595" t="str">
        <f ca="1"/>
        <v/>
      </c>
      <c r="CU86" s="595" t="str">
        <f ca="1"/>
        <v/>
      </c>
      <c r="CV86" s="595" t="str">
        <f ca="1"/>
        <v/>
      </c>
      <c r="CW86" s="595" t="str">
        <f ca="1"/>
        <v/>
      </c>
      <c r="CX86" s="299"/>
      <c r="CY86" s="299"/>
      <c r="CZ86" s="299"/>
      <c r="DA86" s="299"/>
      <c r="DB86" s="300"/>
      <c r="DC86" s="206"/>
      <c r="DD86" s="206"/>
      <c r="DE86" s="206"/>
      <c r="DF86" s="206"/>
      <c r="DG86" s="206"/>
    </row>
    <row r="87" spans="28:111" x14ac:dyDescent="0.25">
      <c r="AB87" s="50"/>
      <c r="AC87" s="52"/>
      <c r="AD87" s="52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85"/>
      <c r="BK87" s="85"/>
      <c r="BL87" s="53"/>
      <c r="BT87" s="50"/>
      <c r="BU87" s="251"/>
      <c r="BV87" s="112"/>
      <c r="BW87" s="53"/>
      <c r="CE87" s="50"/>
      <c r="CF87" s="52"/>
      <c r="CG87" s="52"/>
      <c r="CH87" s="52"/>
      <c r="CI87" s="299"/>
      <c r="CJ87" s="332"/>
      <c r="CK87" s="332"/>
      <c r="CL87" s="332"/>
      <c r="CM87" s="332"/>
      <c r="CN87" s="332"/>
      <c r="CO87" s="299"/>
      <c r="CP87" s="299"/>
      <c r="CQ87" s="299"/>
      <c r="CR87" s="299"/>
      <c r="CS87" s="383" t="str">
        <f ca="1"/>
        <v/>
      </c>
      <c r="CT87" s="595" t="str">
        <f ca="1"/>
        <v/>
      </c>
      <c r="CU87" s="595" t="str">
        <f ca="1"/>
        <v/>
      </c>
      <c r="CV87" s="595" t="str">
        <f ca="1"/>
        <v/>
      </c>
      <c r="CW87" s="595" t="str">
        <f ca="1"/>
        <v/>
      </c>
      <c r="CX87" s="299"/>
      <c r="CY87" s="299"/>
      <c r="CZ87" s="299"/>
      <c r="DA87" s="299"/>
      <c r="DB87" s="300"/>
      <c r="DC87" s="206"/>
      <c r="DD87" s="206"/>
      <c r="DE87" s="206"/>
      <c r="DF87" s="206"/>
      <c r="DG87" s="206"/>
    </row>
    <row r="88" spans="28:111" x14ac:dyDescent="0.25">
      <c r="AB88" s="50"/>
      <c r="AC88" s="52"/>
      <c r="AD88" s="52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85"/>
      <c r="BK88" s="85"/>
      <c r="BL88" s="53"/>
      <c r="BT88" s="50"/>
      <c r="BU88" s="251"/>
      <c r="BV88" s="112"/>
      <c r="BW88" s="53"/>
      <c r="CE88" s="50"/>
      <c r="CF88" s="52"/>
      <c r="CG88" s="52"/>
      <c r="CH88" s="52"/>
      <c r="CI88" s="299"/>
      <c r="CJ88" s="332"/>
      <c r="CK88" s="332"/>
      <c r="CL88" s="332"/>
      <c r="CM88" s="332"/>
      <c r="CN88" s="332"/>
      <c r="CO88" s="299"/>
      <c r="CP88" s="299"/>
      <c r="CQ88" s="299"/>
      <c r="CR88" s="299"/>
      <c r="CS88" s="383" t="str">
        <f ca="1"/>
        <v/>
      </c>
      <c r="CT88" s="595" t="str">
        <f ca="1"/>
        <v/>
      </c>
      <c r="CU88" s="595" t="str">
        <f ca="1"/>
        <v/>
      </c>
      <c r="CV88" s="595" t="str">
        <f ca="1"/>
        <v/>
      </c>
      <c r="CW88" s="595" t="str">
        <f ca="1"/>
        <v/>
      </c>
      <c r="CX88" s="299"/>
      <c r="CY88" s="299"/>
      <c r="CZ88" s="299"/>
      <c r="DA88" s="299"/>
      <c r="DB88" s="300"/>
      <c r="DC88" s="206"/>
      <c r="DD88" s="206"/>
      <c r="DE88" s="206"/>
      <c r="DF88" s="206"/>
      <c r="DG88" s="206"/>
    </row>
    <row r="89" spans="28:111" x14ac:dyDescent="0.25">
      <c r="AB89" s="50"/>
      <c r="AC89" s="52"/>
      <c r="AD89" s="52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85"/>
      <c r="BV89" s="85"/>
      <c r="BW89" s="53"/>
      <c r="CE89" s="50"/>
      <c r="CF89" s="52"/>
      <c r="CG89" s="52"/>
      <c r="CH89" s="52"/>
      <c r="CI89" s="299"/>
      <c r="CJ89" s="332"/>
      <c r="CK89" s="332"/>
      <c r="CL89" s="332"/>
      <c r="CM89" s="332"/>
      <c r="CN89" s="332"/>
      <c r="CO89" s="299"/>
      <c r="CP89" s="299"/>
      <c r="CQ89" s="299"/>
      <c r="CR89" s="299"/>
      <c r="CS89" s="383" t="str">
        <f ca="1"/>
        <v/>
      </c>
      <c r="CT89" s="595" t="str">
        <f ca="1"/>
        <v/>
      </c>
      <c r="CU89" s="595" t="str">
        <f ca="1"/>
        <v/>
      </c>
      <c r="CV89" s="595" t="str">
        <f ca="1"/>
        <v/>
      </c>
      <c r="CW89" s="595" t="str">
        <f ca="1"/>
        <v/>
      </c>
      <c r="CX89" s="299"/>
      <c r="CY89" s="299"/>
      <c r="CZ89" s="299"/>
      <c r="DA89" s="299"/>
      <c r="DB89" s="300"/>
      <c r="DC89" s="206"/>
      <c r="DD89" s="206"/>
      <c r="DE89" s="206"/>
      <c r="DF89" s="206"/>
      <c r="DG89" s="206"/>
    </row>
    <row r="90" spans="28:111" x14ac:dyDescent="0.25">
      <c r="AB90" s="50"/>
      <c r="AC90" s="52"/>
      <c r="AD90" s="52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85"/>
      <c r="BV90" s="85"/>
      <c r="BW90" s="53"/>
      <c r="CE90" s="50"/>
      <c r="CF90" s="52"/>
      <c r="CG90" s="52"/>
      <c r="CH90" s="52"/>
      <c r="CI90" s="299"/>
      <c r="CJ90" s="332"/>
      <c r="CK90" s="332"/>
      <c r="CL90" s="332"/>
      <c r="CM90" s="332"/>
      <c r="CN90" s="332"/>
      <c r="CO90" s="299"/>
      <c r="CP90" s="299"/>
      <c r="CQ90" s="299"/>
      <c r="CR90" s="299"/>
      <c r="CS90" s="383" t="str">
        <f ca="1"/>
        <v/>
      </c>
      <c r="CT90" s="595" t="str">
        <f ca="1"/>
        <v/>
      </c>
      <c r="CU90" s="595" t="str">
        <f ca="1"/>
        <v/>
      </c>
      <c r="CV90" s="595" t="str">
        <f ca="1"/>
        <v/>
      </c>
      <c r="CW90" s="595" t="str">
        <f ca="1"/>
        <v/>
      </c>
      <c r="CX90" s="299"/>
      <c r="CY90" s="299"/>
      <c r="CZ90" s="299"/>
      <c r="DA90" s="299"/>
      <c r="DB90" s="300"/>
      <c r="DC90" s="206"/>
      <c r="DD90" s="206"/>
      <c r="DE90" s="206"/>
      <c r="DF90" s="206"/>
      <c r="DG90" s="206"/>
    </row>
    <row r="91" spans="28:111" x14ac:dyDescent="0.25">
      <c r="AB91" s="50"/>
      <c r="AC91" s="52"/>
      <c r="AD91" s="52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85"/>
      <c r="BV91" s="85"/>
      <c r="BW91" s="53"/>
      <c r="CE91" s="50"/>
      <c r="CF91" s="52"/>
      <c r="CG91" s="52"/>
      <c r="CH91" s="52"/>
      <c r="CI91" s="299"/>
      <c r="CJ91" s="332"/>
      <c r="CK91" s="332"/>
      <c r="CL91" s="332"/>
      <c r="CM91" s="332"/>
      <c r="CN91" s="332"/>
      <c r="CO91" s="299"/>
      <c r="CP91" s="299"/>
      <c r="CQ91" s="299"/>
      <c r="CR91" s="299"/>
      <c r="CS91" s="383" t="str">
        <f ca="1"/>
        <v/>
      </c>
      <c r="CT91" s="595" t="str">
        <f ca="1"/>
        <v/>
      </c>
      <c r="CU91" s="595" t="str">
        <f ca="1"/>
        <v/>
      </c>
      <c r="CV91" s="595" t="str">
        <f ca="1"/>
        <v/>
      </c>
      <c r="CW91" s="595" t="str">
        <f ca="1"/>
        <v/>
      </c>
      <c r="CX91" s="299"/>
      <c r="CY91" s="299"/>
      <c r="CZ91" s="299"/>
      <c r="DA91" s="299"/>
      <c r="DB91" s="300"/>
      <c r="DC91" s="206"/>
      <c r="DD91" s="206"/>
      <c r="DE91" s="206"/>
      <c r="DF91" s="206"/>
      <c r="DG91" s="206"/>
    </row>
    <row r="92" spans="28:111" x14ac:dyDescent="0.25">
      <c r="AB92" s="50"/>
      <c r="AC92" s="52"/>
      <c r="AD92" s="52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85"/>
      <c r="BV92" s="85"/>
      <c r="BW92" s="53"/>
      <c r="CE92" s="50"/>
      <c r="CF92" s="52"/>
      <c r="CG92" s="52"/>
      <c r="CH92" s="52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383" t="str">
        <f ca="1"/>
        <v/>
      </c>
      <c r="CT92" s="595" t="str">
        <f ca="1"/>
        <v/>
      </c>
      <c r="CU92" s="595" t="str">
        <f ca="1"/>
        <v/>
      </c>
      <c r="CV92" s="595" t="str">
        <f ca="1"/>
        <v/>
      </c>
      <c r="CW92" s="595" t="str">
        <f ca="1"/>
        <v/>
      </c>
      <c r="CX92" s="299"/>
      <c r="CY92" s="299"/>
      <c r="CZ92" s="299"/>
      <c r="DA92" s="299"/>
      <c r="DB92" s="300"/>
      <c r="DC92" s="206"/>
      <c r="DD92" s="206"/>
      <c r="DE92" s="206"/>
      <c r="DF92" s="206"/>
      <c r="DG92" s="206"/>
    </row>
    <row r="93" spans="28:111" x14ac:dyDescent="0.25">
      <c r="AB93" s="50"/>
      <c r="AC93" s="52"/>
      <c r="AD93" s="52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85"/>
      <c r="BV93" s="85"/>
      <c r="BW93" s="53"/>
      <c r="CE93" s="50"/>
      <c r="CF93" s="52"/>
      <c r="CG93" s="52"/>
      <c r="CH93" s="52"/>
      <c r="CI93" s="299"/>
      <c r="CJ93" s="299"/>
      <c r="CK93" s="299"/>
      <c r="CL93" s="299"/>
      <c r="CM93" s="299"/>
      <c r="CN93" s="299"/>
      <c r="CO93" s="299"/>
      <c r="CP93" s="299"/>
      <c r="CQ93" s="299"/>
      <c r="CR93" s="299"/>
      <c r="CS93" s="383" t="str">
        <f ca="1"/>
        <v/>
      </c>
      <c r="CT93" s="595" t="str">
        <f ca="1"/>
        <v/>
      </c>
      <c r="CU93" s="595" t="str">
        <f ca="1"/>
        <v/>
      </c>
      <c r="CV93" s="595" t="str">
        <f ca="1"/>
        <v/>
      </c>
      <c r="CW93" s="595" t="str">
        <f ca="1"/>
        <v/>
      </c>
      <c r="CX93" s="299"/>
      <c r="CY93" s="299"/>
      <c r="CZ93" s="299"/>
      <c r="DA93" s="299"/>
      <c r="DB93" s="300"/>
      <c r="DC93" s="206"/>
      <c r="DD93" s="206"/>
      <c r="DE93" s="206"/>
      <c r="DF93" s="206"/>
      <c r="DG93" s="206"/>
    </row>
    <row r="94" spans="28:111" x14ac:dyDescent="0.25">
      <c r="AB94" s="50"/>
      <c r="AC94" s="52"/>
      <c r="AD94" s="52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85"/>
      <c r="BV94" s="85"/>
      <c r="BW94" s="53"/>
      <c r="CE94" s="50"/>
      <c r="CF94" s="52"/>
      <c r="CG94" s="52"/>
      <c r="CH94" s="52"/>
      <c r="CI94" s="299"/>
      <c r="CJ94" s="299"/>
      <c r="CK94" s="299"/>
      <c r="CL94" s="299"/>
      <c r="CM94" s="299"/>
      <c r="CN94" s="299"/>
      <c r="CO94" s="298"/>
      <c r="CP94" s="298"/>
      <c r="CQ94" s="298"/>
      <c r="CR94" s="298"/>
      <c r="CS94" s="506" t="str">
        <f ca="1"/>
        <v/>
      </c>
      <c r="CT94" s="597" t="str">
        <f ca="1"/>
        <v/>
      </c>
      <c r="CU94" s="597" t="str">
        <f ca="1"/>
        <v/>
      </c>
      <c r="CV94" s="597" t="str">
        <f ca="1"/>
        <v/>
      </c>
      <c r="CW94" s="597" t="str">
        <f ca="1"/>
        <v/>
      </c>
      <c r="CX94" s="298"/>
      <c r="CY94" s="298"/>
      <c r="CZ94" s="298"/>
      <c r="DA94" s="298"/>
      <c r="DB94" s="301"/>
      <c r="DC94" s="206"/>
      <c r="DD94" s="206"/>
      <c r="DE94" s="206"/>
      <c r="DF94" s="206"/>
      <c r="DG94" s="206"/>
    </row>
    <row r="95" spans="28:111" x14ac:dyDescent="0.25">
      <c r="AB95" s="50"/>
      <c r="AC95" s="52"/>
      <c r="AD95" s="52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85"/>
      <c r="BV95" s="85"/>
      <c r="BW95" s="53"/>
      <c r="CE95" s="50"/>
      <c r="CF95" s="52"/>
      <c r="CG95" s="52"/>
      <c r="CH95" s="52"/>
      <c r="CI95" s="299"/>
      <c r="CJ95" s="299"/>
      <c r="CK95" s="299"/>
      <c r="CL95" s="299"/>
      <c r="CM95" s="299"/>
      <c r="CN95" s="299"/>
      <c r="CO95" s="206"/>
      <c r="CP95" s="206"/>
      <c r="CQ95" s="206"/>
      <c r="CR95" s="206"/>
      <c r="CS95" s="478" t="str">
        <f ca="1"/>
        <v/>
      </c>
      <c r="CT95" s="405" t="str">
        <f ca="1"/>
        <v/>
      </c>
      <c r="CU95" s="405" t="str">
        <f ca="1"/>
        <v/>
      </c>
      <c r="CV95" s="405" t="str">
        <f ca="1"/>
        <v/>
      </c>
      <c r="CW95" s="405" t="str">
        <f ca="1"/>
        <v/>
      </c>
      <c r="CX95" s="206"/>
      <c r="CY95" s="206"/>
      <c r="CZ95" s="206"/>
      <c r="DA95" s="206"/>
      <c r="DB95" s="206"/>
      <c r="DC95" s="206"/>
      <c r="DD95" s="206"/>
      <c r="DE95" s="206"/>
      <c r="DF95" s="206"/>
      <c r="DG95" s="206"/>
    </row>
    <row r="96" spans="28:111" x14ac:dyDescent="0.25">
      <c r="AB96" s="50"/>
      <c r="AC96" s="52"/>
      <c r="AD96" s="52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85"/>
      <c r="BV96" s="85"/>
      <c r="BW96" s="53"/>
      <c r="CE96" s="50"/>
      <c r="CF96" s="52"/>
      <c r="CG96" s="52"/>
      <c r="CH96" s="52"/>
      <c r="CI96" s="299"/>
      <c r="CJ96" s="299"/>
      <c r="CK96" s="299"/>
      <c r="CL96" s="299"/>
      <c r="CM96" s="299"/>
      <c r="CN96" s="299"/>
      <c r="CO96" s="206"/>
      <c r="CP96" s="206"/>
      <c r="CQ96" s="206"/>
      <c r="CR96" s="206"/>
      <c r="CS96" s="478" t="str">
        <f ca="1"/>
        <v/>
      </c>
      <c r="CT96" s="405" t="str">
        <f ca="1"/>
        <v/>
      </c>
      <c r="CU96" s="405" t="str">
        <f ca="1"/>
        <v/>
      </c>
      <c r="CV96" s="405" t="str">
        <f ca="1"/>
        <v/>
      </c>
      <c r="CW96" s="405" t="str">
        <f ca="1"/>
        <v/>
      </c>
      <c r="CX96" s="206"/>
      <c r="CY96" s="206"/>
      <c r="CZ96" s="206"/>
      <c r="DA96" s="206"/>
      <c r="DB96" s="206"/>
      <c r="DC96" s="206"/>
      <c r="DD96" s="206"/>
      <c r="DE96" s="206"/>
      <c r="DF96" s="206"/>
      <c r="DG96" s="206"/>
    </row>
    <row r="97" spans="28:118" x14ac:dyDescent="0.25">
      <c r="AB97" s="50"/>
      <c r="AC97" s="52"/>
      <c r="AD97" s="52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85"/>
      <c r="BK97" s="85"/>
      <c r="BL97" s="53"/>
      <c r="BT97" s="50"/>
      <c r="BU97" s="52"/>
      <c r="BV97" s="52"/>
      <c r="BW97" s="53"/>
      <c r="CE97" s="50"/>
      <c r="CF97" s="52"/>
      <c r="CG97" s="52"/>
      <c r="CH97" s="52"/>
      <c r="CI97" s="299"/>
      <c r="CJ97" s="299"/>
      <c r="CK97" s="299"/>
      <c r="CL97" s="299"/>
      <c r="CM97" s="299"/>
      <c r="CN97" s="299"/>
      <c r="CS97" s="200" t="str">
        <f ca="1"/>
        <v/>
      </c>
      <c r="CT97" s="207" t="str">
        <f ca="1"/>
        <v/>
      </c>
      <c r="CU97" s="207" t="str">
        <f ca="1"/>
        <v/>
      </c>
      <c r="CV97" s="207" t="str">
        <f ca="1"/>
        <v/>
      </c>
      <c r="CW97" s="207" t="str">
        <f ca="1"/>
        <v/>
      </c>
    </row>
    <row r="98" spans="28:118" x14ac:dyDescent="0.25"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50"/>
      <c r="BJ98" s="85"/>
      <c r="BK98" s="85"/>
      <c r="BL98" s="53"/>
      <c r="BT98" s="75"/>
      <c r="BU98" s="76"/>
      <c r="BV98" s="76"/>
      <c r="BW98" s="77"/>
      <c r="CE98" s="75"/>
      <c r="CF98" s="52"/>
      <c r="CG98" s="52"/>
      <c r="CH98" s="52"/>
      <c r="CI98" s="299"/>
      <c r="CJ98" s="299"/>
      <c r="CK98" s="299"/>
      <c r="CL98" s="299"/>
      <c r="CM98" s="299"/>
      <c r="CN98" s="299"/>
      <c r="CS98" s="200" t="str">
        <f ca="1"/>
        <v/>
      </c>
      <c r="CT98" s="207" t="str">
        <f ca="1"/>
        <v/>
      </c>
      <c r="CU98" s="207" t="str">
        <f ca="1"/>
        <v/>
      </c>
      <c r="CV98" s="207" t="str">
        <f ca="1"/>
        <v/>
      </c>
      <c r="CW98" s="207" t="str">
        <f ca="1"/>
        <v/>
      </c>
    </row>
    <row r="99" spans="28:118" x14ac:dyDescent="0.25">
      <c r="BI99" s="50"/>
      <c r="BJ99" s="85"/>
      <c r="BK99" s="85"/>
      <c r="BL99" s="53"/>
      <c r="CE99" s="206"/>
      <c r="CF99" s="298"/>
      <c r="CG99" s="298"/>
      <c r="CH99" s="298"/>
      <c r="CI99" s="299"/>
      <c r="CJ99" s="299"/>
      <c r="CK99" s="299"/>
      <c r="CL99" s="299"/>
      <c r="CM99" s="299"/>
      <c r="CN99" s="299"/>
      <c r="CS99" s="200" t="str">
        <f ca="1"/>
        <v/>
      </c>
      <c r="CT99" s="207" t="str">
        <f ca="1"/>
        <v/>
      </c>
      <c r="CU99" s="207" t="str">
        <f ca="1"/>
        <v/>
      </c>
      <c r="CV99" s="207" t="str">
        <f ca="1"/>
        <v/>
      </c>
      <c r="CW99" s="207" t="str">
        <f ca="1"/>
        <v/>
      </c>
      <c r="DH99" s="206"/>
      <c r="DI99" s="206"/>
      <c r="DJ99" s="206"/>
      <c r="DK99" s="206"/>
      <c r="DL99" s="206"/>
      <c r="DM99" s="206"/>
      <c r="DN99" s="206"/>
    </row>
    <row r="100" spans="28:118" x14ac:dyDescent="0.25">
      <c r="BI100" s="50"/>
      <c r="BJ100" s="85"/>
      <c r="BK100" s="85"/>
      <c r="BL100" s="53"/>
      <c r="CE100" s="206"/>
      <c r="CF100" s="206"/>
      <c r="CG100" s="206"/>
      <c r="CH100" s="206"/>
      <c r="CJ100" s="299"/>
      <c r="CK100" s="299"/>
      <c r="CL100" s="299"/>
      <c r="CM100" s="299"/>
      <c r="CN100" s="299"/>
      <c r="CS100" s="200" t="str">
        <f ca="1"/>
        <v/>
      </c>
      <c r="CT100" s="207" t="str">
        <f ca="1"/>
        <v/>
      </c>
      <c r="CU100" s="207" t="str">
        <f ca="1"/>
        <v/>
      </c>
      <c r="CV100" s="207" t="str">
        <f ca="1"/>
        <v/>
      </c>
      <c r="CW100" s="207" t="str">
        <f ca="1"/>
        <v/>
      </c>
      <c r="DH100" s="206"/>
      <c r="DI100" s="206"/>
      <c r="DJ100" s="206"/>
      <c r="DK100" s="206"/>
      <c r="DL100" s="206"/>
      <c r="DM100" s="206"/>
      <c r="DN100" s="206"/>
    </row>
    <row r="101" spans="28:118" x14ac:dyDescent="0.25">
      <c r="BI101" s="50"/>
      <c r="BJ101" s="85"/>
      <c r="BK101" s="85"/>
      <c r="BL101" s="53"/>
      <c r="CE101" s="206"/>
      <c r="CF101" s="206"/>
      <c r="CG101" s="206"/>
      <c r="CH101" s="206"/>
      <c r="CJ101" s="299"/>
      <c r="CK101" s="299"/>
      <c r="CL101" s="299"/>
      <c r="CM101" s="299"/>
      <c r="CN101" s="299"/>
      <c r="CS101" s="200" t="str">
        <f ca="1"/>
        <v/>
      </c>
      <c r="CT101" s="207" t="str">
        <f ca="1"/>
        <v/>
      </c>
      <c r="CU101" s="207" t="str">
        <f ca="1"/>
        <v/>
      </c>
      <c r="CV101" s="207" t="str">
        <f ca="1"/>
        <v/>
      </c>
      <c r="CW101" s="207" t="str">
        <f ca="1"/>
        <v/>
      </c>
      <c r="DH101" s="206"/>
      <c r="DI101" s="206"/>
      <c r="DJ101" s="206"/>
      <c r="DK101" s="206"/>
      <c r="DL101" s="206"/>
      <c r="DM101" s="206"/>
      <c r="DN101" s="206"/>
    </row>
    <row r="102" spans="28:118" x14ac:dyDescent="0.25">
      <c r="BI102" s="50"/>
      <c r="BJ102" s="85"/>
      <c r="BK102" s="85"/>
      <c r="BL102" s="53"/>
      <c r="CE102" s="206"/>
      <c r="CF102" s="206"/>
      <c r="CG102" s="206"/>
      <c r="CH102" s="206"/>
      <c r="CJ102" s="299"/>
      <c r="CK102" s="299"/>
      <c r="CL102" s="299"/>
      <c r="CM102" s="299"/>
      <c r="CN102" s="299"/>
      <c r="CS102" s="200" t="str">
        <f ca="1"/>
        <v/>
      </c>
      <c r="CT102" s="207" t="str">
        <f ca="1"/>
        <v/>
      </c>
      <c r="CU102" s="207" t="str">
        <f ca="1"/>
        <v/>
      </c>
      <c r="CV102" s="207" t="str">
        <f ca="1"/>
        <v/>
      </c>
      <c r="CW102" s="207" t="str">
        <f ca="1"/>
        <v/>
      </c>
      <c r="DH102" s="206"/>
      <c r="DI102" s="206"/>
      <c r="DJ102" s="206"/>
      <c r="DK102" s="206"/>
      <c r="DL102" s="206"/>
      <c r="DM102" s="206"/>
      <c r="DN102" s="206"/>
    </row>
    <row r="103" spans="28:118" x14ac:dyDescent="0.25">
      <c r="BI103" s="50"/>
      <c r="BJ103" s="85"/>
      <c r="BK103" s="85"/>
      <c r="BL103" s="53"/>
      <c r="CE103" s="206"/>
      <c r="CF103" s="206"/>
      <c r="CG103" s="206"/>
      <c r="CH103" s="206"/>
      <c r="CJ103" s="299"/>
      <c r="CK103" s="299"/>
      <c r="CL103" s="299"/>
      <c r="CM103" s="299"/>
      <c r="CN103" s="299"/>
      <c r="CS103" s="200" t="str">
        <f ca="1"/>
        <v/>
      </c>
      <c r="CT103" s="207" t="str">
        <f ca="1"/>
        <v/>
      </c>
      <c r="CU103" s="207" t="str">
        <f ca="1"/>
        <v/>
      </c>
      <c r="CV103" s="207" t="str">
        <f ca="1"/>
        <v/>
      </c>
      <c r="CW103" s="207" t="str">
        <f ca="1"/>
        <v/>
      </c>
      <c r="DH103" s="206"/>
      <c r="DI103" s="206"/>
      <c r="DJ103" s="206"/>
      <c r="DK103" s="206"/>
      <c r="DL103" s="206"/>
      <c r="DM103" s="206"/>
      <c r="DN103" s="206"/>
    </row>
    <row r="104" spans="28:118" x14ac:dyDescent="0.25">
      <c r="BI104" s="50"/>
      <c r="BJ104" s="85"/>
      <c r="BK104" s="85"/>
      <c r="BL104" s="53"/>
      <c r="CE104" s="206"/>
      <c r="CF104" s="206"/>
      <c r="CG104" s="206"/>
      <c r="CH104" s="206"/>
      <c r="CJ104" s="299"/>
      <c r="CK104" s="299"/>
      <c r="CL104" s="299"/>
      <c r="CM104" s="299"/>
      <c r="CN104" s="299"/>
      <c r="CS104" t="str">
        <f ca="1"/>
        <v/>
      </c>
      <c r="CT104" s="207" t="str">
        <f ca="1"/>
        <v/>
      </c>
      <c r="CU104" s="207" t="str">
        <f ca="1"/>
        <v/>
      </c>
      <c r="CV104" s="207" t="str">
        <f ca="1"/>
        <v/>
      </c>
      <c r="CW104" s="207" t="str">
        <f ca="1"/>
        <v/>
      </c>
      <c r="DH104" s="206"/>
      <c r="DI104" s="206"/>
      <c r="DJ104" s="206"/>
      <c r="DK104" s="206"/>
      <c r="DL104" s="206"/>
      <c r="DM104" s="206"/>
      <c r="DN104" s="206"/>
    </row>
    <row r="105" spans="28:118" x14ac:dyDescent="0.25">
      <c r="BI105" s="50"/>
      <c r="BJ105" s="85"/>
      <c r="BK105" s="85"/>
      <c r="BL105" s="53"/>
      <c r="CE105" s="206"/>
      <c r="CF105" s="206"/>
      <c r="CG105" s="206"/>
      <c r="CH105" s="206"/>
      <c r="CJ105" s="299"/>
      <c r="CK105" s="299"/>
      <c r="CL105" s="299"/>
      <c r="CM105" s="299"/>
      <c r="CN105" s="299"/>
      <c r="CS105" t="str">
        <f ca="1"/>
        <v/>
      </c>
      <c r="CT105" s="207" t="str">
        <f ca="1"/>
        <v/>
      </c>
      <c r="CU105" s="207" t="str">
        <f ca="1"/>
        <v/>
      </c>
      <c r="CV105" s="207" t="str">
        <f ca="1"/>
        <v/>
      </c>
      <c r="CW105" s="207" t="str">
        <f ca="1"/>
        <v/>
      </c>
      <c r="DH105" s="206"/>
      <c r="DI105" s="206"/>
      <c r="DJ105" s="206"/>
      <c r="DK105" s="206"/>
      <c r="DL105" s="206"/>
      <c r="DM105" s="206"/>
      <c r="DN105" s="206"/>
    </row>
    <row r="106" spans="28:118" x14ac:dyDescent="0.25">
      <c r="BI106" s="50"/>
      <c r="BJ106" s="85"/>
      <c r="BK106" s="85"/>
      <c r="BL106" s="53"/>
      <c r="CE106" s="206"/>
      <c r="CF106" s="206"/>
      <c r="CG106" s="206"/>
      <c r="CH106" s="206"/>
      <c r="CJ106" s="299"/>
      <c r="CK106" s="299"/>
      <c r="CL106" s="299"/>
      <c r="CM106" s="299"/>
      <c r="CN106" s="299"/>
      <c r="CS106" t="str">
        <f ca="1"/>
        <v/>
      </c>
      <c r="CT106" s="207" t="str">
        <f ca="1"/>
        <v/>
      </c>
      <c r="CU106" s="207" t="str">
        <f ca="1"/>
        <v/>
      </c>
      <c r="CV106" s="207" t="str">
        <f ca="1"/>
        <v/>
      </c>
      <c r="CW106" s="207" t="str">
        <f ca="1"/>
        <v/>
      </c>
      <c r="DH106" s="206"/>
      <c r="DI106" s="206"/>
      <c r="DJ106" s="206"/>
      <c r="DK106" s="206"/>
      <c r="DL106" s="206"/>
      <c r="DM106" s="206"/>
      <c r="DN106" s="206"/>
    </row>
    <row r="107" spans="28:118" x14ac:dyDescent="0.25">
      <c r="BI107" s="50"/>
      <c r="BJ107" s="85"/>
      <c r="BK107" s="85"/>
      <c r="BL107" s="53"/>
      <c r="CE107" s="206"/>
      <c r="CF107" s="206"/>
      <c r="CG107" s="206"/>
      <c r="CH107" s="206"/>
      <c r="CJ107" s="299"/>
      <c r="CK107" s="299"/>
      <c r="CL107" s="299"/>
      <c r="CM107" s="299"/>
      <c r="CN107" s="299"/>
      <c r="CS107" t="str">
        <f ca="1"/>
        <v/>
      </c>
      <c r="CT107" s="207" t="str">
        <f ca="1"/>
        <v/>
      </c>
      <c r="CU107" s="207" t="str">
        <f ca="1"/>
        <v/>
      </c>
      <c r="CV107" s="207" t="str">
        <f ca="1"/>
        <v/>
      </c>
      <c r="CW107" s="207" t="str">
        <f ca="1"/>
        <v/>
      </c>
      <c r="DH107" s="206"/>
      <c r="DI107" s="206"/>
      <c r="DJ107" s="206"/>
      <c r="DK107" s="206"/>
      <c r="DL107" s="206"/>
      <c r="DM107" s="206"/>
      <c r="DN107" s="206"/>
    </row>
    <row r="108" spans="28:118" x14ac:dyDescent="0.25">
      <c r="BI108" s="50"/>
      <c r="BJ108" s="85"/>
      <c r="BK108" s="85"/>
      <c r="BL108" s="53"/>
      <c r="CE108" s="206"/>
      <c r="CF108" s="206"/>
      <c r="CG108" s="206"/>
      <c r="CH108" s="206"/>
      <c r="CJ108" s="299"/>
      <c r="CK108" s="299"/>
      <c r="CL108" s="299"/>
      <c r="CM108" s="299"/>
      <c r="CN108" s="299"/>
      <c r="CS108" t="str">
        <f ca="1"/>
        <v/>
      </c>
      <c r="CT108" s="207" t="str">
        <f ca="1"/>
        <v/>
      </c>
      <c r="CU108" s="207" t="str">
        <f ca="1"/>
        <v/>
      </c>
      <c r="CV108" s="207" t="str">
        <f ca="1"/>
        <v/>
      </c>
      <c r="CW108" s="207" t="str">
        <f ca="1"/>
        <v/>
      </c>
      <c r="DH108" s="206"/>
      <c r="DI108" s="206"/>
      <c r="DJ108" s="206"/>
      <c r="DK108" s="206"/>
      <c r="DL108" s="206"/>
      <c r="DM108" s="206"/>
      <c r="DN108" s="206"/>
    </row>
    <row r="109" spans="28:118" x14ac:dyDescent="0.25">
      <c r="BI109" s="75"/>
      <c r="BJ109" s="76"/>
      <c r="BK109" s="76"/>
      <c r="BL109" s="77"/>
      <c r="CE109" s="206"/>
      <c r="CF109" s="206"/>
      <c r="CG109" s="206"/>
      <c r="CH109" s="206"/>
      <c r="CJ109" s="299"/>
      <c r="CK109" s="299"/>
      <c r="CL109" s="299"/>
      <c r="CM109" s="299"/>
      <c r="CN109" s="299"/>
      <c r="CS109" t="str">
        <f ca="1"/>
        <v/>
      </c>
      <c r="CT109" s="207" t="str">
        <f ca="1"/>
        <v/>
      </c>
      <c r="CU109" s="207" t="str">
        <f ca="1"/>
        <v/>
      </c>
      <c r="CV109" s="207" t="str">
        <f ca="1"/>
        <v/>
      </c>
      <c r="CW109" s="207" t="str">
        <f ca="1"/>
        <v/>
      </c>
      <c r="DH109" s="206"/>
      <c r="DI109" s="206"/>
      <c r="DJ109" s="206"/>
      <c r="DK109" s="206"/>
      <c r="DL109" s="206"/>
      <c r="DM109" s="206"/>
      <c r="DN109" s="206"/>
    </row>
    <row r="110" spans="28:118" x14ac:dyDescent="0.25">
      <c r="CE110" s="206"/>
      <c r="CF110" s="206"/>
      <c r="CG110" s="206"/>
      <c r="CH110" s="206"/>
      <c r="CJ110" s="299"/>
      <c r="CK110" s="299"/>
      <c r="CL110" s="299"/>
      <c r="CM110" s="299"/>
      <c r="CN110" s="299"/>
      <c r="CS110" t="str">
        <f ca="1"/>
        <v/>
      </c>
      <c r="CT110" s="207" t="str">
        <f ca="1"/>
        <v/>
      </c>
      <c r="CU110" s="207" t="str">
        <f ca="1"/>
        <v/>
      </c>
      <c r="CV110" s="207" t="str">
        <f ca="1"/>
        <v/>
      </c>
      <c r="CW110" s="207" t="str">
        <f ca="1"/>
        <v/>
      </c>
      <c r="DH110" s="206"/>
      <c r="DI110" s="206"/>
      <c r="DJ110" s="206"/>
      <c r="DK110" s="206"/>
      <c r="DL110" s="206"/>
      <c r="DM110" s="206"/>
      <c r="DN110" s="206"/>
    </row>
    <row r="111" spans="28:118" x14ac:dyDescent="0.25">
      <c r="CE111" s="206"/>
      <c r="CF111" s="206"/>
      <c r="CG111" s="206"/>
      <c r="CH111" s="206"/>
      <c r="CJ111" s="299"/>
      <c r="CK111" s="299"/>
      <c r="CL111" s="299"/>
      <c r="CM111" s="299"/>
      <c r="CN111" s="299"/>
      <c r="CS111" t="str">
        <f ca="1"/>
        <v/>
      </c>
      <c r="CT111" s="207" t="str">
        <f ca="1"/>
        <v/>
      </c>
      <c r="CU111" s="207" t="str">
        <f ca="1"/>
        <v/>
      </c>
      <c r="CV111" s="207" t="str">
        <f ca="1"/>
        <v/>
      </c>
      <c r="CW111" s="207" t="str">
        <f ca="1"/>
        <v/>
      </c>
      <c r="DH111" s="206"/>
      <c r="DI111" s="206"/>
      <c r="DJ111" s="206"/>
      <c r="DK111" s="206"/>
      <c r="DL111" s="206"/>
      <c r="DM111" s="206"/>
      <c r="DN111" s="206"/>
    </row>
    <row r="112" spans="28:118" x14ac:dyDescent="0.25">
      <c r="CE112" s="206"/>
      <c r="CF112" s="206"/>
      <c r="CG112" s="206"/>
      <c r="CH112" s="206"/>
      <c r="CJ112" s="299"/>
      <c r="CK112" s="299"/>
      <c r="CL112" s="299"/>
      <c r="CM112" s="299"/>
      <c r="CN112" s="299"/>
      <c r="CS112" t="str">
        <f ca="1"/>
        <v/>
      </c>
      <c r="CT112" s="207" t="str">
        <f ca="1"/>
        <v/>
      </c>
      <c r="CU112" s="207" t="str">
        <f ca="1"/>
        <v/>
      </c>
      <c r="CV112" s="207" t="str">
        <f ca="1"/>
        <v/>
      </c>
      <c r="CW112" s="207" t="str">
        <f ca="1"/>
        <v/>
      </c>
      <c r="DH112" s="206"/>
      <c r="DI112" s="206"/>
      <c r="DJ112" s="206"/>
      <c r="DK112" s="206"/>
      <c r="DL112" s="206"/>
      <c r="DM112" s="206"/>
      <c r="DN112" s="206"/>
    </row>
    <row r="113" spans="83:118" x14ac:dyDescent="0.25">
      <c r="CE113" s="206"/>
      <c r="CF113" s="206"/>
      <c r="CG113" s="206"/>
      <c r="CH113" s="206"/>
      <c r="CJ113" s="299"/>
      <c r="CK113" s="299"/>
      <c r="CL113" s="299"/>
      <c r="CM113" s="299"/>
      <c r="CN113" s="299"/>
      <c r="CS113" t="str">
        <f ca="1"/>
        <v/>
      </c>
      <c r="CT113" s="207" t="str">
        <f ca="1"/>
        <v/>
      </c>
      <c r="CU113" s="207" t="str">
        <f ca="1"/>
        <v/>
      </c>
      <c r="CV113" s="207" t="str">
        <f ca="1"/>
        <v/>
      </c>
      <c r="CW113" s="207" t="str">
        <f ca="1"/>
        <v/>
      </c>
      <c r="DH113" s="206"/>
      <c r="DI113" s="206"/>
      <c r="DJ113" s="206"/>
      <c r="DK113" s="206"/>
      <c r="DL113" s="206"/>
      <c r="DM113" s="206"/>
      <c r="DN113" s="206"/>
    </row>
    <row r="114" spans="83:118" x14ac:dyDescent="0.25">
      <c r="CE114" s="206"/>
      <c r="CF114" s="206"/>
      <c r="CG114" s="206"/>
      <c r="CH114" s="206"/>
      <c r="CJ114" s="299"/>
      <c r="CK114" s="299"/>
      <c r="CL114" s="299"/>
      <c r="CM114" s="299"/>
      <c r="CN114" s="299"/>
      <c r="CS114" t="str">
        <f ca="1"/>
        <v/>
      </c>
      <c r="CT114" s="207" t="str">
        <f ca="1"/>
        <v/>
      </c>
      <c r="CU114" s="207" t="str">
        <f ca="1"/>
        <v/>
      </c>
      <c r="CV114" s="207" t="str">
        <f ca="1"/>
        <v/>
      </c>
      <c r="CW114" s="207" t="str">
        <f ca="1"/>
        <v/>
      </c>
      <c r="DH114" s="206"/>
      <c r="DI114" s="206"/>
      <c r="DJ114" s="206"/>
      <c r="DK114" s="206"/>
      <c r="DL114" s="206"/>
      <c r="DM114" s="206"/>
      <c r="DN114" s="206"/>
    </row>
    <row r="115" spans="83:118" x14ac:dyDescent="0.25">
      <c r="CE115" s="206"/>
      <c r="CF115" s="206"/>
      <c r="CG115" s="206"/>
      <c r="CH115" s="206"/>
      <c r="CJ115" s="299"/>
      <c r="CK115" s="299"/>
      <c r="CL115" s="299"/>
      <c r="CM115" s="299"/>
      <c r="CN115" s="299"/>
      <c r="CS115" t="str">
        <f ca="1"/>
        <v/>
      </c>
      <c r="CT115" s="207" t="str">
        <f ca="1"/>
        <v/>
      </c>
      <c r="CU115" s="207" t="str">
        <f ca="1"/>
        <v/>
      </c>
      <c r="CV115" s="207" t="str">
        <f ca="1"/>
        <v/>
      </c>
      <c r="CW115" s="207" t="str">
        <f ca="1"/>
        <v/>
      </c>
      <c r="DH115" s="206"/>
      <c r="DI115" s="206"/>
      <c r="DJ115" s="206"/>
      <c r="DK115" s="206"/>
      <c r="DL115" s="206"/>
      <c r="DM115" s="206"/>
      <c r="DN115" s="206"/>
    </row>
    <row r="116" spans="83:118" x14ac:dyDescent="0.25">
      <c r="CE116" s="206"/>
      <c r="CF116" s="206"/>
      <c r="CG116" s="206"/>
      <c r="CH116" s="206"/>
      <c r="CJ116" s="299"/>
      <c r="CK116" s="299"/>
      <c r="CL116" s="299"/>
      <c r="CM116" s="299"/>
      <c r="CN116" s="299"/>
      <c r="CS116" t="str">
        <f ca="1"/>
        <v/>
      </c>
      <c r="CT116" s="207" t="str">
        <f ca="1"/>
        <v/>
      </c>
      <c r="CU116" s="207" t="str">
        <f ca="1"/>
        <v/>
      </c>
      <c r="CV116" s="207" t="str">
        <f ca="1"/>
        <v/>
      </c>
      <c r="CW116" s="207" t="str">
        <f ca="1"/>
        <v/>
      </c>
      <c r="DH116" s="206"/>
      <c r="DI116" s="206"/>
      <c r="DJ116" s="206"/>
      <c r="DK116" s="206"/>
      <c r="DL116" s="206"/>
      <c r="DM116" s="206"/>
      <c r="DN116" s="206"/>
    </row>
    <row r="117" spans="83:118" x14ac:dyDescent="0.25">
      <c r="CE117" s="206"/>
      <c r="CF117" s="206"/>
      <c r="CG117" s="206"/>
      <c r="CH117" s="206"/>
      <c r="CJ117" s="299"/>
      <c r="CK117" s="299"/>
      <c r="CL117" s="299"/>
      <c r="CM117" s="299"/>
      <c r="CN117" s="299"/>
      <c r="CS117" t="str">
        <f ca="1"/>
        <v/>
      </c>
      <c r="CT117" s="207" t="str">
        <f ca="1"/>
        <v/>
      </c>
      <c r="CU117" s="207" t="str">
        <f ca="1"/>
        <v/>
      </c>
      <c r="CV117" s="207" t="str">
        <f ca="1"/>
        <v/>
      </c>
      <c r="CW117" s="207" t="str">
        <f ca="1"/>
        <v/>
      </c>
      <c r="DH117" s="206"/>
      <c r="DI117" s="206"/>
      <c r="DJ117" s="206"/>
      <c r="DK117" s="206"/>
      <c r="DL117" s="206"/>
      <c r="DM117" s="206"/>
      <c r="DN117" s="206"/>
    </row>
    <row r="118" spans="83:118" x14ac:dyDescent="0.25">
      <c r="CE118" s="206"/>
      <c r="CF118" s="206"/>
      <c r="CG118" s="206"/>
      <c r="CH118" s="206"/>
      <c r="CJ118" s="299"/>
      <c r="CK118" s="299"/>
      <c r="CL118" s="299"/>
      <c r="CM118" s="299"/>
      <c r="CN118" s="299"/>
      <c r="CS118" t="str">
        <f ca="1"/>
        <v/>
      </c>
      <c r="CT118" s="207" t="str">
        <f ca="1"/>
        <v/>
      </c>
      <c r="CU118" s="207" t="str">
        <f ca="1"/>
        <v/>
      </c>
      <c r="CV118" s="207" t="str">
        <f ca="1"/>
        <v/>
      </c>
      <c r="CW118" s="207" t="str">
        <f ca="1"/>
        <v/>
      </c>
      <c r="DH118" s="206"/>
      <c r="DI118" s="206"/>
      <c r="DJ118" s="206"/>
      <c r="DK118" s="206"/>
      <c r="DL118" s="206"/>
      <c r="DM118" s="206"/>
      <c r="DN118" s="206"/>
    </row>
    <row r="119" spans="83:118" x14ac:dyDescent="0.25">
      <c r="CE119" s="206"/>
      <c r="CF119" s="206"/>
      <c r="CG119" s="206"/>
      <c r="CH119" s="206"/>
      <c r="CJ119" s="299"/>
      <c r="CK119" s="299"/>
      <c r="CL119" s="299"/>
      <c r="CM119" s="299"/>
      <c r="CN119" s="299"/>
      <c r="CS119" t="str">
        <f ca="1"/>
        <v/>
      </c>
      <c r="CT119" s="207" t="str">
        <f ca="1"/>
        <v/>
      </c>
      <c r="CU119" s="207" t="str">
        <f ca="1"/>
        <v/>
      </c>
      <c r="CV119" s="207" t="str">
        <f ca="1"/>
        <v/>
      </c>
      <c r="CW119" s="207" t="str">
        <f ca="1"/>
        <v/>
      </c>
      <c r="DH119" s="206"/>
      <c r="DI119" s="206"/>
      <c r="DJ119" s="206"/>
      <c r="DK119" s="206"/>
      <c r="DL119" s="206"/>
      <c r="DM119" s="206"/>
      <c r="DN119" s="206"/>
    </row>
    <row r="120" spans="83:118" x14ac:dyDescent="0.25">
      <c r="CE120" s="206"/>
      <c r="CF120" s="206"/>
      <c r="CG120" s="206"/>
      <c r="CH120" s="206"/>
      <c r="CJ120" s="299"/>
      <c r="CK120" s="299"/>
      <c r="CL120" s="299"/>
      <c r="CM120" s="299"/>
      <c r="CN120" s="299"/>
      <c r="CS120" t="str">
        <f ca="1"/>
        <v/>
      </c>
      <c r="CT120" s="207" t="str">
        <f ca="1"/>
        <v/>
      </c>
      <c r="CU120" s="207" t="str">
        <f ca="1"/>
        <v/>
      </c>
      <c r="CV120" s="207" t="str">
        <f ca="1"/>
        <v/>
      </c>
      <c r="CW120" s="207" t="str">
        <f ca="1"/>
        <v/>
      </c>
      <c r="DH120" s="206"/>
      <c r="DI120" s="206"/>
      <c r="DJ120" s="206"/>
      <c r="DK120" s="206"/>
      <c r="DL120" s="206"/>
      <c r="DM120" s="206"/>
      <c r="DN120" s="206"/>
    </row>
    <row r="121" spans="83:118" x14ac:dyDescent="0.25">
      <c r="CE121" s="206"/>
      <c r="CF121" s="206"/>
      <c r="CG121" s="206"/>
      <c r="CH121" s="206"/>
      <c r="CJ121" s="299"/>
      <c r="CK121" s="299"/>
      <c r="CL121" s="299"/>
      <c r="CM121" s="299"/>
      <c r="CN121" s="299"/>
      <c r="CS121" t="str">
        <f ca="1"/>
        <v/>
      </c>
      <c r="CT121" s="207" t="str">
        <f ca="1"/>
        <v/>
      </c>
      <c r="CU121" s="207" t="str">
        <f ca="1"/>
        <v/>
      </c>
      <c r="CV121" s="207" t="str">
        <f ca="1"/>
        <v/>
      </c>
      <c r="CW121" s="207" t="str">
        <f ca="1"/>
        <v/>
      </c>
      <c r="DH121" s="206"/>
      <c r="DI121" s="206"/>
      <c r="DJ121" s="206"/>
      <c r="DK121" s="206"/>
      <c r="DL121" s="206"/>
      <c r="DM121" s="206"/>
      <c r="DN121" s="206"/>
    </row>
    <row r="122" spans="83:118" x14ac:dyDescent="0.25">
      <c r="CE122" s="206"/>
      <c r="CF122" s="206"/>
      <c r="CG122" s="206"/>
      <c r="CH122" s="206"/>
      <c r="CJ122" s="299"/>
      <c r="CK122" s="299"/>
      <c r="CL122" s="299"/>
      <c r="CM122" s="299"/>
      <c r="CN122" s="299"/>
      <c r="CS122" t="str">
        <f ca="1"/>
        <v/>
      </c>
      <c r="CT122" s="207" t="str">
        <f ca="1"/>
        <v/>
      </c>
      <c r="CU122" s="207" t="str">
        <f ca="1"/>
        <v/>
      </c>
      <c r="CV122" s="207" t="str">
        <f ca="1"/>
        <v/>
      </c>
      <c r="CW122" s="207" t="str">
        <f ca="1"/>
        <v/>
      </c>
      <c r="DH122" s="206"/>
      <c r="DI122" s="206"/>
      <c r="DJ122" s="206"/>
      <c r="DK122" s="206"/>
      <c r="DL122" s="206"/>
      <c r="DM122" s="206"/>
      <c r="DN122" s="206"/>
    </row>
    <row r="123" spans="83:118" x14ac:dyDescent="0.25">
      <c r="CE123" s="206"/>
      <c r="CF123" s="206"/>
      <c r="CG123" s="206"/>
      <c r="CH123" s="206"/>
      <c r="CJ123" s="299"/>
      <c r="CK123" s="299"/>
      <c r="CL123" s="299"/>
      <c r="CM123" s="299"/>
      <c r="CN123" s="299"/>
      <c r="CS123" t="str">
        <f ca="1"/>
        <v/>
      </c>
      <c r="CT123" s="207" t="str">
        <f ca="1"/>
        <v/>
      </c>
      <c r="CU123" s="207" t="str">
        <f ca="1"/>
        <v/>
      </c>
      <c r="CV123" s="207" t="str">
        <f ca="1"/>
        <v/>
      </c>
      <c r="CW123" s="207" t="str">
        <f ca="1"/>
        <v/>
      </c>
      <c r="DH123" s="206"/>
      <c r="DI123" s="206"/>
      <c r="DJ123" s="206"/>
      <c r="DK123" s="206"/>
      <c r="DL123" s="206"/>
      <c r="DM123" s="206"/>
      <c r="DN123" s="206"/>
    </row>
    <row r="124" spans="83:118" x14ac:dyDescent="0.25">
      <c r="CE124" s="206"/>
      <c r="CF124" s="206"/>
      <c r="CG124" s="206"/>
      <c r="CH124" s="206"/>
      <c r="CJ124" s="299"/>
      <c r="CK124" s="299"/>
      <c r="CL124" s="299"/>
      <c r="CM124" s="299"/>
      <c r="CN124" s="299"/>
      <c r="CS124" t="str">
        <f ca="1"/>
        <v/>
      </c>
      <c r="CT124" s="207" t="str">
        <f ca="1"/>
        <v/>
      </c>
      <c r="CU124" s="207" t="str">
        <f ca="1"/>
        <v/>
      </c>
      <c r="CV124" s="207" t="str">
        <f ca="1"/>
        <v/>
      </c>
      <c r="CW124" s="207" t="str">
        <f ca="1"/>
        <v/>
      </c>
      <c r="DH124" s="206"/>
      <c r="DI124" s="206"/>
      <c r="DJ124" s="206"/>
      <c r="DK124" s="206"/>
      <c r="DL124" s="206"/>
      <c r="DM124" s="206"/>
      <c r="DN124" s="206"/>
    </row>
    <row r="125" spans="83:118" x14ac:dyDescent="0.25">
      <c r="CE125" s="206"/>
      <c r="CF125" s="206"/>
      <c r="CG125" s="206"/>
      <c r="CH125" s="206"/>
      <c r="CJ125" s="298"/>
      <c r="CK125" s="298"/>
      <c r="CL125" s="298"/>
      <c r="CM125" s="298"/>
      <c r="CN125" s="298"/>
      <c r="CS125" t="str">
        <f ca="1"/>
        <v/>
      </c>
      <c r="CT125" s="207" t="str">
        <f ca="1"/>
        <v/>
      </c>
      <c r="CU125" s="207" t="str">
        <f ca="1"/>
        <v/>
      </c>
      <c r="CV125" s="207" t="str">
        <f ca="1"/>
        <v/>
      </c>
      <c r="CW125" s="207" t="str">
        <f ca="1"/>
        <v/>
      </c>
      <c r="DH125" s="206"/>
      <c r="DI125" s="206"/>
      <c r="DJ125" s="206"/>
      <c r="DK125" s="206"/>
      <c r="DL125" s="206"/>
      <c r="DM125" s="206"/>
      <c r="DN125" s="206"/>
    </row>
    <row r="126" spans="83:118" x14ac:dyDescent="0.25">
      <c r="CE126" s="206"/>
      <c r="CF126" s="206"/>
      <c r="CG126" s="206"/>
      <c r="CH126" s="206"/>
      <c r="CJ126" s="206"/>
      <c r="CK126" s="206"/>
      <c r="CL126" s="206"/>
      <c r="CM126" s="206"/>
      <c r="CN126" s="206"/>
      <c r="CS126" t="str">
        <f ca="1"/>
        <v/>
      </c>
      <c r="CT126" s="207" t="str">
        <f ca="1"/>
        <v/>
      </c>
      <c r="CU126" s="207" t="str">
        <f ca="1"/>
        <v/>
      </c>
      <c r="CV126" s="207" t="str">
        <f ca="1"/>
        <v/>
      </c>
      <c r="CW126" s="207" t="str">
        <f ca="1"/>
        <v/>
      </c>
      <c r="DH126" s="206"/>
      <c r="DI126" s="206"/>
      <c r="DJ126" s="206"/>
      <c r="DK126" s="206"/>
      <c r="DL126" s="206"/>
      <c r="DM126" s="206"/>
      <c r="DN126" s="206"/>
    </row>
    <row r="127" spans="83:118" x14ac:dyDescent="0.25">
      <c r="CE127" s="206"/>
      <c r="CF127" s="206"/>
      <c r="CG127" s="206"/>
      <c r="CH127" s="206"/>
      <c r="CJ127" s="206"/>
      <c r="CK127" s="206"/>
      <c r="CL127" s="206"/>
      <c r="CM127" s="206"/>
      <c r="CN127" s="206"/>
      <c r="CS127" t="str">
        <f ca="1"/>
        <v/>
      </c>
      <c r="CT127" s="207" t="str">
        <f ca="1"/>
        <v/>
      </c>
      <c r="CU127" s="207" t="str">
        <f ca="1"/>
        <v/>
      </c>
      <c r="CV127" s="207" t="str">
        <f ca="1"/>
        <v/>
      </c>
      <c r="CW127" s="207" t="str">
        <f ca="1"/>
        <v/>
      </c>
      <c r="DH127" s="206"/>
      <c r="DI127" s="206"/>
      <c r="DJ127" s="206"/>
      <c r="DK127" s="206"/>
      <c r="DL127" s="206"/>
      <c r="DM127" s="206"/>
      <c r="DN127" s="206"/>
    </row>
    <row r="128" spans="83:118" x14ac:dyDescent="0.25">
      <c r="CS128" t="str">
        <f ca="1"/>
        <v/>
      </c>
      <c r="CT128" s="207" t="str">
        <f ca="1"/>
        <v/>
      </c>
      <c r="CU128" s="207" t="str">
        <f ca="1"/>
        <v/>
      </c>
      <c r="CV128" s="207" t="str">
        <f ca="1"/>
        <v/>
      </c>
      <c r="CW128" s="207" t="str">
        <f ca="1"/>
        <v/>
      </c>
    </row>
    <row r="129" spans="97:101" x14ac:dyDescent="0.25">
      <c r="CS129" t="str">
        <f ca="1"/>
        <v/>
      </c>
      <c r="CT129" s="207" t="str">
        <f ca="1"/>
        <v/>
      </c>
      <c r="CU129" s="207" t="str">
        <f ca="1"/>
        <v/>
      </c>
      <c r="CV129" s="207" t="str">
        <f ca="1"/>
        <v/>
      </c>
      <c r="CW129" s="207" t="str">
        <f ca="1"/>
        <v/>
      </c>
    </row>
    <row r="130" spans="97:101" x14ac:dyDescent="0.25">
      <c r="CS130" t="str">
        <f ca="1"/>
        <v/>
      </c>
      <c r="CT130" s="207" t="str">
        <f ca="1"/>
        <v/>
      </c>
      <c r="CU130" s="207" t="str">
        <f ca="1"/>
        <v/>
      </c>
      <c r="CV130" s="207" t="str">
        <f ca="1"/>
        <v/>
      </c>
      <c r="CW130" s="207" t="str">
        <f ca="1"/>
        <v/>
      </c>
    </row>
    <row r="131" spans="97:101" x14ac:dyDescent="0.25">
      <c r="CS131" t="str">
        <f ca="1"/>
        <v/>
      </c>
      <c r="CT131" s="207" t="str">
        <f ca="1"/>
        <v/>
      </c>
      <c r="CU131" s="207" t="str">
        <f ca="1"/>
        <v/>
      </c>
      <c r="CV131" s="207" t="str">
        <f ca="1"/>
        <v/>
      </c>
      <c r="CW131" s="207" t="str">
        <f ca="1"/>
        <v/>
      </c>
    </row>
    <row r="132" spans="97:101" x14ac:dyDescent="0.25">
      <c r="CS132" t="str">
        <f ca="1"/>
        <v/>
      </c>
      <c r="CT132" s="207" t="str">
        <f ca="1"/>
        <v/>
      </c>
      <c r="CU132" s="207" t="str">
        <f ca="1"/>
        <v/>
      </c>
      <c r="CV132" s="207" t="str">
        <f ca="1"/>
        <v/>
      </c>
      <c r="CW132" s="207" t="str">
        <f ca="1"/>
        <v/>
      </c>
    </row>
    <row r="133" spans="97:101" x14ac:dyDescent="0.25">
      <c r="CS133" t="str">
        <f ca="1"/>
        <v/>
      </c>
      <c r="CT133" s="207" t="str">
        <f ca="1"/>
        <v/>
      </c>
      <c r="CU133" s="207" t="str">
        <f ca="1"/>
        <v/>
      </c>
      <c r="CV133" s="207" t="str">
        <f ca="1"/>
        <v/>
      </c>
      <c r="CW133" s="207" t="str">
        <f ca="1"/>
        <v/>
      </c>
    </row>
    <row r="134" spans="97:101" x14ac:dyDescent="0.25">
      <c r="CS134" t="str">
        <f ca="1"/>
        <v/>
      </c>
      <c r="CT134" s="207" t="str">
        <f ca="1"/>
        <v/>
      </c>
      <c r="CU134" s="207" t="str">
        <f ca="1"/>
        <v/>
      </c>
      <c r="CV134" s="207" t="str">
        <f ca="1"/>
        <v/>
      </c>
      <c r="CW134" s="207" t="str">
        <f ca="1"/>
        <v/>
      </c>
    </row>
    <row r="135" spans="97:101" x14ac:dyDescent="0.25">
      <c r="CS135" t="str">
        <f ca="1"/>
        <v/>
      </c>
      <c r="CT135" s="207" t="str">
        <f ca="1"/>
        <v/>
      </c>
      <c r="CU135" s="207" t="str">
        <f ca="1"/>
        <v/>
      </c>
      <c r="CV135" s="207" t="str">
        <f ca="1"/>
        <v/>
      </c>
      <c r="CW135" s="207" t="str">
        <f ca="1"/>
        <v/>
      </c>
    </row>
    <row r="136" spans="97:101" x14ac:dyDescent="0.25">
      <c r="CS136" t="str">
        <f ca="1"/>
        <v/>
      </c>
      <c r="CT136" s="207" t="str">
        <f ca="1"/>
        <v/>
      </c>
      <c r="CU136" s="207" t="str">
        <f ca="1"/>
        <v/>
      </c>
      <c r="CV136" s="207" t="str">
        <f ca="1"/>
        <v/>
      </c>
      <c r="CW136" s="207" t="str">
        <f ca="1"/>
        <v/>
      </c>
    </row>
    <row r="137" spans="97:101" x14ac:dyDescent="0.25">
      <c r="CS137" t="str">
        <f ca="1"/>
        <v/>
      </c>
      <c r="CT137" s="207" t="str">
        <f ca="1"/>
        <v/>
      </c>
      <c r="CU137" s="207" t="str">
        <f ca="1"/>
        <v/>
      </c>
      <c r="CV137" s="207" t="str">
        <f ca="1"/>
        <v/>
      </c>
      <c r="CW137" s="207" t="str">
        <f ca="1"/>
        <v/>
      </c>
    </row>
    <row r="138" spans="97:101" x14ac:dyDescent="0.25">
      <c r="CS138" t="str">
        <f ca="1"/>
        <v/>
      </c>
      <c r="CT138" s="207" t="str">
        <f ca="1"/>
        <v/>
      </c>
      <c r="CU138" s="207" t="str">
        <f ca="1"/>
        <v/>
      </c>
      <c r="CV138" s="207" t="str">
        <f ca="1"/>
        <v/>
      </c>
      <c r="CW138" s="207" t="str">
        <f ca="1"/>
        <v/>
      </c>
    </row>
    <row r="139" spans="97:101" x14ac:dyDescent="0.25">
      <c r="CS139" t="str">
        <f ca="1"/>
        <v/>
      </c>
      <c r="CT139" s="207" t="str">
        <f ca="1"/>
        <v/>
      </c>
      <c r="CU139" s="207" t="str">
        <f ca="1"/>
        <v/>
      </c>
      <c r="CV139" s="207" t="str">
        <f ca="1"/>
        <v/>
      </c>
      <c r="CW139" s="207" t="str">
        <f ca="1"/>
        <v/>
      </c>
    </row>
    <row r="140" spans="97:101" x14ac:dyDescent="0.25">
      <c r="CS140" t="str">
        <f ca="1"/>
        <v/>
      </c>
      <c r="CT140" s="207" t="str">
        <f ca="1"/>
        <v/>
      </c>
      <c r="CU140" s="207" t="str">
        <f ca="1"/>
        <v/>
      </c>
      <c r="CV140" s="207" t="str">
        <f ca="1"/>
        <v/>
      </c>
      <c r="CW140" s="207" t="str">
        <f ca="1"/>
        <v/>
      </c>
    </row>
    <row r="141" spans="97:101" x14ac:dyDescent="0.25">
      <c r="CS141" t="str">
        <f ca="1"/>
        <v/>
      </c>
      <c r="CT141" s="207" t="str">
        <f ca="1"/>
        <v/>
      </c>
      <c r="CU141" s="207" t="str">
        <f ca="1"/>
        <v/>
      </c>
      <c r="CV141" s="207" t="str">
        <f ca="1"/>
        <v/>
      </c>
      <c r="CW141" s="207" t="str">
        <f ca="1"/>
        <v/>
      </c>
    </row>
    <row r="142" spans="97:101" x14ac:dyDescent="0.25">
      <c r="CS142" t="str">
        <f ca="1"/>
        <v/>
      </c>
      <c r="CT142" s="207" t="str">
        <f ca="1"/>
        <v/>
      </c>
      <c r="CU142" s="207" t="str">
        <f ca="1"/>
        <v/>
      </c>
      <c r="CV142" s="207" t="str">
        <f ca="1"/>
        <v/>
      </c>
      <c r="CW142" s="207" t="str">
        <f ca="1"/>
        <v/>
      </c>
    </row>
    <row r="143" spans="97:101" x14ac:dyDescent="0.25">
      <c r="CS143" t="str">
        <f ca="1"/>
        <v/>
      </c>
      <c r="CT143" s="207" t="str">
        <f ca="1"/>
        <v/>
      </c>
      <c r="CU143" s="207" t="str">
        <f ca="1"/>
        <v/>
      </c>
      <c r="CV143" s="207" t="str">
        <f ca="1"/>
        <v/>
      </c>
      <c r="CW143" s="207" t="str">
        <f ca="1"/>
        <v/>
      </c>
    </row>
    <row r="144" spans="97:101" x14ac:dyDescent="0.25">
      <c r="CS144" t="str">
        <f ca="1"/>
        <v/>
      </c>
      <c r="CT144" s="207" t="str">
        <f ca="1"/>
        <v/>
      </c>
      <c r="CU144" s="207" t="str">
        <f ca="1"/>
        <v/>
      </c>
      <c r="CV144" s="207" t="str">
        <f ca="1"/>
        <v/>
      </c>
      <c r="CW144" s="207" t="str">
        <f ca="1"/>
        <v/>
      </c>
    </row>
    <row r="145" spans="97:101" x14ac:dyDescent="0.25">
      <c r="CS145" t="str">
        <f ca="1"/>
        <v/>
      </c>
      <c r="CT145" s="207" t="str">
        <f ca="1"/>
        <v/>
      </c>
      <c r="CU145" s="207" t="str">
        <f ca="1"/>
        <v/>
      </c>
      <c r="CV145" s="207" t="str">
        <f ca="1"/>
        <v/>
      </c>
      <c r="CW145" s="207" t="str">
        <f ca="1"/>
        <v/>
      </c>
    </row>
    <row r="146" spans="97:101" x14ac:dyDescent="0.25">
      <c r="CS146" t="str">
        <f ca="1"/>
        <v/>
      </c>
      <c r="CT146" s="207" t="str">
        <f ca="1"/>
        <v/>
      </c>
      <c r="CU146" s="207" t="str">
        <f ca="1"/>
        <v/>
      </c>
      <c r="CV146" s="207" t="str">
        <f ca="1"/>
        <v/>
      </c>
      <c r="CW146" s="207" t="str">
        <f ca="1"/>
        <v/>
      </c>
    </row>
    <row r="147" spans="97:101" x14ac:dyDescent="0.25">
      <c r="CS147" t="str">
        <f ca="1"/>
        <v/>
      </c>
      <c r="CT147" s="207" t="str">
        <f ca="1"/>
        <v/>
      </c>
      <c r="CU147" s="207" t="str">
        <f ca="1"/>
        <v/>
      </c>
      <c r="CV147" s="207" t="str">
        <f ca="1"/>
        <v/>
      </c>
      <c r="CW147" s="207" t="str">
        <f ca="1"/>
        <v/>
      </c>
    </row>
    <row r="148" spans="97:101" x14ac:dyDescent="0.25">
      <c r="CS148" t="str">
        <f ca="1"/>
        <v/>
      </c>
      <c r="CT148" s="207" t="str">
        <f ca="1"/>
        <v/>
      </c>
      <c r="CU148" s="207" t="str">
        <f ca="1"/>
        <v/>
      </c>
      <c r="CV148" s="207" t="str">
        <f ca="1"/>
        <v/>
      </c>
      <c r="CW148" s="207" t="str">
        <f ca="1"/>
        <v/>
      </c>
    </row>
    <row r="149" spans="97:101" x14ac:dyDescent="0.25">
      <c r="CS149" t="str">
        <f ca="1"/>
        <v/>
      </c>
      <c r="CT149" s="207" t="str">
        <f ca="1"/>
        <v/>
      </c>
      <c r="CU149" s="207" t="str">
        <f ca="1"/>
        <v/>
      </c>
      <c r="CV149" s="207" t="str">
        <f ca="1"/>
        <v/>
      </c>
      <c r="CW149" s="207" t="str">
        <f ca="1"/>
        <v/>
      </c>
    </row>
    <row r="150" spans="97:101" x14ac:dyDescent="0.25">
      <c r="CS150" t="str">
        <f ca="1"/>
        <v/>
      </c>
      <c r="CT150" s="207" t="str">
        <f ca="1"/>
        <v/>
      </c>
      <c r="CU150" s="207" t="str">
        <f ca="1"/>
        <v/>
      </c>
      <c r="CV150" s="207" t="str">
        <f ca="1"/>
        <v/>
      </c>
      <c r="CW150" s="207" t="str">
        <f ca="1"/>
        <v/>
      </c>
    </row>
    <row r="151" spans="97:101" x14ac:dyDescent="0.25">
      <c r="CS151" t="e">
        <f ca="1"/>
        <v>#N/A</v>
      </c>
      <c r="CT151" s="207" t="e">
        <f ca="1"/>
        <v>#N/A</v>
      </c>
      <c r="CU151" s="207" t="e">
        <f ca="1"/>
        <v>#N/A</v>
      </c>
      <c r="CV151" s="207" t="e">
        <f ca="1"/>
        <v>#N/A</v>
      </c>
      <c r="CW151" s="207" t="e">
        <f ca="1"/>
        <v>#N/A</v>
      </c>
    </row>
    <row r="152" spans="97:101" x14ac:dyDescent="0.25">
      <c r="CS152" t="e">
        <f ca="1"/>
        <v>#N/A</v>
      </c>
      <c r="CT152" s="207" t="e">
        <f ca="1"/>
        <v>#N/A</v>
      </c>
      <c r="CU152" s="207" t="e">
        <f ca="1"/>
        <v>#N/A</v>
      </c>
      <c r="CV152" s="207" t="e">
        <f ca="1"/>
        <v>#N/A</v>
      </c>
      <c r="CW152" s="207" t="e">
        <f ca="1"/>
        <v>#N/A</v>
      </c>
    </row>
    <row r="153" spans="97:101" x14ac:dyDescent="0.25">
      <c r="CS153" t="e">
        <f ca="1"/>
        <v>#N/A</v>
      </c>
      <c r="CT153" s="207" t="e">
        <f ca="1"/>
        <v>#N/A</v>
      </c>
      <c r="CU153" s="207" t="e">
        <f ca="1"/>
        <v>#N/A</v>
      </c>
      <c r="CV153" s="207" t="e">
        <f ca="1"/>
        <v>#N/A</v>
      </c>
      <c r="CW153" s="207" t="e">
        <f ca="1"/>
        <v>#N/A</v>
      </c>
    </row>
    <row r="154" spans="97:101" x14ac:dyDescent="0.25">
      <c r="CS154" t="e">
        <f ca="1"/>
        <v>#N/A</v>
      </c>
      <c r="CT154" s="207" t="e">
        <f ca="1"/>
        <v>#N/A</v>
      </c>
      <c r="CU154" s="207" t="e">
        <f ca="1"/>
        <v>#N/A</v>
      </c>
      <c r="CV154" s="207" t="e">
        <f ca="1"/>
        <v>#N/A</v>
      </c>
      <c r="CW154" s="207" t="e">
        <f ca="1"/>
        <v>#N/A</v>
      </c>
    </row>
    <row r="155" spans="97:101" x14ac:dyDescent="0.25">
      <c r="CS155" t="e">
        <f ca="1"/>
        <v>#N/A</v>
      </c>
      <c r="CT155" s="207" t="e">
        <f ca="1"/>
        <v>#N/A</v>
      </c>
      <c r="CU155" s="207" t="e">
        <f ca="1"/>
        <v>#N/A</v>
      </c>
      <c r="CV155" s="207" t="e">
        <f ca="1"/>
        <v>#N/A</v>
      </c>
      <c r="CW155" s="207" t="e">
        <f ca="1"/>
        <v>#N/A</v>
      </c>
    </row>
    <row r="156" spans="97:101" x14ac:dyDescent="0.25">
      <c r="CS156" t="e">
        <f ca="1"/>
        <v>#N/A</v>
      </c>
      <c r="CT156" s="207" t="e">
        <f ca="1"/>
        <v>#N/A</v>
      </c>
      <c r="CU156" s="207" t="e">
        <f ca="1"/>
        <v>#N/A</v>
      </c>
      <c r="CV156" s="207" t="e">
        <f ca="1"/>
        <v>#N/A</v>
      </c>
      <c r="CW156" s="207" t="e">
        <f ca="1"/>
        <v>#N/A</v>
      </c>
    </row>
    <row r="157" spans="97:101" x14ac:dyDescent="0.25">
      <c r="CS157" t="e">
        <f ca="1"/>
        <v>#N/A</v>
      </c>
      <c r="CT157" s="207" t="e">
        <f ca="1"/>
        <v>#N/A</v>
      </c>
      <c r="CU157" s="207" t="e">
        <f ca="1"/>
        <v>#N/A</v>
      </c>
      <c r="CV157" s="207" t="e">
        <f ca="1"/>
        <v>#N/A</v>
      </c>
      <c r="CW157" s="207" t="e">
        <f ca="1"/>
        <v>#N/A</v>
      </c>
    </row>
    <row r="158" spans="97:101" x14ac:dyDescent="0.25">
      <c r="CS158" t="e">
        <f ca="1"/>
        <v>#N/A</v>
      </c>
      <c r="CT158" s="207" t="e">
        <f ca="1"/>
        <v>#N/A</v>
      </c>
      <c r="CU158" s="207" t="e">
        <f ca="1"/>
        <v>#N/A</v>
      </c>
      <c r="CV158" s="207" t="e">
        <f ca="1"/>
        <v>#N/A</v>
      </c>
      <c r="CW158" s="207" t="e">
        <f ca="1"/>
        <v>#N/A</v>
      </c>
    </row>
    <row r="159" spans="97:101" x14ac:dyDescent="0.25">
      <c r="CS159" t="e">
        <f ca="1"/>
        <v>#N/A</v>
      </c>
      <c r="CT159" s="207" t="e">
        <f ca="1"/>
        <v>#N/A</v>
      </c>
      <c r="CU159" s="207" t="e">
        <f ca="1"/>
        <v>#N/A</v>
      </c>
      <c r="CV159" s="207" t="e">
        <f ca="1"/>
        <v>#N/A</v>
      </c>
      <c r="CW159" s="207" t="e">
        <f ca="1"/>
        <v>#N/A</v>
      </c>
    </row>
    <row r="160" spans="97:101" x14ac:dyDescent="0.25">
      <c r="CS160" t="e">
        <f ca="1"/>
        <v>#N/A</v>
      </c>
      <c r="CT160" s="207" t="e">
        <f ca="1"/>
        <v>#N/A</v>
      </c>
      <c r="CU160" s="207" t="e">
        <f ca="1"/>
        <v>#N/A</v>
      </c>
      <c r="CV160" s="207" t="e">
        <f ca="1"/>
        <v>#N/A</v>
      </c>
      <c r="CW160" s="207" t="e">
        <f ca="1"/>
        <v>#N/A</v>
      </c>
    </row>
    <row r="161" spans="97:101" x14ac:dyDescent="0.25">
      <c r="CS161" t="e">
        <f ca="1"/>
        <v>#N/A</v>
      </c>
      <c r="CT161" s="207" t="e">
        <f ca="1"/>
        <v>#N/A</v>
      </c>
      <c r="CU161" s="207" t="e">
        <f ca="1"/>
        <v>#N/A</v>
      </c>
      <c r="CV161" s="207" t="e">
        <f ca="1"/>
        <v>#N/A</v>
      </c>
      <c r="CW161" s="207" t="e">
        <f ca="1"/>
        <v>#N/A</v>
      </c>
    </row>
    <row r="162" spans="97:101" x14ac:dyDescent="0.25">
      <c r="CS162" t="e">
        <f ca="1"/>
        <v>#N/A</v>
      </c>
      <c r="CT162" s="207" t="e">
        <f ca="1"/>
        <v>#N/A</v>
      </c>
      <c r="CU162" s="207" t="e">
        <f ca="1"/>
        <v>#N/A</v>
      </c>
      <c r="CV162" s="207" t="e">
        <f ca="1"/>
        <v>#N/A</v>
      </c>
      <c r="CW162" s="207" t="e">
        <f ca="1"/>
        <v>#N/A</v>
      </c>
    </row>
    <row r="163" spans="97:101" x14ac:dyDescent="0.25">
      <c r="CS163" t="e">
        <f ca="1"/>
        <v>#N/A</v>
      </c>
      <c r="CT163" s="207" t="e">
        <f ca="1"/>
        <v>#N/A</v>
      </c>
      <c r="CU163" s="207" t="e">
        <f ca="1"/>
        <v>#N/A</v>
      </c>
      <c r="CV163" s="207" t="e">
        <f ca="1"/>
        <v>#N/A</v>
      </c>
      <c r="CW163" s="207" t="e">
        <f ca="1"/>
        <v>#N/A</v>
      </c>
    </row>
    <row r="164" spans="97:101" x14ac:dyDescent="0.25">
      <c r="CS164" t="e">
        <f ca="1"/>
        <v>#N/A</v>
      </c>
      <c r="CT164" s="207" t="e">
        <f ca="1"/>
        <v>#N/A</v>
      </c>
      <c r="CU164" s="207" t="e">
        <f ca="1"/>
        <v>#N/A</v>
      </c>
      <c r="CV164" s="207" t="e">
        <f ca="1"/>
        <v>#N/A</v>
      </c>
      <c r="CW164" s="207" t="e">
        <f ca="1"/>
        <v>#N/A</v>
      </c>
    </row>
    <row r="165" spans="97:101" x14ac:dyDescent="0.25">
      <c r="CS165" t="e">
        <f ca="1"/>
        <v>#N/A</v>
      </c>
      <c r="CT165" s="207" t="e">
        <f ca="1"/>
        <v>#N/A</v>
      </c>
      <c r="CU165" s="207" t="e">
        <f ca="1"/>
        <v>#N/A</v>
      </c>
      <c r="CV165" s="207" t="e">
        <f ca="1"/>
        <v>#N/A</v>
      </c>
      <c r="CW165" s="207" t="e">
        <f ca="1"/>
        <v>#N/A</v>
      </c>
    </row>
    <row r="166" spans="97:101" x14ac:dyDescent="0.25">
      <c r="CS166" t="e">
        <f ca="1"/>
        <v>#N/A</v>
      </c>
      <c r="CT166" s="207" t="e">
        <f ca="1"/>
        <v>#N/A</v>
      </c>
      <c r="CU166" s="207" t="e">
        <f ca="1"/>
        <v>#N/A</v>
      </c>
      <c r="CV166" s="207" t="e">
        <f ca="1"/>
        <v>#N/A</v>
      </c>
      <c r="CW166" s="207" t="e">
        <f ca="1"/>
        <v>#N/A</v>
      </c>
    </row>
    <row r="167" spans="97:101" x14ac:dyDescent="0.25">
      <c r="CS167" t="e">
        <f ca="1"/>
        <v>#N/A</v>
      </c>
      <c r="CT167" s="207" t="e">
        <f ca="1"/>
        <v>#N/A</v>
      </c>
      <c r="CU167" s="207" t="e">
        <f ca="1"/>
        <v>#N/A</v>
      </c>
      <c r="CV167" s="207" t="e">
        <f ca="1"/>
        <v>#N/A</v>
      </c>
      <c r="CW167" s="207" t="e">
        <f ca="1"/>
        <v>#N/A</v>
      </c>
    </row>
    <row r="168" spans="97:101" x14ac:dyDescent="0.25">
      <c r="CS168" t="e">
        <f ca="1"/>
        <v>#N/A</v>
      </c>
      <c r="CT168" s="207" t="e">
        <f ca="1"/>
        <v>#N/A</v>
      </c>
      <c r="CU168" s="207" t="e">
        <f ca="1"/>
        <v>#N/A</v>
      </c>
      <c r="CV168" s="207" t="e">
        <f ca="1"/>
        <v>#N/A</v>
      </c>
      <c r="CW168" s="207" t="e">
        <f ca="1"/>
        <v>#N/A</v>
      </c>
    </row>
    <row r="169" spans="97:101" x14ac:dyDescent="0.25">
      <c r="CS169" t="e">
        <f ca="1"/>
        <v>#N/A</v>
      </c>
      <c r="CT169" s="207" t="e">
        <f ca="1"/>
        <v>#N/A</v>
      </c>
      <c r="CU169" s="207" t="e">
        <f ca="1"/>
        <v>#N/A</v>
      </c>
      <c r="CV169" s="207" t="e">
        <f ca="1"/>
        <v>#N/A</v>
      </c>
      <c r="CW169" s="207" t="e">
        <f ca="1"/>
        <v>#N/A</v>
      </c>
    </row>
    <row r="170" spans="97:101" x14ac:dyDescent="0.25">
      <c r="CS170" t="e">
        <f ca="1"/>
        <v>#N/A</v>
      </c>
      <c r="CT170" s="207" t="e">
        <f ca="1"/>
        <v>#N/A</v>
      </c>
      <c r="CU170" s="207" t="e">
        <f ca="1"/>
        <v>#N/A</v>
      </c>
      <c r="CV170" s="207" t="e">
        <f ca="1"/>
        <v>#N/A</v>
      </c>
      <c r="CW170" s="207" t="e">
        <f ca="1"/>
        <v>#N/A</v>
      </c>
    </row>
    <row r="171" spans="97:101" x14ac:dyDescent="0.25">
      <c r="CS171" t="e">
        <f ca="1"/>
        <v>#N/A</v>
      </c>
      <c r="CT171" s="207" t="e">
        <f ca="1"/>
        <v>#N/A</v>
      </c>
      <c r="CU171" s="207" t="e">
        <f ca="1"/>
        <v>#N/A</v>
      </c>
      <c r="CV171" s="207" t="e">
        <f ca="1"/>
        <v>#N/A</v>
      </c>
      <c r="CW171" s="207" t="e">
        <f ca="1"/>
        <v>#N/A</v>
      </c>
    </row>
    <row r="172" spans="97:101" x14ac:dyDescent="0.25">
      <c r="CS172" t="e">
        <f ca="1"/>
        <v>#N/A</v>
      </c>
      <c r="CT172" s="207" t="e">
        <f ca="1"/>
        <v>#N/A</v>
      </c>
      <c r="CU172" s="207" t="e">
        <f ca="1"/>
        <v>#N/A</v>
      </c>
      <c r="CV172" s="207" t="e">
        <f ca="1"/>
        <v>#N/A</v>
      </c>
      <c r="CW172" s="207" t="e">
        <f ca="1"/>
        <v>#N/A</v>
      </c>
    </row>
    <row r="173" spans="97:101" x14ac:dyDescent="0.25">
      <c r="CS173" t="e">
        <f ca="1"/>
        <v>#N/A</v>
      </c>
      <c r="CT173" s="207" t="e">
        <f ca="1"/>
        <v>#N/A</v>
      </c>
      <c r="CU173" s="207" t="e">
        <f ca="1"/>
        <v>#N/A</v>
      </c>
      <c r="CV173" s="207" t="e">
        <f ca="1"/>
        <v>#N/A</v>
      </c>
      <c r="CW173" s="207" t="e">
        <f ca="1"/>
        <v>#N/A</v>
      </c>
    </row>
    <row r="174" spans="97:101" x14ac:dyDescent="0.25">
      <c r="CS174" t="e">
        <f ca="1"/>
        <v>#N/A</v>
      </c>
      <c r="CT174" s="207" t="e">
        <f ca="1"/>
        <v>#N/A</v>
      </c>
      <c r="CU174" s="207" t="e">
        <f ca="1"/>
        <v>#N/A</v>
      </c>
      <c r="CV174" s="207" t="e">
        <f ca="1"/>
        <v>#N/A</v>
      </c>
      <c r="CW174" s="207" t="e">
        <f ca="1"/>
        <v>#N/A</v>
      </c>
    </row>
    <row r="175" spans="97:101" x14ac:dyDescent="0.25">
      <c r="CS175" t="e">
        <f ca="1"/>
        <v>#N/A</v>
      </c>
      <c r="CT175" s="207" t="e">
        <f ca="1"/>
        <v>#N/A</v>
      </c>
      <c r="CU175" s="207" t="e">
        <f ca="1"/>
        <v>#N/A</v>
      </c>
      <c r="CV175" s="207" t="e">
        <f ca="1"/>
        <v>#N/A</v>
      </c>
      <c r="CW175" s="207" t="e">
        <f ca="1"/>
        <v>#N/A</v>
      </c>
    </row>
    <row r="176" spans="97:101" x14ac:dyDescent="0.25">
      <c r="CS176" t="e">
        <f ca="1"/>
        <v>#N/A</v>
      </c>
      <c r="CT176" s="207" t="e">
        <f ca="1"/>
        <v>#N/A</v>
      </c>
      <c r="CU176" s="207" t="e">
        <f ca="1"/>
        <v>#N/A</v>
      </c>
      <c r="CV176" s="207" t="e">
        <f ca="1"/>
        <v>#N/A</v>
      </c>
      <c r="CW176" s="207" t="e">
        <f ca="1"/>
        <v>#N/A</v>
      </c>
    </row>
    <row r="177" spans="97:101" x14ac:dyDescent="0.25">
      <c r="CS177" t="e">
        <f ca="1"/>
        <v>#N/A</v>
      </c>
      <c r="CT177" s="207" t="e">
        <f ca="1"/>
        <v>#N/A</v>
      </c>
      <c r="CU177" s="207" t="e">
        <f ca="1"/>
        <v>#N/A</v>
      </c>
      <c r="CV177" s="207" t="e">
        <f ca="1"/>
        <v>#N/A</v>
      </c>
      <c r="CW177" s="207" t="e">
        <f ca="1"/>
        <v>#N/A</v>
      </c>
    </row>
    <row r="178" spans="97:101" x14ac:dyDescent="0.25">
      <c r="CS178" t="e">
        <f ca="1"/>
        <v>#N/A</v>
      </c>
      <c r="CT178" s="207" t="e">
        <f ca="1"/>
        <v>#N/A</v>
      </c>
      <c r="CU178" s="207" t="e">
        <f ca="1"/>
        <v>#N/A</v>
      </c>
      <c r="CV178" s="207" t="e">
        <f ca="1"/>
        <v>#N/A</v>
      </c>
      <c r="CW178" s="207" t="e">
        <f ca="1"/>
        <v>#N/A</v>
      </c>
    </row>
    <row r="179" spans="97:101" x14ac:dyDescent="0.25">
      <c r="CS179" t="e">
        <f ca="1"/>
        <v>#N/A</v>
      </c>
      <c r="CT179" s="207" t="e">
        <f ca="1"/>
        <v>#N/A</v>
      </c>
      <c r="CU179" s="207" t="e">
        <f ca="1"/>
        <v>#N/A</v>
      </c>
      <c r="CV179" s="207" t="e">
        <f ca="1"/>
        <v>#N/A</v>
      </c>
      <c r="CW179" s="207" t="e">
        <f ca="1"/>
        <v>#N/A</v>
      </c>
    </row>
    <row r="180" spans="97:101" x14ac:dyDescent="0.25">
      <c r="CS180" t="e">
        <f ca="1"/>
        <v>#N/A</v>
      </c>
      <c r="CT180" s="207" t="e">
        <f ca="1"/>
        <v>#N/A</v>
      </c>
      <c r="CU180" s="207" t="e">
        <f ca="1"/>
        <v>#N/A</v>
      </c>
      <c r="CV180" s="207" t="e">
        <f ca="1"/>
        <v>#N/A</v>
      </c>
      <c r="CW180" s="207" t="e">
        <f ca="1"/>
        <v>#N/A</v>
      </c>
    </row>
    <row r="181" spans="97:101" x14ac:dyDescent="0.25">
      <c r="CS181" t="e">
        <f ca="1"/>
        <v>#N/A</v>
      </c>
      <c r="CT181" s="207" t="e">
        <f ca="1"/>
        <v>#N/A</v>
      </c>
      <c r="CU181" s="207" t="e">
        <f ca="1"/>
        <v>#N/A</v>
      </c>
      <c r="CV181" s="207" t="e">
        <f ca="1"/>
        <v>#N/A</v>
      </c>
      <c r="CW181" s="207" t="e">
        <f ca="1"/>
        <v>#N/A</v>
      </c>
    </row>
    <row r="182" spans="97:101" x14ac:dyDescent="0.25">
      <c r="CS182" t="e">
        <f ca="1"/>
        <v>#N/A</v>
      </c>
      <c r="CT182" s="207" t="e">
        <f ca="1"/>
        <v>#N/A</v>
      </c>
      <c r="CU182" s="207" t="e">
        <f ca="1"/>
        <v>#N/A</v>
      </c>
      <c r="CV182" s="207" t="e">
        <f ca="1"/>
        <v>#N/A</v>
      </c>
      <c r="CW182" s="207" t="e">
        <f ca="1"/>
        <v>#N/A</v>
      </c>
    </row>
    <row r="183" spans="97:101" x14ac:dyDescent="0.25">
      <c r="CS183" t="e">
        <f ca="1"/>
        <v>#N/A</v>
      </c>
      <c r="CT183" s="207" t="e">
        <f ca="1"/>
        <v>#N/A</v>
      </c>
      <c r="CU183" s="207" t="e">
        <f ca="1"/>
        <v>#N/A</v>
      </c>
      <c r="CV183" s="207" t="e">
        <f ca="1"/>
        <v>#N/A</v>
      </c>
      <c r="CW183" s="207" t="e">
        <f ca="1"/>
        <v>#N/A</v>
      </c>
    </row>
    <row r="184" spans="97:101" x14ac:dyDescent="0.25">
      <c r="CS184" t="e">
        <f ca="1"/>
        <v>#N/A</v>
      </c>
      <c r="CT184" s="207" t="e">
        <f ca="1"/>
        <v>#N/A</v>
      </c>
      <c r="CU184" s="207" t="e">
        <f ca="1"/>
        <v>#N/A</v>
      </c>
      <c r="CV184" s="207" t="e">
        <f ca="1"/>
        <v>#N/A</v>
      </c>
      <c r="CW184" s="207" t="e">
        <f ca="1"/>
        <v>#N/A</v>
      </c>
    </row>
    <row r="185" spans="97:101" x14ac:dyDescent="0.25">
      <c r="CS185" t="e">
        <f ca="1"/>
        <v>#N/A</v>
      </c>
      <c r="CT185" s="207" t="e">
        <f ca="1"/>
        <v>#N/A</v>
      </c>
      <c r="CU185" s="207" t="e">
        <f ca="1"/>
        <v>#N/A</v>
      </c>
      <c r="CV185" s="207" t="e">
        <f ca="1"/>
        <v>#N/A</v>
      </c>
      <c r="CW185" s="207" t="e">
        <f ca="1"/>
        <v>#N/A</v>
      </c>
    </row>
    <row r="186" spans="97:101" x14ac:dyDescent="0.25">
      <c r="CS186" t="e">
        <f ca="1"/>
        <v>#N/A</v>
      </c>
      <c r="CT186" s="207" t="e">
        <f ca="1"/>
        <v>#N/A</v>
      </c>
      <c r="CU186" s="207" t="e">
        <f ca="1"/>
        <v>#N/A</v>
      </c>
      <c r="CV186" s="207" t="e">
        <f ca="1"/>
        <v>#N/A</v>
      </c>
      <c r="CW186" s="207" t="e">
        <f ca="1"/>
        <v>#N/A</v>
      </c>
    </row>
    <row r="187" spans="97:101" x14ac:dyDescent="0.25">
      <c r="CS187" t="e">
        <f ca="1"/>
        <v>#N/A</v>
      </c>
      <c r="CT187" s="207" t="e">
        <f ca="1"/>
        <v>#N/A</v>
      </c>
      <c r="CU187" s="207" t="e">
        <f ca="1"/>
        <v>#N/A</v>
      </c>
      <c r="CV187" s="207" t="e">
        <f ca="1"/>
        <v>#N/A</v>
      </c>
      <c r="CW187" s="207" t="e">
        <f ca="1"/>
        <v>#N/A</v>
      </c>
    </row>
    <row r="188" spans="97:101" x14ac:dyDescent="0.25">
      <c r="CS188" t="e">
        <f ca="1"/>
        <v>#N/A</v>
      </c>
      <c r="CT188" s="207" t="e">
        <f ca="1"/>
        <v>#N/A</v>
      </c>
      <c r="CU188" s="207" t="e">
        <f ca="1"/>
        <v>#N/A</v>
      </c>
      <c r="CV188" s="207" t="e">
        <f ca="1"/>
        <v>#N/A</v>
      </c>
      <c r="CW188" s="207" t="e">
        <f ca="1"/>
        <v>#N/A</v>
      </c>
    </row>
    <row r="189" spans="97:101" x14ac:dyDescent="0.25">
      <c r="CS189" t="e">
        <f ca="1"/>
        <v>#N/A</v>
      </c>
      <c r="CT189" s="207" t="e">
        <f ca="1"/>
        <v>#N/A</v>
      </c>
      <c r="CU189" s="207" t="e">
        <f ca="1"/>
        <v>#N/A</v>
      </c>
      <c r="CV189" s="207" t="e">
        <f ca="1"/>
        <v>#N/A</v>
      </c>
      <c r="CW189" s="207" t="e">
        <f ca="1"/>
        <v>#N/A</v>
      </c>
    </row>
    <row r="190" spans="97:101" x14ac:dyDescent="0.25">
      <c r="CS190" t="e">
        <f ca="1"/>
        <v>#N/A</v>
      </c>
      <c r="CT190" s="207" t="e">
        <f ca="1"/>
        <v>#N/A</v>
      </c>
      <c r="CU190" s="207" t="e">
        <f ca="1"/>
        <v>#N/A</v>
      </c>
      <c r="CV190" s="207" t="e">
        <f ca="1"/>
        <v>#N/A</v>
      </c>
      <c r="CW190" s="207" t="e">
        <f ca="1"/>
        <v>#N/A</v>
      </c>
    </row>
    <row r="191" spans="97:101" x14ac:dyDescent="0.25">
      <c r="CS191" t="e">
        <f ca="1"/>
        <v>#N/A</v>
      </c>
      <c r="CT191" s="207" t="e">
        <f ca="1"/>
        <v>#N/A</v>
      </c>
      <c r="CU191" s="207" t="e">
        <f ca="1"/>
        <v>#N/A</v>
      </c>
      <c r="CV191" s="207" t="e">
        <f ca="1"/>
        <v>#N/A</v>
      </c>
      <c r="CW191" s="207" t="e">
        <f ca="1"/>
        <v>#N/A</v>
      </c>
    </row>
    <row r="192" spans="97:101" x14ac:dyDescent="0.25">
      <c r="CS192" t="e">
        <f ca="1"/>
        <v>#N/A</v>
      </c>
      <c r="CT192" s="207" t="e">
        <f ca="1"/>
        <v>#N/A</v>
      </c>
      <c r="CU192" s="207" t="e">
        <f ca="1"/>
        <v>#N/A</v>
      </c>
      <c r="CV192" s="207" t="e">
        <f ca="1"/>
        <v>#N/A</v>
      </c>
      <c r="CW192" s="207" t="e">
        <f ca="1"/>
        <v>#N/A</v>
      </c>
    </row>
    <row r="193" spans="97:101" x14ac:dyDescent="0.25">
      <c r="CS193" t="e">
        <f ca="1"/>
        <v>#N/A</v>
      </c>
      <c r="CT193" s="207" t="e">
        <f ca="1"/>
        <v>#N/A</v>
      </c>
      <c r="CU193" s="207" t="e">
        <f ca="1"/>
        <v>#N/A</v>
      </c>
      <c r="CV193" s="207" t="e">
        <f ca="1"/>
        <v>#N/A</v>
      </c>
      <c r="CW193" s="207" t="e">
        <f ca="1"/>
        <v>#N/A</v>
      </c>
    </row>
    <row r="194" spans="97:101" x14ac:dyDescent="0.25">
      <c r="CS194" t="e">
        <f ca="1"/>
        <v>#N/A</v>
      </c>
      <c r="CT194" s="207" t="e">
        <f ca="1"/>
        <v>#N/A</v>
      </c>
      <c r="CU194" s="207" t="e">
        <f ca="1"/>
        <v>#N/A</v>
      </c>
      <c r="CV194" s="207" t="e">
        <f ca="1"/>
        <v>#N/A</v>
      </c>
      <c r="CW194" s="207" t="e">
        <f ca="1"/>
        <v>#N/A</v>
      </c>
    </row>
    <row r="195" spans="97:101" x14ac:dyDescent="0.25">
      <c r="CS195" t="e">
        <f ca="1"/>
        <v>#N/A</v>
      </c>
      <c r="CT195" s="207" t="e">
        <f ca="1"/>
        <v>#N/A</v>
      </c>
      <c r="CU195" s="207" t="e">
        <f ca="1"/>
        <v>#N/A</v>
      </c>
      <c r="CV195" s="207" t="e">
        <f ca="1"/>
        <v>#N/A</v>
      </c>
      <c r="CW195" s="207" t="e">
        <f ca="1"/>
        <v>#N/A</v>
      </c>
    </row>
    <row r="196" spans="97:101" x14ac:dyDescent="0.25">
      <c r="CS196" t="e">
        <f ca="1"/>
        <v>#N/A</v>
      </c>
      <c r="CT196" s="207" t="e">
        <f ca="1"/>
        <v>#N/A</v>
      </c>
      <c r="CU196" s="207" t="e">
        <f ca="1"/>
        <v>#N/A</v>
      </c>
      <c r="CV196" s="207" t="e">
        <f ca="1"/>
        <v>#N/A</v>
      </c>
      <c r="CW196" s="207" t="e">
        <f ca="1"/>
        <v>#N/A</v>
      </c>
    </row>
    <row r="197" spans="97:101" x14ac:dyDescent="0.25">
      <c r="CS197" t="e">
        <f ca="1"/>
        <v>#N/A</v>
      </c>
      <c r="CT197" s="207" t="e">
        <f ca="1"/>
        <v>#N/A</v>
      </c>
      <c r="CU197" s="207" t="e">
        <f ca="1"/>
        <v>#N/A</v>
      </c>
      <c r="CV197" s="207" t="e">
        <f ca="1"/>
        <v>#N/A</v>
      </c>
      <c r="CW197" s="207" t="e">
        <f ca="1"/>
        <v>#N/A</v>
      </c>
    </row>
    <row r="198" spans="97:101" x14ac:dyDescent="0.25">
      <c r="CS198" t="e">
        <f ca="1"/>
        <v>#N/A</v>
      </c>
      <c r="CT198" s="207" t="e">
        <f ca="1"/>
        <v>#N/A</v>
      </c>
      <c r="CU198" s="207" t="e">
        <f ca="1"/>
        <v>#N/A</v>
      </c>
      <c r="CV198" s="207" t="e">
        <f ca="1"/>
        <v>#N/A</v>
      </c>
      <c r="CW198" s="207" t="e">
        <f ca="1"/>
        <v>#N/A</v>
      </c>
    </row>
    <row r="199" spans="97:101" x14ac:dyDescent="0.25">
      <c r="CS199" t="e">
        <f ca="1"/>
        <v>#N/A</v>
      </c>
      <c r="CT199" s="207" t="e">
        <f ca="1"/>
        <v>#N/A</v>
      </c>
      <c r="CU199" s="207" t="e">
        <f ca="1"/>
        <v>#N/A</v>
      </c>
      <c r="CV199" s="207" t="e">
        <f ca="1"/>
        <v>#N/A</v>
      </c>
      <c r="CW199" s="207" t="e">
        <f ca="1"/>
        <v>#N/A</v>
      </c>
    </row>
  </sheetData>
  <dataValidations count="2">
    <dataValidation type="list" allowBlank="1" showInputMessage="1" showErrorMessage="1" sqref="CG6">
      <formula1>"True,False"</formula1>
    </dataValidation>
    <dataValidation type="list" allowBlank="1" showInputMessage="1" showErrorMessage="1" sqref="H6 S6 AO6 BK6 AZ6 BV6 AD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JumpToCoverPage">
                <anchor moveWithCells="1" sizeWithCells="1">
                  <from>
                    <xdr:col>0</xdr:col>
                    <xdr:colOff>628650</xdr:colOff>
                    <xdr:row>0</xdr:row>
                    <xdr:rowOff>38100</xdr:rowOff>
                  </from>
                  <to>
                    <xdr:col>2</xdr:col>
                    <xdr:colOff>295275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9" tint="0.59999389629810485"/>
  </sheetPr>
  <dimension ref="A1:DP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25.7109375" bestFit="1" customWidth="1"/>
    <col min="12" max="12" width="36.7109375" bestFit="1" customWidth="1"/>
    <col min="13" max="13" width="10.42578125" bestFit="1" customWidth="1"/>
    <col min="14" max="14" width="14.85546875" bestFit="1" customWidth="1"/>
    <col min="15" max="15" width="14.28515625" bestFit="1" customWidth="1"/>
    <col min="16" max="16" width="9.140625" customWidth="1"/>
    <col min="17" max="17" width="9.140625" customWidth="1" outlineLevel="1"/>
    <col min="18" max="18" width="30.7109375" customWidth="1" outlineLevel="1"/>
    <col min="19" max="19" width="76" style="209" bestFit="1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16.140625" customWidth="1"/>
    <col min="24" max="24" width="10.5703125" bestFit="1" customWidth="1"/>
    <col min="25" max="25" width="11.140625" style="5" bestFit="1" customWidth="1"/>
    <col min="26" max="26" width="12.5703125" bestFit="1" customWidth="1"/>
    <col min="27" max="27" width="12.570312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2" max="32" width="9.140625" customWidth="1"/>
    <col min="33" max="33" width="25.28515625" customWidth="1"/>
    <col min="34" max="34" width="42" customWidth="1"/>
    <col min="35" max="35" width="10.5703125" customWidth="1"/>
    <col min="36" max="36" width="11.140625" style="5" customWidth="1"/>
    <col min="37" max="37" width="12.5703125" customWidth="1"/>
    <col min="38" max="38" width="9.140625" customWidth="1"/>
    <col min="39" max="39" width="9.140625" hidden="1" customWidth="1" outlineLevel="1"/>
    <col min="40" max="40" width="30.7109375" hidden="1" customWidth="1" outlineLevel="1"/>
    <col min="41" max="41" width="40.7109375" style="209" hidden="1" customWidth="1" outlineLevel="1"/>
    <col min="42" max="42" width="9.140625" hidden="1" customWidth="1" outlineLevel="1"/>
    <col min="43" max="43" width="0" hidden="1" customWidth="1" outlineLevel="1"/>
    <col min="44" max="44" width="25.28515625" hidden="1" customWidth="1" outlineLevel="1"/>
    <col min="45" max="45" width="35" hidden="1" customWidth="1" outlineLevel="1"/>
    <col min="46" max="48" width="9.140625" hidden="1" customWidth="1" outlineLevel="1"/>
    <col min="49" max="49" width="9.140625" customWidth="1" collapsed="1"/>
    <col min="50" max="50" width="9.140625" hidden="1" customWidth="1" outlineLevel="1"/>
    <col min="51" max="51" width="30.7109375" hidden="1" customWidth="1" outlineLevel="1"/>
    <col min="52" max="52" width="40.7109375" hidden="1" customWidth="1" outlineLevel="1"/>
    <col min="53" max="53" width="9.140625" hidden="1" customWidth="1" outlineLevel="1"/>
    <col min="54" max="54" width="11" hidden="1" customWidth="1" outlineLevel="1"/>
    <col min="55" max="55" width="14.28515625" hidden="1" customWidth="1" outlineLevel="1"/>
    <col min="56" max="59" width="9.140625" hidden="1" customWidth="1" outlineLevel="1"/>
    <col min="60" max="60" width="9.140625" customWidth="1" collapsed="1"/>
    <col min="61" max="61" width="9.140625" hidden="1" customWidth="1" outlineLevel="2"/>
    <col min="62" max="62" width="30.7109375" hidden="1" customWidth="1" outlineLevel="2"/>
    <col min="63" max="63" width="40.7109375" hidden="1" customWidth="1" outlineLevel="2"/>
    <col min="64" max="64" width="9.140625" hidden="1" customWidth="1" outlineLevel="2"/>
    <col min="65" max="65" width="0" hidden="1" customWidth="1" outlineLevel="2"/>
    <col min="66" max="66" width="14.28515625" hidden="1" customWidth="1" outlineLevel="2"/>
    <col min="67" max="70" width="9.140625" hidden="1" customWidth="1" outlineLevel="2"/>
    <col min="71" max="71" width="9.140625" collapsed="1"/>
    <col min="72" max="72" width="9.140625" customWidth="1" outlineLevel="1"/>
    <col min="73" max="73" width="30.7109375" customWidth="1" outlineLevel="1"/>
    <col min="74" max="74" width="68.7109375" customWidth="1" outlineLevel="1"/>
    <col min="75" max="75" width="9.140625" customWidth="1" outlineLevel="1"/>
    <col min="77" max="77" width="25.28515625" bestFit="1" customWidth="1"/>
    <col min="78" max="78" width="13.7109375" customWidth="1"/>
    <col min="81" max="81" width="13.85546875" bestFit="1" customWidth="1"/>
    <col min="83" max="83" width="9.140625" customWidth="1" outlineLevel="1"/>
    <col min="84" max="84" width="28.5703125" bestFit="1" customWidth="1" outlineLevel="1"/>
    <col min="85" max="85" width="20.7109375" customWidth="1" outlineLevel="1"/>
    <col min="86" max="86" width="9.140625" customWidth="1" outlineLevel="1"/>
    <col min="87" max="87" width="9.140625" style="206" customWidth="1"/>
    <col min="88" max="88" width="20.7109375" customWidth="1"/>
    <col min="89" max="89" width="18" customWidth="1"/>
    <col min="90" max="90" width="15.7109375" customWidth="1"/>
    <col min="91" max="91" width="9.140625" customWidth="1"/>
    <col min="92" max="92" width="58.140625" bestFit="1" customWidth="1"/>
    <col min="93" max="93" width="29.7109375" bestFit="1" customWidth="1"/>
    <col min="94" max="94" width="33.28515625" bestFit="1" customWidth="1"/>
    <col min="95" max="96" width="20.7109375" customWidth="1"/>
    <col min="97" max="97" width="14.28515625" style="601" bestFit="1" customWidth="1"/>
    <col min="98" max="100" width="20.7109375" style="600" customWidth="1"/>
    <col min="101" max="101" width="9.140625" customWidth="1"/>
    <col min="102" max="103" width="20.7109375" customWidth="1"/>
    <col min="104" max="104" width="90.28515625" bestFit="1" customWidth="1"/>
    <col min="105" max="107" width="20.7109375" customWidth="1"/>
    <col min="108" max="108" width="9.140625" customWidth="1"/>
  </cols>
  <sheetData>
    <row r="1" spans="1:112" x14ac:dyDescent="0.25">
      <c r="A1" t="s">
        <v>128</v>
      </c>
      <c r="AX1" s="209"/>
      <c r="AY1" s="209"/>
      <c r="AZ1" s="209"/>
      <c r="BA1" s="209"/>
      <c r="BI1" s="209"/>
      <c r="BJ1" s="209"/>
      <c r="BK1" s="209"/>
      <c r="BL1" s="209"/>
      <c r="BT1" s="209"/>
      <c r="BU1" s="209"/>
      <c r="BV1" s="209"/>
      <c r="BW1" s="209"/>
      <c r="CE1" s="209"/>
      <c r="CF1" s="209"/>
      <c r="CG1" s="209"/>
      <c r="CH1" s="209"/>
      <c r="CI1" s="333"/>
      <c r="CJ1" s="209"/>
      <c r="CK1" s="209"/>
      <c r="CL1" s="209"/>
      <c r="CM1" s="209"/>
      <c r="CN1" s="209"/>
      <c r="CS1" s="603" t="s">
        <v>1131</v>
      </c>
      <c r="DD1" s="300"/>
      <c r="DE1" s="206"/>
      <c r="DF1" s="206"/>
      <c r="DG1" s="206"/>
      <c r="DH1" s="206"/>
    </row>
    <row r="2" spans="1:112" x14ac:dyDescent="0.25">
      <c r="F2" s="237" t="s">
        <v>712</v>
      </c>
      <c r="K2" t="str">
        <f>A1&amp;"_OIS"</f>
        <v>JPY_OIS</v>
      </c>
      <c r="Q2" s="237"/>
      <c r="V2" t="str">
        <f>A1&amp;"_BASIS_3M6M"</f>
        <v>JPY_BASIS_3M6M</v>
      </c>
      <c r="AB2" s="237"/>
      <c r="AG2" t="str">
        <f>$A$1&amp;"_SWAP_6M"</f>
        <v>JPY_SWAP_6M</v>
      </c>
      <c r="AM2" s="237"/>
      <c r="AR2" t="str">
        <f>A1&amp;"_BASIS_6M"</f>
        <v>JPY_BASIS_6M</v>
      </c>
      <c r="BC2" t="str">
        <f>A1&amp;"_BASIS_12M"</f>
        <v>JPY_BASIS_12M</v>
      </c>
      <c r="BN2" t="str">
        <f>A1&amp;"_BASIS_1M"</f>
        <v>JPY_BASIS_1M</v>
      </c>
      <c r="BY2" t="str">
        <f>A1&amp;"_XCCYBASIS"</f>
        <v>JPY_XCCYBASIS</v>
      </c>
      <c r="CO2" s="161" t="s">
        <v>1596</v>
      </c>
      <c r="CS2" s="599" t="s">
        <v>1179</v>
      </c>
      <c r="DD2" s="300"/>
      <c r="DE2" s="206"/>
      <c r="DF2" s="206"/>
      <c r="DG2" s="206"/>
      <c r="DH2" s="206"/>
    </row>
    <row r="3" spans="1:112" x14ac:dyDescent="0.25">
      <c r="F3" s="45"/>
      <c r="G3" s="48"/>
      <c r="H3" s="48"/>
      <c r="I3" s="49"/>
      <c r="Q3" s="45"/>
      <c r="R3" s="48"/>
      <c r="S3" s="48"/>
      <c r="T3" s="49"/>
      <c r="AB3" s="45"/>
      <c r="AC3" s="48"/>
      <c r="AD3" s="48"/>
      <c r="AE3" s="49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T3" s="45"/>
      <c r="BU3" s="48"/>
      <c r="BV3" s="48"/>
      <c r="BW3" s="49"/>
      <c r="CE3" s="45"/>
      <c r="CF3" s="48"/>
      <c r="CG3" s="48"/>
      <c r="CH3" s="48"/>
      <c r="CI3" s="299"/>
      <c r="CO3" t="s">
        <v>1600</v>
      </c>
      <c r="CS3" s="602" t="s">
        <v>1123</v>
      </c>
      <c r="DD3" s="300"/>
      <c r="DE3" s="206"/>
      <c r="DF3" s="206"/>
      <c r="DG3" s="206"/>
      <c r="DH3" s="206"/>
    </row>
    <row r="4" spans="1:112" x14ac:dyDescent="0.25">
      <c r="F4" s="50"/>
      <c r="G4" s="81"/>
      <c r="H4" s="228"/>
      <c r="I4" s="53"/>
      <c r="N4">
        <v>0</v>
      </c>
      <c r="Q4" s="50"/>
      <c r="R4" s="81"/>
      <c r="S4" s="228"/>
      <c r="T4" s="53"/>
      <c r="Y4" s="5">
        <v>0</v>
      </c>
      <c r="AB4" s="50"/>
      <c r="AC4" s="81"/>
      <c r="AD4" s="228"/>
      <c r="AE4" s="53"/>
      <c r="AJ4" s="5">
        <v>0</v>
      </c>
      <c r="AM4" s="50"/>
      <c r="AN4" s="81"/>
      <c r="AO4" s="228"/>
      <c r="AP4" s="53"/>
      <c r="AU4">
        <v>0</v>
      </c>
      <c r="AX4" s="50"/>
      <c r="AY4" s="81"/>
      <c r="AZ4" s="228"/>
      <c r="BA4" s="53"/>
      <c r="BI4" s="50"/>
      <c r="BJ4" s="81"/>
      <c r="BK4" s="228"/>
      <c r="BL4" s="53"/>
      <c r="BT4" s="50"/>
      <c r="BU4" s="81"/>
      <c r="BV4" s="228"/>
      <c r="BW4" s="53"/>
      <c r="CB4">
        <v>0</v>
      </c>
      <c r="CE4" s="50"/>
      <c r="CF4" s="52"/>
      <c r="CG4" s="52"/>
      <c r="CH4" s="52"/>
      <c r="CI4" s="299"/>
      <c r="CO4" t="s">
        <v>743</v>
      </c>
      <c r="CP4" t="b">
        <v>1</v>
      </c>
      <c r="CS4" s="602" t="s">
        <v>1122</v>
      </c>
      <c r="DD4" s="300"/>
      <c r="DE4" s="206"/>
      <c r="DF4" s="206"/>
      <c r="DG4" s="206"/>
      <c r="DH4" s="206"/>
    </row>
    <row r="5" spans="1:112" x14ac:dyDescent="0.25">
      <c r="F5" s="50"/>
      <c r="G5" s="54" t="s">
        <v>742</v>
      </c>
      <c r="H5" s="228"/>
      <c r="I5" s="53"/>
      <c r="K5" s="294"/>
      <c r="Q5" s="50"/>
      <c r="R5" s="54" t="s">
        <v>741</v>
      </c>
      <c r="S5" s="228"/>
      <c r="T5" s="53"/>
      <c r="W5" s="205"/>
      <c r="AB5" s="50"/>
      <c r="AC5" s="54" t="s">
        <v>741</v>
      </c>
      <c r="AD5" s="228"/>
      <c r="AE5" s="53"/>
      <c r="AH5" s="20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744</v>
      </c>
      <c r="BK5" s="228"/>
      <c r="BL5" s="53"/>
      <c r="BT5" s="50"/>
      <c r="BU5" s="54" t="s">
        <v>802</v>
      </c>
      <c r="BV5" s="228"/>
      <c r="BW5" s="53"/>
      <c r="BY5" t="s">
        <v>1322</v>
      </c>
      <c r="BZ5" t="s">
        <v>1325</v>
      </c>
      <c r="CE5" s="50"/>
      <c r="CF5" s="56" t="s">
        <v>835</v>
      </c>
      <c r="CG5" s="57"/>
      <c r="CH5" s="52"/>
      <c r="CI5" s="299"/>
      <c r="CJ5" s="54" t="s">
        <v>822</v>
      </c>
      <c r="CK5" s="262"/>
      <c r="CO5" t="s">
        <v>711</v>
      </c>
      <c r="CP5" t="s">
        <v>1596</v>
      </c>
      <c r="DD5" s="300"/>
      <c r="DE5" s="206"/>
      <c r="DF5" s="206"/>
      <c r="DG5" s="206"/>
      <c r="DH5" s="206"/>
    </row>
    <row r="6" spans="1:112" x14ac:dyDescent="0.25">
      <c r="F6" s="50"/>
      <c r="G6" s="51" t="s">
        <v>743</v>
      </c>
      <c r="H6" s="210" t="b">
        <v>1</v>
      </c>
      <c r="I6" s="53"/>
      <c r="K6" t="s">
        <v>429</v>
      </c>
      <c r="L6" t="s">
        <v>430</v>
      </c>
      <c r="M6" t="s">
        <v>433</v>
      </c>
      <c r="N6" s="5" t="s">
        <v>665</v>
      </c>
      <c r="O6" t="s">
        <v>666</v>
      </c>
      <c r="Q6" s="50"/>
      <c r="R6" s="51" t="s">
        <v>743</v>
      </c>
      <c r="S6" s="210" t="b">
        <v>1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t="s">
        <v>430</v>
      </c>
      <c r="AI6" t="s">
        <v>433</v>
      </c>
      <c r="AJ6" s="5" t="s">
        <v>665</v>
      </c>
      <c r="AK6" t="s">
        <v>666</v>
      </c>
      <c r="AM6" s="50"/>
      <c r="AN6" s="51" t="s">
        <v>743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0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0</v>
      </c>
      <c r="BL6" s="53"/>
      <c r="BN6" t="s">
        <v>429</v>
      </c>
      <c r="BO6" t="s">
        <v>430</v>
      </c>
      <c r="BP6" t="s">
        <v>433</v>
      </c>
      <c r="BQ6" t="s">
        <v>665</v>
      </c>
      <c r="BR6" t="s">
        <v>666</v>
      </c>
      <c r="BT6" s="50"/>
      <c r="BU6" s="51" t="s">
        <v>743</v>
      </c>
      <c r="BV6" s="210" t="b">
        <v>1</v>
      </c>
      <c r="BW6" s="53"/>
      <c r="BY6" t="s">
        <v>429</v>
      </c>
      <c r="BZ6" t="s">
        <v>430</v>
      </c>
      <c r="CA6" t="s">
        <v>433</v>
      </c>
      <c r="CB6" t="s">
        <v>665</v>
      </c>
      <c r="CC6" t="s">
        <v>666</v>
      </c>
      <c r="CE6" s="50"/>
      <c r="CF6" s="270" t="s">
        <v>743</v>
      </c>
      <c r="CG6" s="271" t="b">
        <v>1</v>
      </c>
      <c r="CH6" s="52"/>
      <c r="CI6" s="299"/>
      <c r="CK6" s="261" t="s">
        <v>502</v>
      </c>
      <c r="CL6" s="261" t="s">
        <v>503</v>
      </c>
      <c r="CO6" t="s">
        <v>670</v>
      </c>
      <c r="CP6" s="444" t="str">
        <f>IF(CP4,_xll.meLWOCurveGeneratorCreate(CP5,CO9,CO10:CP18,CO21,CO22:CP26),"Disabled")</f>
        <v>JPY_EURCSA@2:1</v>
      </c>
      <c r="DD6" s="300"/>
      <c r="DE6" s="206"/>
      <c r="DF6" s="206"/>
      <c r="DG6" s="206"/>
      <c r="DH6" s="206"/>
    </row>
    <row r="7" spans="1:112" x14ac:dyDescent="0.25">
      <c r="F7" s="50"/>
      <c r="G7" s="59" t="s">
        <v>711</v>
      </c>
      <c r="H7" s="211" t="str">
        <f>$A$1&amp;"_OIS"</f>
        <v>JPY_OIS</v>
      </c>
      <c r="I7" s="53"/>
      <c r="K7" t="s">
        <v>298</v>
      </c>
      <c r="L7" s="204">
        <f ca="1">O7+N7/10000</f>
        <v>-7.000000000000001E-4</v>
      </c>
      <c r="M7" t="b">
        <v>1</v>
      </c>
      <c r="N7" s="392">
        <f>$N$4</f>
        <v>0</v>
      </c>
      <c r="O7" s="343">
        <f ca="1">JPY_DATA!J7</f>
        <v>-7.000000000000001E-4</v>
      </c>
      <c r="Q7" s="50"/>
      <c r="R7" s="59" t="s">
        <v>711</v>
      </c>
      <c r="S7" s="211" t="str">
        <f>$A$1&amp;"_BASIS_"&amp;"3M6M"</f>
        <v>JPY_BASIS_3M6M</v>
      </c>
      <c r="T7" s="53"/>
      <c r="U7" s="620"/>
      <c r="V7" s="620" t="s">
        <v>300</v>
      </c>
      <c r="W7" s="204">
        <f t="shared" ref="W7:W8" ca="1" si="0">Z7+Y7/10000</f>
        <v>-9.7670000000000005E-4</v>
      </c>
      <c r="X7" s="620" t="b">
        <v>1</v>
      </c>
      <c r="Y7" s="5">
        <f t="shared" ref="Y7:Y8" si="1">$Y$4</f>
        <v>0</v>
      </c>
      <c r="Z7" s="208">
        <f ca="1">JPY_DATA!W7</f>
        <v>-9.7670000000000005E-4</v>
      </c>
      <c r="AA7" s="620"/>
      <c r="AB7" s="50"/>
      <c r="AC7" s="59" t="s">
        <v>711</v>
      </c>
      <c r="AD7" s="211" t="str">
        <f>$A$1&amp;"_SWAP_"&amp;"6M"</f>
        <v>JPY_SWAP_6M</v>
      </c>
      <c r="AE7" s="53"/>
      <c r="AG7" t="s">
        <v>300</v>
      </c>
      <c r="AH7" s="204">
        <f t="shared" ref="AH7:AH9" ca="1" si="2">AK7+AJ7/10000</f>
        <v>-9.7670000000000005E-4</v>
      </c>
      <c r="AI7" t="b">
        <v>1</v>
      </c>
      <c r="AJ7" s="5">
        <f>$AJ$4</f>
        <v>0</v>
      </c>
      <c r="AK7" s="203">
        <f ca="1">JPY_DATA!W7</f>
        <v>-9.7670000000000005E-4</v>
      </c>
      <c r="AL7" s="203"/>
      <c r="AM7" s="50"/>
      <c r="AN7" s="59" t="s">
        <v>711</v>
      </c>
      <c r="AO7" s="211" t="str">
        <f>$A$1&amp;"_BASIS_3X6"</f>
        <v>JPY_BASIS_3X6</v>
      </c>
      <c r="AP7" s="53"/>
      <c r="AR7" t="s">
        <v>47</v>
      </c>
      <c r="AS7" s="208">
        <f>AV7+AU7/10000</f>
        <v>0</v>
      </c>
      <c r="AT7" t="b">
        <v>1</v>
      </c>
      <c r="AU7">
        <f>$AU$4</f>
        <v>0</v>
      </c>
      <c r="AV7" s="207">
        <f>EUR_DATA!AX55</f>
        <v>0</v>
      </c>
      <c r="AW7" s="207"/>
      <c r="AX7" s="50"/>
      <c r="AY7" s="59" t="s">
        <v>711</v>
      </c>
      <c r="AZ7" s="211" t="str">
        <f>A1&amp;"_BASIS_3X12"</f>
        <v>JPY_BASIS_3X12</v>
      </c>
      <c r="BA7" s="53"/>
      <c r="BC7" t="s">
        <v>47</v>
      </c>
      <c r="BE7" t="b">
        <v>1</v>
      </c>
      <c r="BI7" s="50"/>
      <c r="BJ7" s="59" t="s">
        <v>711</v>
      </c>
      <c r="BK7" s="211" t="str">
        <f>A1&amp;"_BASIS_1X3"</f>
        <v>JPY_BASIS_1X3</v>
      </c>
      <c r="BL7" s="53"/>
      <c r="BN7" t="s">
        <v>47</v>
      </c>
      <c r="BP7" t="b">
        <v>1</v>
      </c>
      <c r="BT7" s="50"/>
      <c r="BU7" s="59" t="s">
        <v>711</v>
      </c>
      <c r="BV7" s="211" t="str">
        <f>$A$1&amp;"_XCCY"</f>
        <v>JPY_XCCY</v>
      </c>
      <c r="BW7" s="53"/>
      <c r="BY7" t="s">
        <v>2</v>
      </c>
      <c r="BZ7" t="s">
        <v>128</v>
      </c>
      <c r="CA7">
        <f ca="1">CC7</f>
        <v>106.1</v>
      </c>
      <c r="CC7">
        <f ca="1">JPY_DATA!AX7</f>
        <v>106.1</v>
      </c>
      <c r="CE7" s="50"/>
      <c r="CF7" s="270" t="s">
        <v>830</v>
      </c>
      <c r="CG7" s="271" t="str">
        <f>"FX_CURVE_"&amp;$A$1&amp;"USD"</f>
        <v>FX_CURVE_JPYUSD</v>
      </c>
      <c r="CH7" s="52"/>
      <c r="CI7" s="299"/>
      <c r="CJ7" t="s">
        <v>836</v>
      </c>
      <c r="CK7" s="296">
        <f ca="1">JPY_DATA!AM7</f>
        <v>106.1</v>
      </c>
      <c r="CL7" s="296">
        <f ca="1">JPY_DATA!AN7</f>
        <v>106.1</v>
      </c>
      <c r="CS7" s="601" t="str">
        <f t="array" aca="1" ref="CS7:CV103" ca="1">_xll.meUtilityResize(_xll.meLWOCurveForwardRatesTable(CS1,CS2:CS5,,,,,,"QUARTERLY"),144,5)</f>
        <v>Fixing Dates</v>
      </c>
      <c r="CT7" s="600" t="str">
        <f ca="1"/>
        <v>JPYOIS</v>
      </c>
      <c r="CU7" s="600" t="str">
        <f ca="1"/>
        <v>JPY3M</v>
      </c>
      <c r="CV7" s="600" t="str">
        <f ca="1"/>
        <v>JPY6M</v>
      </c>
      <c r="DD7" s="300"/>
      <c r="DE7" s="206"/>
      <c r="DF7" s="206"/>
      <c r="DG7" s="206"/>
      <c r="DH7" s="206"/>
    </row>
    <row r="8" spans="1:112" x14ac:dyDescent="0.25">
      <c r="F8" s="50"/>
      <c r="G8" s="72" t="s">
        <v>670</v>
      </c>
      <c r="H8" s="35" t="str">
        <f>IF(H$6,_xll.meLWOCurveGeneratorCreate(H$7,"CURVEPROPERTIES",G12:H18,"OIS",G23:H39),"Disabled")</f>
        <v>JPY_OIS@1:1</v>
      </c>
      <c r="I8" s="53" t="s">
        <v>424</v>
      </c>
      <c r="K8" t="s">
        <v>305</v>
      </c>
      <c r="L8" s="204">
        <f t="shared" ref="L8:L33" ca="1" si="3">O8+N8/10000</f>
        <v>-5.5000000000000003E-4</v>
      </c>
      <c r="M8" t="b">
        <v>1</v>
      </c>
      <c r="N8" s="392">
        <f t="shared" ref="N8:N33" si="4">$N$4</f>
        <v>0</v>
      </c>
      <c r="O8" s="343">
        <f ca="1">JPY_DATA!J8</f>
        <v>-5.5000000000000003E-4</v>
      </c>
      <c r="Q8" s="50"/>
      <c r="R8" s="72" t="s">
        <v>670</v>
      </c>
      <c r="S8" s="35" t="str">
        <f>IF(S$6,_xll.meLWOCurveGeneratorCreate(S$7,"CURVEPROPERTIES",R12:S25,"MONEYMARKET",R28:S30,"FRAS",R33:S38,"SWAPS",R41:S54,"BASISSWAPS",R58:S99),"Disabled")</f>
        <v>JPY_BASIS_3M6M@4:1</v>
      </c>
      <c r="T8" s="53" t="s">
        <v>424</v>
      </c>
      <c r="U8" s="620"/>
      <c r="V8" s="620" t="s">
        <v>49</v>
      </c>
      <c r="W8" s="204">
        <f t="shared" ca="1" si="0"/>
        <v>-8.0500000000000005E-4</v>
      </c>
      <c r="X8" s="620" t="b">
        <v>1</v>
      </c>
      <c r="Y8" s="5">
        <f t="shared" si="1"/>
        <v>0</v>
      </c>
      <c r="Z8" s="208">
        <f ca="1">JPY_DATA!W8</f>
        <v>-8.0500000000000005E-4</v>
      </c>
      <c r="AA8" s="620"/>
      <c r="AB8" s="50"/>
      <c r="AC8" s="72" t="s">
        <v>670</v>
      </c>
      <c r="AD8" s="35" t="str">
        <f>IF(AD$6,_xll.meLWOCurveGeneratorCreate(AD$7,"CURVEPROPERTIES",AC12:AD25,"MONEYMARKET",AC28:AD30,"LIBORFIXINGS",AC33:AD37,"FRAS",AC40:AD45,"FUTURES",AC48:AD54,"SWAPS",AC57:AD70),"Disabled")</f>
        <v>JPY_SWAP_6M@5:1</v>
      </c>
      <c r="AE8" s="53" t="s">
        <v>424</v>
      </c>
      <c r="AG8" t="s">
        <v>49</v>
      </c>
      <c r="AH8" s="204">
        <f t="shared" ca="1" si="2"/>
        <v>-8.0500000000000005E-4</v>
      </c>
      <c r="AI8" t="b">
        <v>1</v>
      </c>
      <c r="AJ8" s="5">
        <f t="shared" ref="AJ8:AJ31" si="5">$AJ$4</f>
        <v>0</v>
      </c>
      <c r="AK8" s="203">
        <f ca="1">JPY_DATA!W8</f>
        <v>-8.0500000000000005E-4</v>
      </c>
      <c r="AL8" s="203"/>
      <c r="AM8" s="50"/>
      <c r="AN8" s="72" t="s">
        <v>670</v>
      </c>
      <c r="AO8" s="35" t="str">
        <f>IF(AO$6,_xll.meLWOCurveGeneratorCreate(AO$7,"CURVEPROPERTIES",AN12:AO21,"BASISSWAPS",AN27:AO70),"Disabled")</f>
        <v>Disabled</v>
      </c>
      <c r="AP8" s="53" t="s">
        <v>424</v>
      </c>
      <c r="AR8" t="s">
        <v>308</v>
      </c>
      <c r="AS8" s="208">
        <f t="shared" ref="AS8:AS23" si="6">AV8+AU8/10000</f>
        <v>1E-3</v>
      </c>
      <c r="AT8" t="b">
        <v>1</v>
      </c>
      <c r="AU8">
        <f t="shared" ref="AU8:AU23" si="7">$AU$4</f>
        <v>0</v>
      </c>
      <c r="AV8" s="207">
        <f>ZAR_DATA!Z8</f>
        <v>1E-3</v>
      </c>
      <c r="AW8" s="207"/>
      <c r="AX8" s="50"/>
      <c r="AY8" s="72" t="s">
        <v>670</v>
      </c>
      <c r="AZ8" s="35" t="str">
        <f>IF(AZ$6,_xll.meLWOCurveGeneratorCreate(AZ$7,AY11,AY12:AZ21,AY26,AY27:AZ70),"Disabled")</f>
        <v>Disabled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IF(BK$6,_xll.meLWOCurveGeneratorCreate(BK$7,BJ11,BJ12:BK21,BJ26,BJ27:BK68),"Disabled")</f>
        <v>Disabled</v>
      </c>
      <c r="BL8" s="53" t="s">
        <v>424</v>
      </c>
      <c r="BN8" t="s">
        <v>308</v>
      </c>
      <c r="BP8" t="b">
        <v>1</v>
      </c>
      <c r="BT8" s="50"/>
      <c r="BU8" s="72" t="s">
        <v>670</v>
      </c>
      <c r="BV8" s="35" t="str">
        <f>IF(BV$6,_xll.meLWOCurveGeneratorCreate(BV$7,"CURVEPROPERTIES",BU12:BV23,"XCCYSWAPS",BU27:BV64,"FXFWDS",BU68:BV76),"Disabled")</f>
        <v>JPY_XCCY@6:1</v>
      </c>
      <c r="BW8" s="53" t="s">
        <v>424</v>
      </c>
      <c r="BY8" s="25" t="s">
        <v>298</v>
      </c>
      <c r="BZ8">
        <f t="shared" ref="BZ8:BZ20" ca="1" si="8">CC8</f>
        <v>-0.13300000000000001</v>
      </c>
      <c r="CA8" t="b">
        <v>1</v>
      </c>
      <c r="CC8" s="382">
        <f ca="1">JPY_DATA!AX8</f>
        <v>-0.13300000000000001</v>
      </c>
      <c r="CE8" s="50"/>
      <c r="CF8" t="s">
        <v>670</v>
      </c>
      <c r="CG8" s="263" t="str">
        <f>IF(CG6,_xll.meLWOCurveGeneratorCreate(CG7,"CURVEPROPERTIES",CF12:CG15,"FXFWDS",CF20:CG25),"DISABLED")</f>
        <v>FX_CURVE_JPYUSD@3:1</v>
      </c>
      <c r="CH8" s="52"/>
      <c r="CI8" s="299"/>
      <c r="CJ8" s="377" t="s">
        <v>298</v>
      </c>
      <c r="CK8" s="297">
        <f ca="1">JPY_DATA!AM8</f>
        <v>-0.23</v>
      </c>
      <c r="CL8" s="297">
        <f ca="1">JPY_DATA!AN8</f>
        <v>-0.01</v>
      </c>
      <c r="CS8" s="601">
        <f ca="1"/>
        <v>44083</v>
      </c>
      <c r="CT8" s="600">
        <f ca="1"/>
        <v>-7.0000000006009699E-4</v>
      </c>
      <c r="CU8" s="600">
        <f ca="1"/>
        <v>-8.01045579318481E-4</v>
      </c>
      <c r="CV8" s="600">
        <f ca="1"/>
        <v>-4.9254022689215499E-4</v>
      </c>
      <c r="DD8" s="300"/>
      <c r="DE8" s="206"/>
      <c r="DF8" s="206"/>
      <c r="DG8" s="206"/>
      <c r="DH8" s="206"/>
    </row>
    <row r="9" spans="1:112" x14ac:dyDescent="0.25">
      <c r="F9" s="50"/>
      <c r="G9" s="289"/>
      <c r="H9" s="289"/>
      <c r="I9" s="53" t="s">
        <v>424</v>
      </c>
      <c r="K9" t="s">
        <v>300</v>
      </c>
      <c r="L9" s="204">
        <f t="shared" ca="1" si="3"/>
        <v>-4.2500000000000003E-4</v>
      </c>
      <c r="M9" t="b">
        <v>1</v>
      </c>
      <c r="N9" s="392">
        <f t="shared" si="4"/>
        <v>0</v>
      </c>
      <c r="O9" s="343">
        <f ca="1">JPY_DATA!J9</f>
        <v>-4.2500000000000003E-4</v>
      </c>
      <c r="Q9" s="50"/>
      <c r="R9" s="52"/>
      <c r="S9" s="52"/>
      <c r="T9" s="53"/>
      <c r="V9" s="379" t="s">
        <v>494</v>
      </c>
      <c r="W9" s="204">
        <f ca="1">Z9+Y9/10000</f>
        <v>-8.9999999999999998E-4</v>
      </c>
      <c r="X9" t="b">
        <v>1</v>
      </c>
      <c r="Y9" s="5">
        <f>$Y$4</f>
        <v>0</v>
      </c>
      <c r="Z9" s="208">
        <f ca="1">JPY_DATA!R7</f>
        <v>-8.9999999999999998E-4</v>
      </c>
      <c r="AA9" s="203"/>
      <c r="AB9" s="50"/>
      <c r="AC9" s="52"/>
      <c r="AD9" s="52"/>
      <c r="AE9" s="53"/>
      <c r="AG9" t="s">
        <v>46</v>
      </c>
      <c r="AH9" s="204">
        <f t="shared" ca="1" si="2"/>
        <v>-4.8669999999999996E-4</v>
      </c>
      <c r="AI9" t="b">
        <v>1</v>
      </c>
      <c r="AJ9" s="5">
        <f t="shared" si="5"/>
        <v>0</v>
      </c>
      <c r="AK9" s="203">
        <f ca="1">JPY_DATA!W9</f>
        <v>-4.8669999999999996E-4</v>
      </c>
      <c r="AL9" s="203"/>
      <c r="AM9" s="50"/>
      <c r="AN9" s="52"/>
      <c r="AO9" s="52"/>
      <c r="AP9" s="53"/>
      <c r="AR9" t="s">
        <v>316</v>
      </c>
      <c r="AS9" s="208">
        <f t="shared" si="6"/>
        <v>1E-3</v>
      </c>
      <c r="AT9" t="b">
        <v>1</v>
      </c>
      <c r="AU9">
        <f t="shared" si="7"/>
        <v>0</v>
      </c>
      <c r="AV9" s="207">
        <f>ZAR_DATA!Z9</f>
        <v>1E-3</v>
      </c>
      <c r="AW9" s="207"/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316</v>
      </c>
      <c r="BP9" t="b">
        <v>1</v>
      </c>
      <c r="BT9" s="50"/>
      <c r="BU9" s="52"/>
      <c r="BV9" s="52"/>
      <c r="BW9" s="53"/>
      <c r="BY9" s="25" t="s">
        <v>506</v>
      </c>
      <c r="BZ9">
        <f t="shared" ca="1" si="8"/>
        <v>-0.115</v>
      </c>
      <c r="CA9" t="b">
        <v>1</v>
      </c>
      <c r="CC9" s="382">
        <f ca="1">JPY_DATA!AX9</f>
        <v>-0.115</v>
      </c>
      <c r="CE9" s="50"/>
      <c r="CF9" s="57"/>
      <c r="CG9" s="57"/>
      <c r="CH9" s="52"/>
      <c r="CI9" s="299"/>
      <c r="CJ9" s="378" t="s">
        <v>506</v>
      </c>
      <c r="CK9" s="297">
        <f ca="1">JPY_DATA!AM9</f>
        <v>-0.13200000000000001</v>
      </c>
      <c r="CL9" s="297">
        <f ca="1">JPY_DATA!AN9</f>
        <v>-0.10100000000000001</v>
      </c>
      <c r="CO9" s="2" t="s">
        <v>671</v>
      </c>
      <c r="CS9" s="601">
        <f ca="1"/>
        <v>44174</v>
      </c>
      <c r="CT9" s="600">
        <f ca="1"/>
        <v>-5.0473601916456098E-4</v>
      </c>
      <c r="CU9" s="600">
        <f ca="1"/>
        <v>-9.0391420910007603E-4</v>
      </c>
      <c r="CV9" s="600">
        <f ca="1"/>
        <v>-3.88884963571273E-4</v>
      </c>
      <c r="DD9" s="300"/>
      <c r="DE9" s="206"/>
      <c r="DF9" s="206"/>
      <c r="DG9" s="206"/>
      <c r="DH9" s="206"/>
    </row>
    <row r="10" spans="1:112" x14ac:dyDescent="0.25">
      <c r="F10" s="50"/>
      <c r="G10" s="289"/>
      <c r="H10" s="289"/>
      <c r="I10" s="53"/>
      <c r="K10" t="s">
        <v>335</v>
      </c>
      <c r="L10" s="204">
        <f t="shared" ca="1" si="3"/>
        <v>-4.3749999999999995E-4</v>
      </c>
      <c r="M10" t="b">
        <v>1</v>
      </c>
      <c r="N10" s="392">
        <f t="shared" si="4"/>
        <v>0</v>
      </c>
      <c r="O10" s="343">
        <f ca="1">JPY_DATA!J10</f>
        <v>-4.3749999999999995E-4</v>
      </c>
      <c r="Q10" s="50"/>
      <c r="R10" s="52"/>
      <c r="S10" s="52"/>
      <c r="T10" s="53"/>
      <c r="V10" s="379" t="s">
        <v>495</v>
      </c>
      <c r="W10" s="204">
        <f ca="1">Z10+Y10/10000</f>
        <v>-8.9999999999999998E-4</v>
      </c>
      <c r="X10" t="b">
        <v>1</v>
      </c>
      <c r="Y10" s="5">
        <f t="shared" ref="Y10:Y49" si="9">$Y$4</f>
        <v>0</v>
      </c>
      <c r="Z10" s="208">
        <f ca="1">JPY_DATA!R8</f>
        <v>-8.9999999999999998E-4</v>
      </c>
      <c r="AA10" s="203"/>
      <c r="AB10" s="50"/>
      <c r="AC10" s="52"/>
      <c r="AD10" s="52"/>
      <c r="AE10" s="53"/>
      <c r="AG10" s="200" t="s">
        <v>872</v>
      </c>
      <c r="AH10" s="204">
        <f t="shared" ref="AH10:AH31" ca="1" si="10">AK10+AJ10/10000</f>
        <v>-4.125E-4</v>
      </c>
      <c r="AI10" s="200" t="b">
        <v>1</v>
      </c>
      <c r="AJ10" s="5">
        <f t="shared" si="5"/>
        <v>0</v>
      </c>
      <c r="AK10" s="207">
        <f ca="1">JPY_DATA!W10</f>
        <v>-4.125E-4</v>
      </c>
      <c r="AL10" s="203"/>
      <c r="AM10" s="50"/>
      <c r="AN10" s="52"/>
      <c r="AO10" s="52"/>
      <c r="AP10" s="53"/>
      <c r="AR10" t="s">
        <v>324</v>
      </c>
      <c r="AS10" s="208">
        <f t="shared" si="6"/>
        <v>1E-3</v>
      </c>
      <c r="AT10" t="b">
        <v>1</v>
      </c>
      <c r="AU10">
        <f t="shared" si="7"/>
        <v>0</v>
      </c>
      <c r="AV10" s="207">
        <f>ZAR_DATA!Z10</f>
        <v>1E-3</v>
      </c>
      <c r="AW10" s="207"/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324</v>
      </c>
      <c r="BP10" t="b">
        <v>1</v>
      </c>
      <c r="BT10" s="50"/>
      <c r="BU10" s="52"/>
      <c r="BV10" s="52"/>
      <c r="BW10" s="53"/>
      <c r="BY10" s="25" t="s">
        <v>305</v>
      </c>
      <c r="BZ10">
        <f t="shared" ca="1" si="8"/>
        <v>-0.77</v>
      </c>
      <c r="CA10" t="b">
        <v>1</v>
      </c>
      <c r="CC10" s="382">
        <f ca="1">JPY_DATA!AX10</f>
        <v>-0.77</v>
      </c>
      <c r="CE10" s="50"/>
      <c r="CF10" s="57"/>
      <c r="CG10" s="57"/>
      <c r="CH10" s="52"/>
      <c r="CI10" s="299"/>
      <c r="CJ10" s="378" t="s">
        <v>305</v>
      </c>
      <c r="CK10" s="297">
        <f ca="1">JPY_DATA!AM10</f>
        <v>-0.83</v>
      </c>
      <c r="CL10" s="297">
        <f ca="1">JPY_DATA!AN10</f>
        <v>-0.71</v>
      </c>
      <c r="CO10" t="s">
        <v>435</v>
      </c>
      <c r="CP10" t="s">
        <v>1084</v>
      </c>
      <c r="CS10" s="601">
        <f ca="1"/>
        <v>44264</v>
      </c>
      <c r="CT10" s="600">
        <f ca="1"/>
        <v>-5.9581197451808105E-4</v>
      </c>
      <c r="CU10" s="600">
        <f ca="1"/>
        <v>-5.8222210796282897E-4</v>
      </c>
      <c r="CV10" s="600">
        <f ca="1"/>
        <v>-3.0584259725371802E-4</v>
      </c>
      <c r="DD10" s="300"/>
      <c r="DE10" s="206"/>
      <c r="DF10" s="206"/>
      <c r="DG10" s="206"/>
      <c r="DH10" s="206"/>
    </row>
    <row r="11" spans="1:112" x14ac:dyDescent="0.25">
      <c r="F11" s="50"/>
      <c r="G11" s="54" t="s">
        <v>671</v>
      </c>
      <c r="H11" s="52"/>
      <c r="I11" s="53"/>
      <c r="K11" t="s">
        <v>49</v>
      </c>
      <c r="L11" s="204">
        <f t="shared" ca="1" si="3"/>
        <v>-4.4999999999999999E-4</v>
      </c>
      <c r="M11" t="b">
        <v>1</v>
      </c>
      <c r="N11" s="392">
        <f t="shared" si="4"/>
        <v>0</v>
      </c>
      <c r="O11" s="343">
        <f ca="1">JPY_DATA!J11</f>
        <v>-4.4999999999999999E-4</v>
      </c>
      <c r="Q11" s="50"/>
      <c r="R11" s="54" t="s">
        <v>671</v>
      </c>
      <c r="S11" s="52" t="s">
        <v>713</v>
      </c>
      <c r="T11" s="53"/>
      <c r="V11" s="379" t="s">
        <v>496</v>
      </c>
      <c r="W11" s="204">
        <f ca="1">Z11+Y11/10000</f>
        <v>-8.9999999999999998E-4</v>
      </c>
      <c r="X11" t="b">
        <v>1</v>
      </c>
      <c r="Y11" s="5">
        <f t="shared" si="9"/>
        <v>0</v>
      </c>
      <c r="Z11" s="208">
        <f ca="1">JPY_DATA!R9</f>
        <v>-8.9999999999999998E-4</v>
      </c>
      <c r="AA11" s="203"/>
      <c r="AB11" s="50"/>
      <c r="AC11" s="54" t="s">
        <v>671</v>
      </c>
      <c r="AD11" s="52" t="s">
        <v>713</v>
      </c>
      <c r="AE11" s="53"/>
      <c r="AG11" s="200" t="s">
        <v>873</v>
      </c>
      <c r="AH11" s="204">
        <f t="shared" ca="1" si="10"/>
        <v>-4.0000000000000002E-4</v>
      </c>
      <c r="AI11" s="200" t="b">
        <v>1</v>
      </c>
      <c r="AJ11" s="5">
        <f t="shared" si="5"/>
        <v>0</v>
      </c>
      <c r="AK11" s="207">
        <f ca="1">JPY_DATA!W11</f>
        <v>-4.0000000000000002E-4</v>
      </c>
      <c r="AL11" s="203"/>
      <c r="AM11" s="50"/>
      <c r="AN11" s="54" t="s">
        <v>671</v>
      </c>
      <c r="AO11" s="85" t="s">
        <v>713</v>
      </c>
      <c r="AP11" s="53"/>
      <c r="AR11" t="s">
        <v>331</v>
      </c>
      <c r="AS11" s="208">
        <f t="shared" si="6"/>
        <v>1E-3</v>
      </c>
      <c r="AT11" t="b">
        <v>1</v>
      </c>
      <c r="AU11">
        <f t="shared" si="7"/>
        <v>0</v>
      </c>
      <c r="AV11" s="207">
        <f>ZAR_DATA!Z11</f>
        <v>1E-3</v>
      </c>
      <c r="AW11" s="207"/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 t="s">
        <v>713</v>
      </c>
      <c r="BL11" s="53"/>
      <c r="BN11" t="s">
        <v>331</v>
      </c>
      <c r="BP11" t="b">
        <v>1</v>
      </c>
      <c r="BT11" s="50"/>
      <c r="BU11" s="54" t="s">
        <v>671</v>
      </c>
      <c r="BV11" s="85"/>
      <c r="BW11" s="53"/>
      <c r="BY11" s="25" t="s">
        <v>313</v>
      </c>
      <c r="BZ11">
        <f t="shared" ca="1" si="8"/>
        <v>-1.55</v>
      </c>
      <c r="CA11" t="b">
        <v>1</v>
      </c>
      <c r="CC11" s="382">
        <f ca="1">JPY_DATA!AX11</f>
        <v>-1.55</v>
      </c>
      <c r="CE11" s="50"/>
      <c r="CF11" s="56" t="s">
        <v>671</v>
      </c>
      <c r="CG11" s="272" t="s">
        <v>825</v>
      </c>
      <c r="CH11" s="52"/>
      <c r="CI11" s="299"/>
      <c r="CJ11" s="378" t="s">
        <v>313</v>
      </c>
      <c r="CK11" s="297">
        <f ca="1">JPY_DATA!AM11</f>
        <v>-1.62</v>
      </c>
      <c r="CL11" s="297">
        <f ca="1">JPY_DATA!AN11</f>
        <v>-1.49</v>
      </c>
      <c r="CO11" t="s">
        <v>438</v>
      </c>
      <c r="CP11" t="s">
        <v>439</v>
      </c>
      <c r="CS11" s="601">
        <f ca="1"/>
        <v>44356</v>
      </c>
      <c r="CT11" s="600">
        <f ca="1"/>
        <v>-6.4909809008362499E-4</v>
      </c>
      <c r="CU11" s="600">
        <f ca="1"/>
        <v>-5.9929020876466901E-4</v>
      </c>
      <c r="CV11" s="600">
        <f ca="1"/>
        <v>-3.3765648756940698E-4</v>
      </c>
      <c r="DD11" s="300"/>
      <c r="DE11" s="206"/>
      <c r="DF11" s="206"/>
      <c r="DG11" s="206"/>
      <c r="DH11" s="206"/>
    </row>
    <row r="12" spans="1:112" x14ac:dyDescent="0.25">
      <c r="F12" s="50"/>
      <c r="G12" s="212" t="s">
        <v>435</v>
      </c>
      <c r="H12" s="213" t="s">
        <v>426</v>
      </c>
      <c r="I12" s="53"/>
      <c r="K12" t="s">
        <v>351</v>
      </c>
      <c r="L12" s="204">
        <f t="shared" ca="1" si="3"/>
        <v>-4.75E-4</v>
      </c>
      <c r="M12" t="b">
        <v>1</v>
      </c>
      <c r="N12" s="392">
        <f t="shared" si="4"/>
        <v>0</v>
      </c>
      <c r="O12" s="343">
        <f ca="1">JPY_DATA!J12</f>
        <v>-4.75E-4</v>
      </c>
      <c r="Q12" s="50"/>
      <c r="R12" s="220" t="s">
        <v>434</v>
      </c>
      <c r="S12" s="238" t="str">
        <f>$A$1</f>
        <v>JPY</v>
      </c>
      <c r="T12" s="53"/>
      <c r="V12" s="379" t="s">
        <v>497</v>
      </c>
      <c r="W12" s="204">
        <f ca="1">Z12+Y12/10000</f>
        <v>-5.7499999999999999E-4</v>
      </c>
      <c r="X12" t="b">
        <v>1</v>
      </c>
      <c r="Y12" s="5">
        <f t="shared" si="9"/>
        <v>0</v>
      </c>
      <c r="Z12" s="208">
        <f ca="1">JPY_DATA!R10</f>
        <v>-5.7499999999999999E-4</v>
      </c>
      <c r="AA12" s="203"/>
      <c r="AB12" s="50"/>
      <c r="AC12" s="220" t="s">
        <v>435</v>
      </c>
      <c r="AD12" s="221" t="s">
        <v>463</v>
      </c>
      <c r="AE12" s="53"/>
      <c r="AG12" s="200" t="s">
        <v>874</v>
      </c>
      <c r="AH12" s="204">
        <f t="shared" ca="1" si="10"/>
        <v>-3.8749999999999999E-4</v>
      </c>
      <c r="AI12" s="200" t="b">
        <v>1</v>
      </c>
      <c r="AJ12" s="5">
        <f t="shared" si="5"/>
        <v>0</v>
      </c>
      <c r="AK12" s="207">
        <f ca="1">JPY_DATA!W12</f>
        <v>-3.8749999999999999E-4</v>
      </c>
      <c r="AL12" s="203"/>
      <c r="AM12" s="50"/>
      <c r="AN12" s="220" t="s">
        <v>434</v>
      </c>
      <c r="AO12" s="238" t="str">
        <f>$A$1</f>
        <v>JPY</v>
      </c>
      <c r="AP12" s="53"/>
      <c r="AR12" t="s">
        <v>339</v>
      </c>
      <c r="AS12" s="208">
        <f t="shared" si="6"/>
        <v>1E-3</v>
      </c>
      <c r="AT12" t="b">
        <v>1</v>
      </c>
      <c r="AU12">
        <f t="shared" si="7"/>
        <v>0</v>
      </c>
      <c r="AV12" s="207">
        <f>ZAR_DATA!Z12</f>
        <v>1E-3</v>
      </c>
      <c r="AW12" s="207"/>
      <c r="AX12" s="50"/>
      <c r="AY12" s="220" t="s">
        <v>434</v>
      </c>
      <c r="AZ12" s="238" t="str">
        <f>$A$1</f>
        <v>JPY</v>
      </c>
      <c r="BA12" s="53"/>
      <c r="BC12" t="s">
        <v>339</v>
      </c>
      <c r="BE12" t="b">
        <v>1</v>
      </c>
      <c r="BI12" s="50"/>
      <c r="BJ12" s="220" t="s">
        <v>434</v>
      </c>
      <c r="BK12" s="238" t="str">
        <f>INDEX('STATIC DATA'!C39:AB39,1,MATCH($A$1,'STATIC DATA'!$C$4:$AB$4,0))</f>
        <v>LNB</v>
      </c>
      <c r="BL12" s="53"/>
      <c r="BN12" t="s">
        <v>339</v>
      </c>
      <c r="BP12" t="b">
        <v>1</v>
      </c>
      <c r="BT12" s="50"/>
      <c r="BU12" s="220" t="s">
        <v>435</v>
      </c>
      <c r="BV12" s="238" t="s">
        <v>669</v>
      </c>
      <c r="BW12" s="53"/>
      <c r="BY12" s="25" t="s">
        <v>300</v>
      </c>
      <c r="BZ12">
        <f t="shared" ca="1" si="8"/>
        <v>-5.18</v>
      </c>
      <c r="CA12" t="b">
        <v>1</v>
      </c>
      <c r="CC12" s="382">
        <f ca="1">JPY_DATA!AX13</f>
        <v>-5.18</v>
      </c>
      <c r="CE12" s="50"/>
      <c r="CF12" s="238" t="s">
        <v>434</v>
      </c>
      <c r="CG12" s="238" t="str">
        <f>$A$1&amp;"/"&amp;"USD"</f>
        <v>JPY/USD</v>
      </c>
      <c r="CH12" s="52"/>
      <c r="CI12" s="299"/>
      <c r="CJ12" s="378" t="s">
        <v>320</v>
      </c>
      <c r="CK12" s="297">
        <f ca="1">JPY_DATA!AM12</f>
        <v>-3.83</v>
      </c>
      <c r="CL12" s="297">
        <f ca="1">JPY_DATA!AN12</f>
        <v>-3.6</v>
      </c>
      <c r="CO12" t="s">
        <v>672</v>
      </c>
      <c r="CP12" t="s">
        <v>1092</v>
      </c>
      <c r="CS12" s="601">
        <f ca="1"/>
        <v>44448</v>
      </c>
      <c r="CT12" s="600">
        <f ca="1"/>
        <v>-6.9221460197441402E-4</v>
      </c>
      <c r="CU12" s="600">
        <f ca="1"/>
        <v>-7.7315101532619596E-4</v>
      </c>
      <c r="CV12" s="600">
        <f ca="1"/>
        <v>-4.2910210437419402E-4</v>
      </c>
      <c r="DD12" s="300"/>
      <c r="DE12" s="206"/>
      <c r="DF12" s="206"/>
      <c r="DG12" s="206"/>
      <c r="DH12" s="206"/>
    </row>
    <row r="13" spans="1:112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360</v>
      </c>
      <c r="L13" s="204">
        <f t="shared" ca="1" si="3"/>
        <v>-4.8750000000000003E-4</v>
      </c>
      <c r="M13" t="b">
        <v>1</v>
      </c>
      <c r="N13" s="392">
        <f t="shared" si="4"/>
        <v>0</v>
      </c>
      <c r="O13" s="343">
        <f ca="1">JPY_DATA!J13</f>
        <v>-4.8750000000000003E-4</v>
      </c>
      <c r="Q13" s="50"/>
      <c r="R13" s="222" t="s">
        <v>435</v>
      </c>
      <c r="S13" s="216" t="s">
        <v>468</v>
      </c>
      <c r="T13" s="53"/>
      <c r="V13" s="379" t="s">
        <v>498</v>
      </c>
      <c r="W13" s="204">
        <f t="shared" ref="W13:W49" ca="1" si="11">Z13+Y13/10000</f>
        <v>-5.9999999999999995E-4</v>
      </c>
      <c r="X13" t="b">
        <v>0</v>
      </c>
      <c r="Y13" s="5">
        <f t="shared" si="9"/>
        <v>0</v>
      </c>
      <c r="Z13" s="208">
        <f ca="1">JPY_DATA!R11</f>
        <v>-5.9999999999999995E-4</v>
      </c>
      <c r="AA13" s="203"/>
      <c r="AB13" s="50"/>
      <c r="AC13" s="222" t="s">
        <v>438</v>
      </c>
      <c r="AD13" s="223" t="str">
        <f>IF(INDEX('STATIC DATA'!C56:AB56,1,MATCH(A1,'STATIC DATA'!C4:AB4,0))="1Y","ANNUAL",(IF(INDEX('STATIC DATA'!C56:AB56,1,MATCH($A$1,'STATIC DATA'!C4:AB4,0))="6M","SEMI-ANNUAL","QUARTERLY")))</f>
        <v>SEMI-ANNUAL</v>
      </c>
      <c r="AE13" s="53"/>
      <c r="AG13" s="200" t="s">
        <v>877</v>
      </c>
      <c r="AH13" s="204">
        <f t="shared" ca="1" si="10"/>
        <v>-2.9999999999999997E-4</v>
      </c>
      <c r="AI13" s="200" t="b">
        <v>1</v>
      </c>
      <c r="AJ13" s="5">
        <f t="shared" si="5"/>
        <v>0</v>
      </c>
      <c r="AK13" s="207">
        <f ca="1">JPY_DATA!W13</f>
        <v>-2.9999999999999997E-4</v>
      </c>
      <c r="AL13" s="203"/>
      <c r="AM13" s="50"/>
      <c r="AN13" s="222" t="s">
        <v>435</v>
      </c>
      <c r="AO13" s="216" t="s">
        <v>468</v>
      </c>
      <c r="AP13" s="53"/>
      <c r="AR13" t="s">
        <v>342</v>
      </c>
      <c r="AS13" s="208">
        <f t="shared" si="6"/>
        <v>1E-3</v>
      </c>
      <c r="AT13" t="b">
        <v>1</v>
      </c>
      <c r="AU13">
        <f t="shared" si="7"/>
        <v>0</v>
      </c>
      <c r="AV13" s="207">
        <f>ZAR_DATA!Z13</f>
        <v>1E-3</v>
      </c>
      <c r="AW13" s="207"/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435</v>
      </c>
      <c r="BK13" s="216" t="s">
        <v>468</v>
      </c>
      <c r="BL13" s="53"/>
      <c r="BN13" t="s">
        <v>342</v>
      </c>
      <c r="BP13" t="b">
        <v>1</v>
      </c>
      <c r="BT13" s="50"/>
      <c r="BU13" s="222" t="s">
        <v>438</v>
      </c>
      <c r="BV13" s="216" t="s">
        <v>458</v>
      </c>
      <c r="BW13" s="53"/>
      <c r="BY13" s="25" t="s">
        <v>335</v>
      </c>
      <c r="BZ13">
        <f t="shared" ca="1" si="8"/>
        <v>-9.07</v>
      </c>
      <c r="CA13" t="b">
        <v>1</v>
      </c>
      <c r="CC13" s="382">
        <f ca="1">JPY_DATA!AX14</f>
        <v>-9.07</v>
      </c>
      <c r="CE13" s="50"/>
      <c r="CF13" s="216" t="s">
        <v>724</v>
      </c>
      <c r="CG13" s="216" t="s">
        <v>1462</v>
      </c>
      <c r="CH13" s="52"/>
      <c r="CI13" s="299"/>
      <c r="CJ13" s="378" t="s">
        <v>300</v>
      </c>
      <c r="CK13" s="297">
        <f ca="1">JPY_DATA!AM13</f>
        <v>-5.35</v>
      </c>
      <c r="CL13" s="297">
        <f ca="1">JPY_DATA!AN13</f>
        <v>-5.07</v>
      </c>
      <c r="CO13" t="s">
        <v>673</v>
      </c>
      <c r="CP13" t="s">
        <v>1326</v>
      </c>
      <c r="CS13" s="601">
        <f ca="1"/>
        <v>44539</v>
      </c>
      <c r="CT13" s="600">
        <f ca="1"/>
        <v>-8.8118738149175601E-4</v>
      </c>
      <c r="CU13" s="600">
        <f ca="1"/>
        <v>-8.8531834442218105E-4</v>
      </c>
      <c r="CV13" s="600">
        <f ca="1"/>
        <v>-4.6102192912135601E-4</v>
      </c>
      <c r="DD13" s="300"/>
      <c r="DE13" s="206"/>
      <c r="DF13" s="206"/>
      <c r="DG13" s="206"/>
      <c r="DH13" s="206"/>
    </row>
    <row r="14" spans="1:112" x14ac:dyDescent="0.25">
      <c r="F14" s="50"/>
      <c r="G14" s="214" t="s">
        <v>672</v>
      </c>
      <c r="H14" s="215" t="s">
        <v>426</v>
      </c>
      <c r="I14" s="53"/>
      <c r="K14" t="s">
        <v>46</v>
      </c>
      <c r="L14" s="204">
        <f t="shared" ca="1" si="3"/>
        <v>-5.0000000000000001E-4</v>
      </c>
      <c r="M14" t="b">
        <v>1</v>
      </c>
      <c r="N14" s="392">
        <f t="shared" si="4"/>
        <v>0</v>
      </c>
      <c r="O14" s="343">
        <f ca="1">JPY_DATA!J14</f>
        <v>-5.0000000000000001E-4</v>
      </c>
      <c r="Q14" s="50"/>
      <c r="R14" s="222" t="s">
        <v>438</v>
      </c>
      <c r="S14" s="216" t="s">
        <v>1120</v>
      </c>
      <c r="T14" s="53"/>
      <c r="V14" s="378" t="s">
        <v>47</v>
      </c>
      <c r="W14" s="204">
        <f t="shared" ca="1" si="11"/>
        <v>3.2499999999999999E-4</v>
      </c>
      <c r="X14" t="b">
        <v>1</v>
      </c>
      <c r="Z14" s="208">
        <f ca="1">JPY_DATA!R12</f>
        <v>3.2499999999999999E-4</v>
      </c>
      <c r="AA14" s="207"/>
      <c r="AB14" s="50"/>
      <c r="AC14" s="222" t="s">
        <v>672</v>
      </c>
      <c r="AD14" s="223" t="s">
        <v>714</v>
      </c>
      <c r="AE14" s="53"/>
      <c r="AG14" s="25" t="s">
        <v>47</v>
      </c>
      <c r="AH14" s="204">
        <f t="shared" ca="1" si="10"/>
        <v>-4.0000000000000002E-4</v>
      </c>
      <c r="AI14" s="200" t="b">
        <v>1</v>
      </c>
      <c r="AJ14" s="5">
        <f t="shared" si="5"/>
        <v>0</v>
      </c>
      <c r="AK14" s="204">
        <f ca="1">JPY_DATA!AG15+JPY_DATA!W14</f>
        <v>-4.0000000000000002E-4</v>
      </c>
      <c r="AL14" s="203"/>
      <c r="AM14" s="50"/>
      <c r="AN14" s="222" t="s">
        <v>438</v>
      </c>
      <c r="AO14" s="216" t="s">
        <v>459</v>
      </c>
      <c r="AP14" s="53"/>
      <c r="AR14" t="s">
        <v>355</v>
      </c>
      <c r="AS14" s="208">
        <f t="shared" si="6"/>
        <v>1E-3</v>
      </c>
      <c r="AT14" t="b">
        <v>1</v>
      </c>
      <c r="AU14">
        <f t="shared" si="7"/>
        <v>0</v>
      </c>
      <c r="AV14" s="207">
        <f>ZAR_DATA!Z14</f>
        <v>1E-3</v>
      </c>
      <c r="AW14" s="207"/>
      <c r="AX14" s="50"/>
      <c r="AY14" s="222" t="s">
        <v>438</v>
      </c>
      <c r="AZ14" s="216" t="s">
        <v>680</v>
      </c>
      <c r="BA14" s="53"/>
      <c r="BC14" t="s">
        <v>355</v>
      </c>
      <c r="BE14" t="b">
        <v>1</v>
      </c>
      <c r="BI14" s="50"/>
      <c r="BJ14" s="222" t="s">
        <v>438</v>
      </c>
      <c r="BK14" s="216" t="s">
        <v>794</v>
      </c>
      <c r="BL14" s="53"/>
      <c r="BN14" t="s">
        <v>355</v>
      </c>
      <c r="BP14" t="b">
        <v>1</v>
      </c>
      <c r="BT14" s="50"/>
      <c r="BU14" s="222" t="s">
        <v>672</v>
      </c>
      <c r="BV14" s="216" t="s">
        <v>803</v>
      </c>
      <c r="BW14" s="53"/>
      <c r="BY14" s="25" t="s">
        <v>49</v>
      </c>
      <c r="BZ14">
        <f t="shared" ca="1" si="8"/>
        <v>-12.89</v>
      </c>
      <c r="CA14" t="b">
        <v>1</v>
      </c>
      <c r="CC14" s="382">
        <f ca="1">JPY_DATA!AX15</f>
        <v>-12.89</v>
      </c>
      <c r="CE14" s="50"/>
      <c r="CF14" s="216" t="s">
        <v>435</v>
      </c>
      <c r="CG14" s="216" t="s">
        <v>820</v>
      </c>
      <c r="CH14" s="52"/>
      <c r="CI14" s="299"/>
      <c r="CJ14" s="378" t="s">
        <v>335</v>
      </c>
      <c r="CK14" s="297">
        <f ca="1">JPY_DATA!AM14</f>
        <v>-9.24</v>
      </c>
      <c r="CL14" s="297">
        <f ca="1">JPY_DATA!AN14</f>
        <v>-8.94</v>
      </c>
      <c r="CO14" t="s">
        <v>434</v>
      </c>
      <c r="CP14" t="s">
        <v>128</v>
      </c>
      <c r="CS14" s="601">
        <f ca="1"/>
        <v>44629</v>
      </c>
      <c r="CT14" s="600">
        <f ca="1"/>
        <v>-1.03723091099466E-3</v>
      </c>
      <c r="CU14" s="600">
        <f ca="1"/>
        <v>-9.3905576207075204E-4</v>
      </c>
      <c r="CV14" s="600">
        <f ca="1"/>
        <v>-4.55619194227028E-4</v>
      </c>
      <c r="DD14" s="300"/>
      <c r="DE14" s="206"/>
      <c r="DF14" s="206"/>
      <c r="DG14" s="206"/>
      <c r="DH14" s="206"/>
    </row>
    <row r="15" spans="1:112" x14ac:dyDescent="0.25">
      <c r="F15" s="50"/>
      <c r="G15" s="235" t="s">
        <v>673</v>
      </c>
      <c r="H15" s="236" t="s">
        <v>1114</v>
      </c>
      <c r="I15" s="53" t="s">
        <v>424</v>
      </c>
      <c r="K15" t="s">
        <v>376</v>
      </c>
      <c r="L15" s="204">
        <f t="shared" ca="1" si="3"/>
        <v>-5.5000000000000003E-4</v>
      </c>
      <c r="M15" t="b">
        <v>1</v>
      </c>
      <c r="N15" s="392">
        <f t="shared" si="4"/>
        <v>0</v>
      </c>
      <c r="O15" s="343">
        <f ca="1">JPY_DATA!J15</f>
        <v>-5.5000000000000003E-4</v>
      </c>
      <c r="Q15" s="50"/>
      <c r="R15" s="222" t="s">
        <v>672</v>
      </c>
      <c r="S15" s="216" t="s">
        <v>745</v>
      </c>
      <c r="T15" s="53"/>
      <c r="V15" s="378" t="s">
        <v>501</v>
      </c>
      <c r="W15" s="204">
        <f t="shared" ca="1" si="11"/>
        <v>3.5E-4</v>
      </c>
      <c r="X15" t="b">
        <v>1</v>
      </c>
      <c r="Z15" s="208">
        <f ca="1">JPY_DATA!R13</f>
        <v>3.5E-4</v>
      </c>
      <c r="AA15" s="207"/>
      <c r="AB15" s="50"/>
      <c r="AC15" s="233" t="s">
        <v>673</v>
      </c>
      <c r="AD15" s="230" t="str">
        <f>"STD:"&amp;$A$1&amp;"6M"</f>
        <v>STD:JPY6M</v>
      </c>
      <c r="AE15" s="53"/>
      <c r="AG15" s="25" t="s">
        <v>501</v>
      </c>
      <c r="AH15" s="204">
        <f t="shared" ca="1" si="10"/>
        <v>-4.125E-4</v>
      </c>
      <c r="AI15" s="200" t="b">
        <v>1</v>
      </c>
      <c r="AJ15" s="5">
        <f t="shared" si="5"/>
        <v>0</v>
      </c>
      <c r="AK15" s="204">
        <f ca="1">JPY_DATA!AG16+JPY_DATA!W15</f>
        <v>-4.125E-4</v>
      </c>
      <c r="AL15" s="203"/>
      <c r="AM15" s="50"/>
      <c r="AN15" s="222" t="s">
        <v>672</v>
      </c>
      <c r="AO15" s="216" t="s">
        <v>745</v>
      </c>
      <c r="AP15" s="53"/>
      <c r="AR15" t="s">
        <v>364</v>
      </c>
      <c r="AS15" s="208">
        <f t="shared" si="6"/>
        <v>1E-3</v>
      </c>
      <c r="AT15" t="b">
        <v>1</v>
      </c>
      <c r="AU15">
        <f t="shared" si="7"/>
        <v>0</v>
      </c>
      <c r="AV15" s="207">
        <f>ZAR_DATA!Z15</f>
        <v>1E-3</v>
      </c>
      <c r="AW15" s="207"/>
      <c r="AX15" s="50"/>
      <c r="AY15" s="222" t="s">
        <v>672</v>
      </c>
      <c r="AZ15" s="216" t="s">
        <v>798</v>
      </c>
      <c r="BA15" s="53"/>
      <c r="BC15" t="s">
        <v>364</v>
      </c>
      <c r="BE15" t="b">
        <v>1</v>
      </c>
      <c r="BI15" s="50"/>
      <c r="BJ15" s="222" t="s">
        <v>672</v>
      </c>
      <c r="BK15" s="216" t="s">
        <v>795</v>
      </c>
      <c r="BL15" s="53"/>
      <c r="BN15" t="s">
        <v>364</v>
      </c>
      <c r="BP15" t="b">
        <v>1</v>
      </c>
      <c r="BT15" s="50"/>
      <c r="BU15" s="222" t="s">
        <v>673</v>
      </c>
      <c r="BV15" s="216" t="s">
        <v>1124</v>
      </c>
      <c r="BW15" s="53"/>
      <c r="BY15" s="25" t="s">
        <v>351</v>
      </c>
      <c r="BZ15">
        <f t="shared" ca="1" si="8"/>
        <v>-26.1</v>
      </c>
      <c r="CA15" t="b">
        <v>1</v>
      </c>
      <c r="CC15" s="382">
        <f ca="1">JPY_DATA!AX16</f>
        <v>-26.1</v>
      </c>
      <c r="CE15" s="50"/>
      <c r="CF15" s="219" t="s">
        <v>826</v>
      </c>
      <c r="CG15" s="219" t="s">
        <v>828</v>
      </c>
      <c r="CH15" s="52"/>
      <c r="CI15" s="299"/>
      <c r="CJ15" s="378" t="s">
        <v>49</v>
      </c>
      <c r="CK15" s="297">
        <f ca="1">JPY_DATA!AM15</f>
        <v>-13.08</v>
      </c>
      <c r="CL15" s="297">
        <f ca="1">JPY_DATA!AN15</f>
        <v>-12.71</v>
      </c>
      <c r="CO15" t="s">
        <v>674</v>
      </c>
      <c r="CP15" t="s">
        <v>1655</v>
      </c>
      <c r="CS15" s="601">
        <f ca="1"/>
        <v>44721</v>
      </c>
      <c r="CT15" s="600">
        <f ca="1"/>
        <v>-1.13425224506965E-3</v>
      </c>
      <c r="CU15" s="600">
        <f ca="1"/>
        <v>-9.6677585147506896E-4</v>
      </c>
      <c r="CV15" s="600">
        <f ca="1"/>
        <v>-4.6125970533877902E-4</v>
      </c>
      <c r="DD15" s="300"/>
      <c r="DE15" s="206"/>
      <c r="DF15" s="206"/>
      <c r="DG15" s="206"/>
      <c r="DH15" s="206"/>
    </row>
    <row r="16" spans="1:112" x14ac:dyDescent="0.25">
      <c r="F16" s="50"/>
      <c r="G16" s="214" t="s">
        <v>434</v>
      </c>
      <c r="H16" s="216" t="str">
        <f>$A$1</f>
        <v>JPY</v>
      </c>
      <c r="I16" s="53"/>
      <c r="K16" t="s">
        <v>47</v>
      </c>
      <c r="L16" s="204">
        <f t="shared" ca="1" si="3"/>
        <v>-5.7499999999999999E-4</v>
      </c>
      <c r="M16" t="b">
        <v>1</v>
      </c>
      <c r="N16" s="392">
        <f t="shared" si="4"/>
        <v>0</v>
      </c>
      <c r="O16" s="343">
        <f ca="1">JPY_DATA!J16</f>
        <v>-5.7499999999999999E-4</v>
      </c>
      <c r="Q16" s="50"/>
      <c r="R16" s="233" t="s">
        <v>673</v>
      </c>
      <c r="S16" s="230" t="s">
        <v>1121</v>
      </c>
      <c r="T16" s="53"/>
      <c r="V16" s="378" t="s">
        <v>308</v>
      </c>
      <c r="W16" s="204">
        <f t="shared" ca="1" si="11"/>
        <v>3.8749999999999999E-4</v>
      </c>
      <c r="X16" t="b">
        <v>1</v>
      </c>
      <c r="Z16" s="208">
        <f ca="1">JPY_DATA!R14</f>
        <v>3.8749999999999999E-4</v>
      </c>
      <c r="AA16" s="207"/>
      <c r="AB16" s="50"/>
      <c r="AC16" s="222" t="s">
        <v>434</v>
      </c>
      <c r="AD16" s="223" t="str">
        <f>$A$1</f>
        <v>JPY</v>
      </c>
      <c r="AE16" s="53"/>
      <c r="AG16" s="25" t="s">
        <v>308</v>
      </c>
      <c r="AH16" s="204">
        <f t="shared" ca="1" si="10"/>
        <v>-4.2500000000000003E-4</v>
      </c>
      <c r="AI16" t="b">
        <v>1</v>
      </c>
      <c r="AJ16" s="5">
        <f t="shared" si="5"/>
        <v>0</v>
      </c>
      <c r="AK16" s="204">
        <f ca="1">JPY_DATA!AG17+JPY_DATA!W16</f>
        <v>-4.2500000000000003E-4</v>
      </c>
      <c r="AL16" s="203"/>
      <c r="AM16" s="50"/>
      <c r="AN16" s="233" t="s">
        <v>673</v>
      </c>
      <c r="AO16" s="230" t="s">
        <v>793</v>
      </c>
      <c r="AP16" s="53"/>
      <c r="AR16" t="s">
        <v>349</v>
      </c>
      <c r="AS16" s="208">
        <f t="shared" si="6"/>
        <v>1E-3</v>
      </c>
      <c r="AT16" t="b">
        <v>1</v>
      </c>
      <c r="AU16">
        <f t="shared" si="7"/>
        <v>0</v>
      </c>
      <c r="AV16" s="207">
        <f>ZAR_DATA!Z16</f>
        <v>1E-3</v>
      </c>
      <c r="AW16" s="207"/>
      <c r="AX16" s="50"/>
      <c r="AY16" s="233" t="s">
        <v>673</v>
      </c>
      <c r="AZ16" s="230" t="s">
        <v>799</v>
      </c>
      <c r="BA16" s="53"/>
      <c r="BC16" t="s">
        <v>349</v>
      </c>
      <c r="BE16" t="b">
        <v>1</v>
      </c>
      <c r="BI16" s="50"/>
      <c r="BJ16" s="233" t="s">
        <v>673</v>
      </c>
      <c r="BK16" s="230" t="s">
        <v>796</v>
      </c>
      <c r="BL16" s="53"/>
      <c r="BN16" t="s">
        <v>349</v>
      </c>
      <c r="BP16" t="b">
        <v>1</v>
      </c>
      <c r="BT16" s="50"/>
      <c r="BU16" s="233" t="s">
        <v>434</v>
      </c>
      <c r="BV16" s="230" t="str">
        <f>$A$1</f>
        <v>JPY</v>
      </c>
      <c r="BW16" s="53"/>
      <c r="BY16" s="25" t="s">
        <v>360</v>
      </c>
      <c r="BZ16">
        <f t="shared" ca="1" si="8"/>
        <v>-30.43</v>
      </c>
      <c r="CA16" t="b">
        <v>1</v>
      </c>
      <c r="CC16" s="382">
        <f ca="1">JPY_DATA!AX17</f>
        <v>-30.43</v>
      </c>
      <c r="CE16" s="50"/>
      <c r="CF16" s="57"/>
      <c r="CG16" s="57"/>
      <c r="CH16" s="52"/>
      <c r="CI16" s="299"/>
      <c r="CJ16" s="378" t="s">
        <v>351</v>
      </c>
      <c r="CK16" s="297">
        <f ca="1">JPY_DATA!AM16</f>
        <v>-26.3</v>
      </c>
      <c r="CL16" s="297">
        <f ca="1">JPY_DATA!AN16</f>
        <v>-25.89</v>
      </c>
      <c r="CO16" t="s">
        <v>676</v>
      </c>
      <c r="CP16" s="620" t="s">
        <v>1655</v>
      </c>
      <c r="CS16" s="601">
        <f ca="1"/>
        <v>44813</v>
      </c>
      <c r="CT16" s="600">
        <f ca="1"/>
        <v>-1.1354204574670801E-3</v>
      </c>
      <c r="CU16" s="600">
        <f ca="1"/>
        <v>-9.7913590452053108E-4</v>
      </c>
      <c r="CV16" s="600">
        <f ca="1"/>
        <v>-4.78665168838901E-4</v>
      </c>
      <c r="DD16" s="300"/>
      <c r="DE16" s="206"/>
      <c r="DF16" s="206"/>
      <c r="DG16" s="206"/>
      <c r="DH16" s="206"/>
    </row>
    <row r="17" spans="6:112" x14ac:dyDescent="0.25">
      <c r="F17" s="50"/>
      <c r="G17" s="217" t="s">
        <v>674</v>
      </c>
      <c r="H17" s="216" t="s">
        <v>1655</v>
      </c>
      <c r="I17" s="53"/>
      <c r="K17" t="s">
        <v>501</v>
      </c>
      <c r="L17" s="204">
        <f t="shared" ca="1" si="3"/>
        <v>-6.7500000000000004E-4</v>
      </c>
      <c r="M17" t="b">
        <v>1</v>
      </c>
      <c r="N17" s="392">
        <f t="shared" si="4"/>
        <v>0</v>
      </c>
      <c r="O17" s="343">
        <f ca="1">JPY_DATA!J17</f>
        <v>-6.7500000000000004E-4</v>
      </c>
      <c r="Q17" s="50"/>
      <c r="R17" s="222" t="s">
        <v>674</v>
      </c>
      <c r="S17" s="216" t="s">
        <v>1655</v>
      </c>
      <c r="T17" s="53"/>
      <c r="V17" s="378" t="s">
        <v>316</v>
      </c>
      <c r="W17" s="204">
        <f t="shared" ca="1" si="11"/>
        <v>4.2499999999999998E-4</v>
      </c>
      <c r="X17" t="b">
        <v>1</v>
      </c>
      <c r="Z17" s="208">
        <f ca="1">JPY_DATA!R15</f>
        <v>4.2499999999999998E-4</v>
      </c>
      <c r="AA17" s="207"/>
      <c r="AB17" s="50"/>
      <c r="AC17" s="222" t="s">
        <v>674</v>
      </c>
      <c r="AD17" s="223" t="s">
        <v>1655</v>
      </c>
      <c r="AE17" s="53"/>
      <c r="AG17" s="25" t="s">
        <v>316</v>
      </c>
      <c r="AH17" s="204">
        <f t="shared" ca="1" si="10"/>
        <v>-4.4999999999999999E-4</v>
      </c>
      <c r="AI17" t="b">
        <v>1</v>
      </c>
      <c r="AJ17" s="5">
        <f t="shared" si="5"/>
        <v>0</v>
      </c>
      <c r="AK17" s="204">
        <f ca="1">JPY_DATA!AG18+JPY_DATA!W17</f>
        <v>-4.4999999999999999E-4</v>
      </c>
      <c r="AL17" s="203"/>
      <c r="AM17" s="50"/>
      <c r="AN17" s="222" t="s">
        <v>674</v>
      </c>
      <c r="AO17" s="216" t="s">
        <v>675</v>
      </c>
      <c r="AP17" s="53"/>
      <c r="AR17" t="s">
        <v>358</v>
      </c>
      <c r="AS17" s="208">
        <f t="shared" si="6"/>
        <v>1E-3</v>
      </c>
      <c r="AT17" t="b">
        <v>1</v>
      </c>
      <c r="AU17">
        <f t="shared" si="7"/>
        <v>0</v>
      </c>
      <c r="AV17" s="207">
        <f>ZAR_DATA!Z17</f>
        <v>1E-3</v>
      </c>
      <c r="AW17" s="207"/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N17" t="s">
        <v>358</v>
      </c>
      <c r="BP17" t="b">
        <v>1</v>
      </c>
      <c r="BT17" s="50"/>
      <c r="BU17" s="222" t="s">
        <v>674</v>
      </c>
      <c r="BV17" s="216" t="s">
        <v>1655</v>
      </c>
      <c r="BW17" s="53"/>
      <c r="BY17" s="25" t="s">
        <v>46</v>
      </c>
      <c r="BZ17">
        <f t="shared" ca="1" si="8"/>
        <v>-34.24</v>
      </c>
      <c r="CA17" t="b">
        <v>1</v>
      </c>
      <c r="CC17" s="382">
        <f ca="1">JPY_DATA!AX18</f>
        <v>-34.24</v>
      </c>
      <c r="CE17" s="50"/>
      <c r="CF17" s="57"/>
      <c r="CG17" s="57"/>
      <c r="CH17" s="52"/>
      <c r="CI17" s="299"/>
      <c r="CJ17" s="378" t="s">
        <v>360</v>
      </c>
      <c r="CK17" s="297">
        <f ca="1">JPY_DATA!AM17</f>
        <v>-30.55</v>
      </c>
      <c r="CL17" s="297">
        <f ca="1">JPY_DATA!AN17</f>
        <v>-29.99</v>
      </c>
      <c r="CO17" t="s">
        <v>746</v>
      </c>
      <c r="CP17" s="620" t="s">
        <v>1655</v>
      </c>
      <c r="CS17" s="601">
        <f ca="1"/>
        <v>44904</v>
      </c>
      <c r="CT17" s="600">
        <f ca="1"/>
        <v>-1.0963855678018399E-3</v>
      </c>
      <c r="CU17" s="600">
        <f ca="1"/>
        <v>-9.8828881135304392E-4</v>
      </c>
      <c r="CV17" s="600">
        <f ca="1"/>
        <v>-4.9619081025148004E-4</v>
      </c>
      <c r="DD17" s="300"/>
      <c r="DE17" s="206"/>
      <c r="DF17" s="206"/>
      <c r="DG17" s="206"/>
      <c r="DH17" s="206"/>
    </row>
    <row r="18" spans="6:112" x14ac:dyDescent="0.25">
      <c r="F18" s="50"/>
      <c r="G18" s="214" t="s">
        <v>676</v>
      </c>
      <c r="H18" s="216" t="s">
        <v>1655</v>
      </c>
      <c r="I18" s="53"/>
      <c r="K18" t="s">
        <v>308</v>
      </c>
      <c r="L18" s="204">
        <f t="shared" ca="1" si="3"/>
        <v>-7.8750000000000001E-4</v>
      </c>
      <c r="M18" t="b">
        <v>1</v>
      </c>
      <c r="N18" s="392">
        <f t="shared" si="4"/>
        <v>0</v>
      </c>
      <c r="O18" s="343">
        <f ca="1">JPY_DATA!J18</f>
        <v>-7.8750000000000001E-4</v>
      </c>
      <c r="Q18" s="50"/>
      <c r="R18" s="222" t="s">
        <v>676</v>
      </c>
      <c r="S18" s="639" t="s">
        <v>1655</v>
      </c>
      <c r="T18" s="53"/>
      <c r="V18" s="378" t="s">
        <v>324</v>
      </c>
      <c r="W18" s="204">
        <f t="shared" ca="1" si="11"/>
        <v>4.4999999999999999E-4</v>
      </c>
      <c r="X18" t="b">
        <v>1</v>
      </c>
      <c r="Z18" s="208">
        <f ca="1">JPY_DATA!R16</f>
        <v>4.4999999999999999E-4</v>
      </c>
      <c r="AA18" s="207"/>
      <c r="AB18" s="50"/>
      <c r="AC18" s="222" t="s">
        <v>676</v>
      </c>
      <c r="AD18" s="223" t="s">
        <v>1655</v>
      </c>
      <c r="AE18" s="53"/>
      <c r="AG18" s="25" t="s">
        <v>324</v>
      </c>
      <c r="AH18" s="204">
        <f t="shared" ca="1" si="10"/>
        <v>-4.4999999999999999E-4</v>
      </c>
      <c r="AI18" t="b">
        <v>1</v>
      </c>
      <c r="AJ18" s="5">
        <f t="shared" si="5"/>
        <v>0</v>
      </c>
      <c r="AK18" s="204">
        <f ca="1">JPY_DATA!AG19+JPY_DATA!W18</f>
        <v>-4.4999999999999999E-4</v>
      </c>
      <c r="AL18" s="203"/>
      <c r="AM18" s="50"/>
      <c r="AN18" s="222" t="s">
        <v>676</v>
      </c>
      <c r="AO18" s="216" t="s">
        <v>675</v>
      </c>
      <c r="AP18" s="53"/>
      <c r="AR18" t="s">
        <v>367</v>
      </c>
      <c r="AS18" s="208">
        <f t="shared" si="6"/>
        <v>1E-3</v>
      </c>
      <c r="AT18" t="b">
        <v>1</v>
      </c>
      <c r="AU18">
        <f t="shared" si="7"/>
        <v>0</v>
      </c>
      <c r="AV18" s="207">
        <f>ZAR_DATA!Z18</f>
        <v>1E-3</v>
      </c>
      <c r="AW18" s="207"/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t="s">
        <v>367</v>
      </c>
      <c r="BP18" t="b">
        <v>1</v>
      </c>
      <c r="BT18" s="50"/>
      <c r="BU18" s="222" t="s">
        <v>676</v>
      </c>
      <c r="BV18" s="639" t="s">
        <v>1655</v>
      </c>
      <c r="BW18" s="53"/>
      <c r="BY18" s="25" t="s">
        <v>1570</v>
      </c>
      <c r="BZ18">
        <f t="shared" ref="BZ18:BZ19" ca="1" si="12">CC18</f>
        <v>-40.14</v>
      </c>
      <c r="CA18" t="b">
        <v>1</v>
      </c>
      <c r="CC18" s="382">
        <f ca="1">JPY_DATA!AX19</f>
        <v>-40.14</v>
      </c>
      <c r="CE18" s="50"/>
      <c r="CF18" s="57"/>
      <c r="CG18" s="57"/>
      <c r="CH18" s="52"/>
      <c r="CI18" s="299"/>
      <c r="CJ18" s="378" t="s">
        <v>46</v>
      </c>
      <c r="CK18" s="297">
        <f ca="1">JPY_DATA!AM18</f>
        <v>-34.520000000000003</v>
      </c>
      <c r="CL18" s="297">
        <f ca="1">JPY_DATA!AN18</f>
        <v>-33.72</v>
      </c>
      <c r="CO18" t="s">
        <v>748</v>
      </c>
      <c r="CP18" t="s">
        <v>426</v>
      </c>
      <c r="CS18" s="601">
        <f ca="1"/>
        <v>44994</v>
      </c>
      <c r="CT18" s="600">
        <f ca="1"/>
        <v>-1.0761083460796999E-3</v>
      </c>
      <c r="CU18" s="600">
        <f ca="1"/>
        <v>-9.9774625062595194E-4</v>
      </c>
      <c r="CV18" s="600">
        <f ca="1"/>
        <v>-5.07016829197614E-4</v>
      </c>
      <c r="DD18" s="300"/>
      <c r="DE18" s="206"/>
      <c r="DF18" s="206"/>
      <c r="DG18" s="206"/>
      <c r="DH18" s="206"/>
    </row>
    <row r="19" spans="6:112" x14ac:dyDescent="0.25">
      <c r="F19" s="50"/>
      <c r="G19" s="214"/>
      <c r="H19" s="216"/>
      <c r="I19" s="53"/>
      <c r="K19" t="s">
        <v>316</v>
      </c>
      <c r="L19" s="204">
        <f t="shared" ca="1" si="3"/>
        <v>-8.8749999999999994E-4</v>
      </c>
      <c r="M19" t="b">
        <v>1</v>
      </c>
      <c r="N19" s="392">
        <f t="shared" si="4"/>
        <v>0</v>
      </c>
      <c r="O19" s="343">
        <f ca="1">JPY_DATA!J19</f>
        <v>-8.8749999999999994E-4</v>
      </c>
      <c r="Q19" s="50"/>
      <c r="R19" s="222" t="s">
        <v>746</v>
      </c>
      <c r="S19" s="639" t="s">
        <v>1655</v>
      </c>
      <c r="T19" s="53"/>
      <c r="V19" s="378" t="s">
        <v>331</v>
      </c>
      <c r="W19" s="204">
        <f t="shared" ca="1" si="11"/>
        <v>4.6250000000000002E-4</v>
      </c>
      <c r="X19" t="b">
        <v>1</v>
      </c>
      <c r="Z19" s="208">
        <f ca="1">JPY_DATA!R17</f>
        <v>4.6250000000000002E-4</v>
      </c>
      <c r="AA19" s="207"/>
      <c r="AB19" s="50"/>
      <c r="AC19" s="222" t="s">
        <v>716</v>
      </c>
      <c r="AD19" s="223" t="s">
        <v>1655</v>
      </c>
      <c r="AE19" s="53"/>
      <c r="AG19" s="25" t="s">
        <v>331</v>
      </c>
      <c r="AH19" s="204">
        <f t="shared" ca="1" si="10"/>
        <v>-4.0000000000000002E-4</v>
      </c>
      <c r="AI19" t="b">
        <v>1</v>
      </c>
      <c r="AJ19" s="5">
        <f t="shared" si="5"/>
        <v>0</v>
      </c>
      <c r="AK19" s="204">
        <f ca="1">JPY_DATA!AG20+JPY_DATA!W19</f>
        <v>-4.0000000000000002E-4</v>
      </c>
      <c r="AL19" s="203"/>
      <c r="AM19" s="50"/>
      <c r="AN19" s="222" t="s">
        <v>746</v>
      </c>
      <c r="AO19" s="216" t="s">
        <v>675</v>
      </c>
      <c r="AP19" s="53"/>
      <c r="AR19" t="s">
        <v>374</v>
      </c>
      <c r="AS19" s="208">
        <f t="shared" si="6"/>
        <v>1E-3</v>
      </c>
      <c r="AT19" t="b">
        <v>1</v>
      </c>
      <c r="AU19">
        <f t="shared" si="7"/>
        <v>0</v>
      </c>
      <c r="AV19" s="207">
        <f>ZAR_DATA!Z19</f>
        <v>1E-3</v>
      </c>
      <c r="AW19" s="207"/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374</v>
      </c>
      <c r="BP19" t="b">
        <v>1</v>
      </c>
      <c r="BT19" s="50"/>
      <c r="BU19" s="222" t="s">
        <v>746</v>
      </c>
      <c r="BV19" s="639" t="s">
        <v>1655</v>
      </c>
      <c r="BW19" s="53"/>
      <c r="BY19" s="25" t="s">
        <v>1571</v>
      </c>
      <c r="BZ19">
        <f t="shared" ca="1" si="12"/>
        <v>-44.62</v>
      </c>
      <c r="CA19" t="b">
        <v>1</v>
      </c>
      <c r="CC19" s="382">
        <f ca="1">JPY_DATA!AX20</f>
        <v>-44.62</v>
      </c>
      <c r="CE19" s="50"/>
      <c r="CF19" s="56" t="s">
        <v>814</v>
      </c>
      <c r="CG19" s="57"/>
      <c r="CH19" s="262"/>
      <c r="CI19" s="303"/>
      <c r="CJ19" s="378" t="s">
        <v>376</v>
      </c>
      <c r="CK19" s="297">
        <f ca="1">JPY_DATA!AM19</f>
        <v>-49.76</v>
      </c>
      <c r="CL19" s="297">
        <f ca="1">JPY_DATA!AN19</f>
        <v>-48.75</v>
      </c>
      <c r="CS19" s="601">
        <f ca="1"/>
        <v>45086</v>
      </c>
      <c r="CT19" s="600">
        <f ca="1"/>
        <v>-1.0738243705612301E-3</v>
      </c>
      <c r="CU19" s="600">
        <f ca="1"/>
        <v>-1.00767824803415E-3</v>
      </c>
      <c r="CV19" s="600">
        <f ca="1"/>
        <v>-5.05991593961724E-4</v>
      </c>
      <c r="DD19" s="300"/>
      <c r="DE19" s="206"/>
      <c r="DF19" s="206"/>
      <c r="DG19" s="206"/>
      <c r="DH19" s="206"/>
    </row>
    <row r="20" spans="6:112" x14ac:dyDescent="0.25">
      <c r="F20" s="50"/>
      <c r="G20" s="218"/>
      <c r="H20" s="219"/>
      <c r="I20" s="53"/>
      <c r="K20" t="s">
        <v>324</v>
      </c>
      <c r="L20" s="204">
        <f t="shared" ca="1" si="3"/>
        <v>-9.3749999999999997E-4</v>
      </c>
      <c r="M20" t="b">
        <v>1</v>
      </c>
      <c r="N20" s="392">
        <f t="shared" si="4"/>
        <v>0</v>
      </c>
      <c r="O20" s="343">
        <f ca="1">JPY_DATA!J56-JPY_DATA!J38</f>
        <v>-9.3749999999999997E-4</v>
      </c>
      <c r="Q20" s="50"/>
      <c r="R20" s="222" t="s">
        <v>747</v>
      </c>
      <c r="S20" s="216" t="s">
        <v>720</v>
      </c>
      <c r="T20" s="53"/>
      <c r="V20" s="378" t="s">
        <v>339</v>
      </c>
      <c r="W20" s="204">
        <f t="shared" ca="1" si="11"/>
        <v>4.6250000000000002E-4</v>
      </c>
      <c r="X20" t="b">
        <v>1</v>
      </c>
      <c r="Z20" s="208">
        <f ca="1">JPY_DATA!R18</f>
        <v>4.6250000000000002E-4</v>
      </c>
      <c r="AA20" s="207"/>
      <c r="AB20" s="50"/>
      <c r="AC20" s="233" t="s">
        <v>717</v>
      </c>
      <c r="AD20" s="230" t="b">
        <v>1</v>
      </c>
      <c r="AE20" s="53"/>
      <c r="AG20" s="25" t="s">
        <v>339</v>
      </c>
      <c r="AH20" s="204">
        <f t="shared" ca="1" si="10"/>
        <v>-3.2499999999999999E-4</v>
      </c>
      <c r="AI20" t="b">
        <v>1</v>
      </c>
      <c r="AJ20" s="5">
        <f t="shared" si="5"/>
        <v>0</v>
      </c>
      <c r="AK20" s="204">
        <f ca="1">JPY_DATA!AG21+JPY_DATA!W20</f>
        <v>-3.2499999999999999E-4</v>
      </c>
      <c r="AL20" s="203"/>
      <c r="AM20" s="50"/>
      <c r="AN20" s="222" t="s">
        <v>747</v>
      </c>
      <c r="AO20" s="216" t="s">
        <v>720</v>
      </c>
      <c r="AP20" s="53"/>
      <c r="AR20" t="s">
        <v>382</v>
      </c>
      <c r="AS20" s="208">
        <f t="shared" si="6"/>
        <v>1E-3</v>
      </c>
      <c r="AT20" t="b">
        <v>1</v>
      </c>
      <c r="AU20">
        <f t="shared" si="7"/>
        <v>0</v>
      </c>
      <c r="AV20" s="207">
        <f>ZAR_DATA!Z20</f>
        <v>1E-3</v>
      </c>
      <c r="AW20" s="207"/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s">
        <v>720</v>
      </c>
      <c r="BL20" s="53"/>
      <c r="BN20" t="s">
        <v>382</v>
      </c>
      <c r="BP20" t="b">
        <v>1</v>
      </c>
      <c r="BT20" s="50"/>
      <c r="BU20" s="222" t="s">
        <v>747</v>
      </c>
      <c r="BV20" s="216" t="b">
        <v>0</v>
      </c>
      <c r="BW20" s="53"/>
      <c r="BY20" s="25" t="s">
        <v>376</v>
      </c>
      <c r="BZ20">
        <f t="shared" ca="1" si="8"/>
        <v>-49.27</v>
      </c>
      <c r="CA20" t="b">
        <v>1</v>
      </c>
      <c r="CC20" s="382">
        <f ca="1">JPY_DATA!AX21</f>
        <v>-49.27</v>
      </c>
      <c r="CE20" s="50"/>
      <c r="CF20" s="147" t="s">
        <v>704</v>
      </c>
      <c r="CG20" s="221" t="str">
        <f>INDEX('STATIC DATA'!C30:AB30,1,MATCH($A$1,'STATIC DATA'!$C$4:$AB$4,0))</f>
        <v>TKB:NYB:LNB</v>
      </c>
      <c r="CH20" s="52"/>
      <c r="CI20" s="299"/>
      <c r="CJ20" s="378" t="s">
        <v>322</v>
      </c>
      <c r="CK20" s="297">
        <f ca="1">JPY_DATA!AM20</f>
        <v>-65.86</v>
      </c>
      <c r="CL20" s="297">
        <f ca="1">JPY_DATA!AN20</f>
        <v>-64.540000000000006</v>
      </c>
      <c r="CS20" s="601">
        <f ca="1"/>
        <v>45180</v>
      </c>
      <c r="CT20" s="600">
        <f ca="1"/>
        <v>-1.09084876381907E-3</v>
      </c>
      <c r="CU20" s="600">
        <f ca="1"/>
        <v>-1.0138105071563E-3</v>
      </c>
      <c r="CV20" s="600">
        <f ca="1"/>
        <v>-4.8852708166878902E-4</v>
      </c>
      <c r="DD20" s="300"/>
      <c r="DE20" s="206"/>
      <c r="DF20" s="206"/>
      <c r="DG20" s="206"/>
      <c r="DH20" s="206"/>
    </row>
    <row r="21" spans="6:112" x14ac:dyDescent="0.25">
      <c r="F21" s="50"/>
      <c r="G21" s="52"/>
      <c r="H21" s="52"/>
      <c r="I21" s="53"/>
      <c r="K21" t="s">
        <v>331</v>
      </c>
      <c r="L21" s="204">
        <f t="shared" ca="1" si="3"/>
        <v>-9.2500000000000004E-4</v>
      </c>
      <c r="M21" t="b">
        <v>1</v>
      </c>
      <c r="N21" s="392">
        <f t="shared" si="4"/>
        <v>0</v>
      </c>
      <c r="O21" s="343">
        <f ca="1">JPY_DATA!J57-JPY_DATA!J39</f>
        <v>-9.2500000000000004E-4</v>
      </c>
      <c r="Q21" s="50"/>
      <c r="R21" s="234" t="s">
        <v>748</v>
      </c>
      <c r="S21" s="232" t="s">
        <v>426</v>
      </c>
      <c r="T21" s="53"/>
      <c r="V21" s="378" t="s">
        <v>342</v>
      </c>
      <c r="W21" s="204">
        <f t="shared" ca="1" si="11"/>
        <v>4.6250000000000002E-4</v>
      </c>
      <c r="X21" t="b">
        <v>1</v>
      </c>
      <c r="Z21" s="208">
        <f ca="1">JPY_DATA!R19</f>
        <v>4.6250000000000002E-4</v>
      </c>
      <c r="AA21" s="207"/>
      <c r="AB21" s="50"/>
      <c r="AC21" s="233" t="s">
        <v>719</v>
      </c>
      <c r="AD21" s="230" t="b">
        <v>0</v>
      </c>
      <c r="AE21" s="53"/>
      <c r="AG21" s="25" t="s">
        <v>342</v>
      </c>
      <c r="AH21" s="204">
        <f t="shared" ca="1" si="10"/>
        <v>-2.0000000000000001E-4</v>
      </c>
      <c r="AI21" t="b">
        <v>1</v>
      </c>
      <c r="AJ21" s="5">
        <f t="shared" si="5"/>
        <v>0</v>
      </c>
      <c r="AK21" s="204">
        <f ca="1">JPY_DATA!AG22+JPY_DATA!W21</f>
        <v>-2.0000000000000001E-4</v>
      </c>
      <c r="AL21" s="203"/>
      <c r="AM21" s="50"/>
      <c r="AN21" s="234" t="s">
        <v>748</v>
      </c>
      <c r="AO21" s="232" t="s">
        <v>790</v>
      </c>
      <c r="AP21" s="53"/>
      <c r="AR21" t="s">
        <v>389</v>
      </c>
      <c r="AS21" s="208">
        <f t="shared" si="6"/>
        <v>1E-3</v>
      </c>
      <c r="AT21" t="b">
        <v>1</v>
      </c>
      <c r="AU21">
        <f t="shared" si="7"/>
        <v>0</v>
      </c>
      <c r="AV21" s="207">
        <f>ZAR_DATA!Z21</f>
        <v>1E-3</v>
      </c>
      <c r="AW21" s="207"/>
      <c r="AX21" s="50"/>
      <c r="AY21" s="234" t="s">
        <v>748</v>
      </c>
      <c r="AZ21" s="232" t="s">
        <v>800</v>
      </c>
      <c r="BA21" s="53"/>
      <c r="BC21" t="s">
        <v>389</v>
      </c>
      <c r="BE21" t="b">
        <v>1</v>
      </c>
      <c r="BI21" s="50"/>
      <c r="BJ21" s="234" t="s">
        <v>748</v>
      </c>
      <c r="BK21" s="232" t="s">
        <v>790</v>
      </c>
      <c r="BL21" s="53"/>
      <c r="BN21" t="s">
        <v>389</v>
      </c>
      <c r="BP21" t="b">
        <v>1</v>
      </c>
      <c r="BT21" s="50"/>
      <c r="BU21" s="234" t="s">
        <v>717</v>
      </c>
      <c r="BV21" s="232" t="b">
        <v>0</v>
      </c>
      <c r="BW21" s="53"/>
      <c r="BY21" s="25" t="s">
        <v>47</v>
      </c>
      <c r="BZ21" s="204">
        <f t="shared" ref="BZ21:BZ36" ca="1" si="13">CC21+CB21/10000</f>
        <v>-2.9750000000000002E-3</v>
      </c>
      <c r="CA21" t="b">
        <v>1</v>
      </c>
      <c r="CB21">
        <f t="shared" ref="CB21:CB36" si="14">$CB$4</f>
        <v>0</v>
      </c>
      <c r="CC21" s="208">
        <f ca="1">JPY_DATA!AX25</f>
        <v>-2.9750000000000002E-3</v>
      </c>
      <c r="CE21" s="50"/>
      <c r="CF21" s="149" t="s">
        <v>732</v>
      </c>
      <c r="CG21" s="223" t="str">
        <f>INDEX('STATIC DATA'!C19:AB19,1,MATCH($A$1,'STATIC DATA'!$C$4:$AB$4,0))</f>
        <v>2D</v>
      </c>
      <c r="CH21" s="52"/>
      <c r="CI21" s="299"/>
      <c r="CJ21" s="378" t="s">
        <v>823</v>
      </c>
      <c r="CK21" s="297">
        <f ca="1">JPY_DATA!AM21</f>
        <v>-83.97</v>
      </c>
      <c r="CL21" s="297">
        <f ca="1">JPY_DATA!AN21</f>
        <v>-80.25</v>
      </c>
      <c r="CO21" s="2" t="s">
        <v>1084</v>
      </c>
      <c r="CP21" t="s">
        <v>713</v>
      </c>
      <c r="CS21" s="601">
        <f ca="1"/>
        <v>45271</v>
      </c>
      <c r="CT21" s="600">
        <f ca="1"/>
        <v>-1.1062954532936201E-3</v>
      </c>
      <c r="CU21" s="600">
        <f ca="1"/>
        <v>-9.9993650918999105E-4</v>
      </c>
      <c r="CV21" s="600">
        <f ca="1"/>
        <v>-4.5323444672152799E-4</v>
      </c>
      <c r="DD21" s="300"/>
      <c r="DE21" s="206"/>
      <c r="DF21" s="206"/>
      <c r="DG21" s="206"/>
      <c r="DH21" s="206"/>
    </row>
    <row r="22" spans="6:112" x14ac:dyDescent="0.25">
      <c r="F22" s="50"/>
      <c r="G22" s="54" t="s">
        <v>426</v>
      </c>
      <c r="H22" s="52"/>
      <c r="I22" s="53"/>
      <c r="K22" t="s">
        <v>339</v>
      </c>
      <c r="L22" s="204">
        <f t="shared" ca="1" si="3"/>
        <v>-8.4999999999999995E-4</v>
      </c>
      <c r="M22" t="b">
        <v>1</v>
      </c>
      <c r="N22" s="392">
        <f t="shared" si="4"/>
        <v>0</v>
      </c>
      <c r="O22" s="343">
        <f ca="1">JPY_DATA!J58-JPY_DATA!J40</f>
        <v>-8.4999999999999995E-4</v>
      </c>
      <c r="Q22" s="50"/>
      <c r="R22" s="641" t="s">
        <v>1222</v>
      </c>
      <c r="S22" s="639" t="b">
        <v>1</v>
      </c>
      <c r="T22" s="53"/>
      <c r="V22" s="378" t="s">
        <v>355</v>
      </c>
      <c r="W22" s="204">
        <f t="shared" ca="1" si="11"/>
        <v>4.6250000000000002E-4</v>
      </c>
      <c r="X22" t="b">
        <v>1</v>
      </c>
      <c r="Z22" s="208">
        <f ca="1">JPY_DATA!R20</f>
        <v>4.6250000000000002E-4</v>
      </c>
      <c r="AA22" s="203"/>
      <c r="AB22" s="50"/>
      <c r="AC22" s="222" t="s">
        <v>706</v>
      </c>
      <c r="AD22" s="223" t="s">
        <v>721</v>
      </c>
      <c r="AE22" s="53"/>
      <c r="AG22" s="25" t="s">
        <v>355</v>
      </c>
      <c r="AH22" s="204">
        <f t="shared" ca="1" si="10"/>
        <v>-4.9999999999999996E-5</v>
      </c>
      <c r="AI22" t="b">
        <v>1</v>
      </c>
      <c r="AJ22" s="5">
        <f t="shared" si="5"/>
        <v>0</v>
      </c>
      <c r="AK22" s="204">
        <f ca="1">JPY_DATA!AG23+JPY_DATA!W22</f>
        <v>-4.9999999999999996E-5</v>
      </c>
      <c r="AL22" s="203"/>
      <c r="AM22" s="50"/>
      <c r="AN22" s="222" t="s">
        <v>713</v>
      </c>
      <c r="AO22" s="216" t="s">
        <v>713</v>
      </c>
      <c r="AP22" s="53"/>
      <c r="AR22" t="s">
        <v>445</v>
      </c>
      <c r="AS22" s="208">
        <f t="shared" si="6"/>
        <v>1E-3</v>
      </c>
      <c r="AT22" t="b">
        <v>1</v>
      </c>
      <c r="AU22">
        <f t="shared" si="7"/>
        <v>0</v>
      </c>
      <c r="AV22" s="207">
        <f>ZAR_DATA!Z22</f>
        <v>1E-3</v>
      </c>
      <c r="AW22" s="207"/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713</v>
      </c>
      <c r="BK22" s="216" t="s">
        <v>713</v>
      </c>
      <c r="BL22" s="53"/>
      <c r="BN22" t="s">
        <v>445</v>
      </c>
      <c r="BP22" t="b">
        <v>1</v>
      </c>
      <c r="BT22" s="50"/>
      <c r="BU22" s="222" t="s">
        <v>805</v>
      </c>
      <c r="BV22" s="216" t="b">
        <v>1</v>
      </c>
      <c r="BW22" s="53"/>
      <c r="BY22" s="25" t="s">
        <v>501</v>
      </c>
      <c r="BZ22" s="204">
        <f t="shared" ca="1" si="13"/>
        <v>-3.3625E-3</v>
      </c>
      <c r="CA22" t="b">
        <v>1</v>
      </c>
      <c r="CB22">
        <f t="shared" si="14"/>
        <v>0</v>
      </c>
      <c r="CC22" s="208">
        <f ca="1">JPY_DATA!AX26</f>
        <v>-3.3625E-3</v>
      </c>
      <c r="CE22" s="50"/>
      <c r="CF22" s="149" t="s">
        <v>707</v>
      </c>
      <c r="CG22" s="223" t="s">
        <v>687</v>
      </c>
      <c r="CH22" s="52"/>
      <c r="CI22" s="299"/>
      <c r="CJ22" s="378" t="s">
        <v>501</v>
      </c>
      <c r="CK22" s="297">
        <f ca="1">JPY_DATA!AM22</f>
        <v>-105.72</v>
      </c>
      <c r="CL22" s="297">
        <f ca="1">JPY_DATA!AN22</f>
        <v>-100.88</v>
      </c>
      <c r="CO22" t="s">
        <v>1085</v>
      </c>
      <c r="CP22" t="s">
        <v>1093</v>
      </c>
      <c r="CS22" s="601">
        <f ca="1"/>
        <v>45362</v>
      </c>
      <c r="CT22" s="600">
        <f ca="1"/>
        <v>-1.1008943309022399E-3</v>
      </c>
      <c r="CU22" s="600">
        <f ca="1"/>
        <v>-9.6190575516275599E-4</v>
      </c>
      <c r="CV22" s="600">
        <f ca="1"/>
        <v>-3.9965378659511302E-4</v>
      </c>
      <c r="DD22" s="300"/>
      <c r="DE22" s="206"/>
      <c r="DF22" s="206"/>
      <c r="DG22" s="206"/>
      <c r="DH22" s="206"/>
    </row>
    <row r="23" spans="6:112" x14ac:dyDescent="0.25">
      <c r="F23" s="50"/>
      <c r="G23" s="220" t="s">
        <v>677</v>
      </c>
      <c r="H23" s="221" t="str">
        <f>INDEX('STATIC DATA'!C43:AB43,1,MATCH($A$1,'STATIC DATA'!$C$4:$AB$4,0))</f>
        <v>TKB</v>
      </c>
      <c r="I23" s="53"/>
      <c r="K23" t="s">
        <v>342</v>
      </c>
      <c r="L23" s="204">
        <f t="shared" ca="1" si="3"/>
        <v>-7.3749999999999998E-4</v>
      </c>
      <c r="M23" t="b">
        <v>1</v>
      </c>
      <c r="N23" s="392">
        <f t="shared" si="4"/>
        <v>0</v>
      </c>
      <c r="O23" s="343">
        <f ca="1">JPY_DATA!J59-JPY_DATA!J41</f>
        <v>-7.3749999999999998E-4</v>
      </c>
      <c r="Q23" s="50"/>
      <c r="R23" s="234"/>
      <c r="S23" s="232"/>
      <c r="T23" s="53"/>
      <c r="V23" s="378" t="s">
        <v>364</v>
      </c>
      <c r="W23" s="204">
        <f t="shared" ca="1" si="11"/>
        <v>4.6250000000000002E-4</v>
      </c>
      <c r="X23" t="b">
        <v>1</v>
      </c>
      <c r="Z23" s="208">
        <f ca="1">JPY_DATA!R21</f>
        <v>4.6250000000000002E-4</v>
      </c>
      <c r="AA23" s="203"/>
      <c r="AB23" s="50"/>
      <c r="AC23" s="222" t="s">
        <v>722</v>
      </c>
      <c r="AD23" s="223" t="s">
        <v>718</v>
      </c>
      <c r="AE23" s="53"/>
      <c r="AG23" s="25" t="s">
        <v>364</v>
      </c>
      <c r="AH23" s="204">
        <f t="shared" ca="1" si="10"/>
        <v>1.3749999999999998E-4</v>
      </c>
      <c r="AI23" t="b">
        <v>1</v>
      </c>
      <c r="AJ23" s="5">
        <f t="shared" si="5"/>
        <v>0</v>
      </c>
      <c r="AK23" s="204">
        <f ca="1">JPY_DATA!AG24+JPY_DATA!W23</f>
        <v>1.3749999999999998E-4</v>
      </c>
      <c r="AL23" s="203"/>
      <c r="AM23" s="50"/>
      <c r="AN23" s="234" t="s">
        <v>713</v>
      </c>
      <c r="AO23" s="232" t="s">
        <v>713</v>
      </c>
      <c r="AP23" s="53"/>
      <c r="AR23" t="s">
        <v>448</v>
      </c>
      <c r="AS23" s="208">
        <f t="shared" si="6"/>
        <v>1E-3</v>
      </c>
      <c r="AT23" t="b">
        <v>1</v>
      </c>
      <c r="AU23">
        <f t="shared" si="7"/>
        <v>0</v>
      </c>
      <c r="AV23" s="207">
        <f>ZAR_DATA!Z23</f>
        <v>1E-3</v>
      </c>
      <c r="AW23" s="207"/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713</v>
      </c>
      <c r="BK23" s="232" t="s">
        <v>713</v>
      </c>
      <c r="BL23" s="53"/>
      <c r="BN23" t="s">
        <v>448</v>
      </c>
      <c r="BP23" t="b">
        <v>1</v>
      </c>
      <c r="BT23" s="50"/>
      <c r="BU23" s="234" t="s">
        <v>806</v>
      </c>
      <c r="BV23" s="232" t="b">
        <v>1</v>
      </c>
      <c r="BW23" s="53"/>
      <c r="BY23" s="25" t="s">
        <v>308</v>
      </c>
      <c r="BZ23" s="204">
        <f t="shared" ca="1" si="13"/>
        <v>-3.4749999999999998E-3</v>
      </c>
      <c r="CA23" t="b">
        <v>1</v>
      </c>
      <c r="CB23">
        <f t="shared" si="14"/>
        <v>0</v>
      </c>
      <c r="CC23" s="208">
        <f ca="1">JPY_DATA!AX27</f>
        <v>-3.4749999999999998E-3</v>
      </c>
      <c r="CE23" s="50"/>
      <c r="CF23" s="149" t="s">
        <v>689</v>
      </c>
      <c r="CG23" s="223" t="b">
        <v>1</v>
      </c>
      <c r="CH23" s="52"/>
      <c r="CI23" s="299"/>
      <c r="CJ23" s="378" t="s">
        <v>834</v>
      </c>
      <c r="CK23" s="297">
        <f ca="1">JPY_DATA!AM23</f>
        <v>-124.2</v>
      </c>
      <c r="CL23" s="297">
        <f ca="1">JPY_DATA!AN23</f>
        <v>-118.4</v>
      </c>
      <c r="CO23" t="s">
        <v>1086</v>
      </c>
      <c r="CP23" t="s">
        <v>1089</v>
      </c>
      <c r="CS23" s="601">
        <f ca="1"/>
        <v>45453</v>
      </c>
      <c r="CT23" s="600">
        <f ca="1"/>
        <v>-1.0746682273004701E-3</v>
      </c>
      <c r="CU23" s="600">
        <f ca="1"/>
        <v>-9.0017961462342299E-4</v>
      </c>
      <c r="CV23" s="600">
        <f ca="1"/>
        <v>-3.3047324129632002E-4</v>
      </c>
      <c r="DD23" s="300"/>
      <c r="DE23" s="206"/>
      <c r="DF23" s="206"/>
      <c r="DG23" s="206"/>
      <c r="DH23" s="206"/>
    </row>
    <row r="24" spans="6:112" x14ac:dyDescent="0.25">
      <c r="F24" s="50"/>
      <c r="G24" s="222" t="s">
        <v>678</v>
      </c>
      <c r="H24" s="223" t="str">
        <f>INDEX('STATIC DATA'!C59:AB59,1,MATCH($A$1,'STATIC DATA'!C4:AB4,0))</f>
        <v>ACT/365</v>
      </c>
      <c r="I24" s="53"/>
      <c r="K24" t="s">
        <v>355</v>
      </c>
      <c r="L24" s="204">
        <f t="shared" ca="1" si="3"/>
        <v>-5.8750000000000002E-4</v>
      </c>
      <c r="M24" t="b">
        <v>1</v>
      </c>
      <c r="N24" s="392">
        <f t="shared" si="4"/>
        <v>0</v>
      </c>
      <c r="O24" s="343">
        <f ca="1">JPY_DATA!J60-JPY_DATA!J42</f>
        <v>-5.8750000000000002E-4</v>
      </c>
      <c r="Q24" s="50"/>
      <c r="R24" s="222"/>
      <c r="S24" s="223"/>
      <c r="T24" s="53"/>
      <c r="V24" s="378" t="s">
        <v>349</v>
      </c>
      <c r="W24" s="204">
        <f t="shared" ca="1" si="11"/>
        <v>4.6250000000000002E-4</v>
      </c>
      <c r="X24" t="b">
        <v>1</v>
      </c>
      <c r="Z24" s="208">
        <f ca="1">JPY_DATA!R22</f>
        <v>4.6250000000000002E-4</v>
      </c>
      <c r="AA24" s="203"/>
      <c r="AB24" s="50"/>
      <c r="AC24" s="222" t="s">
        <v>723</v>
      </c>
      <c r="AD24" s="223" t="s">
        <v>718</v>
      </c>
      <c r="AE24" s="53"/>
      <c r="AG24" s="25" t="s">
        <v>349</v>
      </c>
      <c r="AH24" s="204">
        <f t="shared" ca="1" si="10"/>
        <v>3.3750000000000002E-4</v>
      </c>
      <c r="AI24" t="b">
        <v>1</v>
      </c>
      <c r="AJ24" s="5">
        <f t="shared" si="5"/>
        <v>0</v>
      </c>
      <c r="AK24" s="204">
        <f ca="1">JPY_DATA!AG25+JPY_DATA!W24</f>
        <v>3.3750000000000002E-4</v>
      </c>
      <c r="AL24" s="203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 t="s">
        <v>713</v>
      </c>
      <c r="BK24" s="85" t="s">
        <v>713</v>
      </c>
      <c r="BL24" s="53"/>
      <c r="BT24" s="50"/>
      <c r="BU24" s="85"/>
      <c r="BV24" s="85"/>
      <c r="BW24" s="53"/>
      <c r="BY24" s="25" t="s">
        <v>316</v>
      </c>
      <c r="BZ24" s="204">
        <f t="shared" ca="1" si="13"/>
        <v>-3.9375E-3</v>
      </c>
      <c r="CA24" t="b">
        <v>1</v>
      </c>
      <c r="CB24">
        <f t="shared" si="14"/>
        <v>0</v>
      </c>
      <c r="CC24" s="208">
        <f ca="1">JPY_DATA!AX28</f>
        <v>-3.9375E-3</v>
      </c>
      <c r="CE24" s="50"/>
      <c r="CF24" s="149" t="s">
        <v>688</v>
      </c>
      <c r="CG24" s="223">
        <v>31</v>
      </c>
      <c r="CH24" s="52"/>
      <c r="CI24" s="299"/>
      <c r="CJ24" s="378" t="s">
        <v>308</v>
      </c>
      <c r="CK24" s="297">
        <f ca="1">JPY_DATA!AM24</f>
        <v>-143.21</v>
      </c>
      <c r="CL24" s="297">
        <f ca="1">JPY_DATA!AN24</f>
        <v>-136.79</v>
      </c>
      <c r="CO24" t="s">
        <v>1087</v>
      </c>
      <c r="CP24" t="s">
        <v>1597</v>
      </c>
      <c r="CS24" s="601">
        <f ca="1"/>
        <v>45544</v>
      </c>
      <c r="CT24" s="600">
        <f ca="1"/>
        <v>-1.02763913301936E-3</v>
      </c>
      <c r="CU24" s="600">
        <f ca="1"/>
        <v>-8.2018072966360102E-4</v>
      </c>
      <c r="CV24" s="600">
        <f ca="1"/>
        <v>-2.5753363810643098E-4</v>
      </c>
      <c r="DD24" s="300"/>
      <c r="DE24" s="206"/>
      <c r="DF24" s="206"/>
      <c r="DG24" s="206"/>
      <c r="DH24" s="206"/>
    </row>
    <row r="25" spans="6:112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364</v>
      </c>
      <c r="L25" s="204">
        <f t="shared" ca="1" si="3"/>
        <v>-3.8750000000000004E-4</v>
      </c>
      <c r="M25" t="b">
        <v>1</v>
      </c>
      <c r="N25" s="392">
        <f t="shared" si="4"/>
        <v>0</v>
      </c>
      <c r="O25" s="343">
        <f ca="1">JPY_DATA!J61-JPY_DATA!J43</f>
        <v>-3.8750000000000004E-4</v>
      </c>
      <c r="Q25" s="50"/>
      <c r="R25" s="234"/>
      <c r="S25" s="232"/>
      <c r="T25" s="53"/>
      <c r="V25" s="378" t="s">
        <v>358</v>
      </c>
      <c r="W25" s="204">
        <f t="shared" ca="1" si="11"/>
        <v>4.6250000000000002E-4</v>
      </c>
      <c r="X25" t="b">
        <v>1</v>
      </c>
      <c r="Z25" s="208">
        <f ca="1">JPY_DATA!R23</f>
        <v>4.6250000000000002E-4</v>
      </c>
      <c r="AA25" s="203"/>
      <c r="AB25" s="50"/>
      <c r="AC25" s="234" t="s">
        <v>724</v>
      </c>
      <c r="AD25" s="232" t="s">
        <v>426</v>
      </c>
      <c r="AE25" s="53"/>
      <c r="AG25" s="25" t="s">
        <v>358</v>
      </c>
      <c r="AH25" s="204">
        <f t="shared" ca="1" si="10"/>
        <v>7.7500000000000008E-4</v>
      </c>
      <c r="AI25" t="b">
        <v>1</v>
      </c>
      <c r="AJ25" s="5">
        <f t="shared" si="5"/>
        <v>0</v>
      </c>
      <c r="AK25" s="204">
        <f ca="1">JPY_DATA!AG26+JPY_DATA!W25</f>
        <v>7.7500000000000008E-4</v>
      </c>
      <c r="AL25" s="203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 t="s">
        <v>713</v>
      </c>
      <c r="BK25" s="85" t="s">
        <v>713</v>
      </c>
      <c r="BL25" s="53"/>
      <c r="BT25" s="50"/>
      <c r="BU25" s="85"/>
      <c r="BV25" s="85"/>
      <c r="BW25" s="53"/>
      <c r="BY25" s="25" t="s">
        <v>324</v>
      </c>
      <c r="BZ25" s="204">
        <f t="shared" ca="1" si="13"/>
        <v>-4.3249999999999999E-3</v>
      </c>
      <c r="CA25" t="b">
        <v>1</v>
      </c>
      <c r="CB25">
        <f t="shared" si="14"/>
        <v>0</v>
      </c>
      <c r="CC25" s="208">
        <f ca="1">JPY_DATA!AX29</f>
        <v>-4.3249999999999999E-3</v>
      </c>
      <c r="CE25" s="50"/>
      <c r="CF25" s="151" t="s">
        <v>819</v>
      </c>
      <c r="CG25" s="226" t="b">
        <v>0</v>
      </c>
      <c r="CH25" s="52"/>
      <c r="CI25" s="299"/>
      <c r="CJ25" s="378" t="s">
        <v>316</v>
      </c>
      <c r="CK25" s="297">
        <f ca="1">JPY_DATA!AM25</f>
        <v>-235.39</v>
      </c>
      <c r="CL25" s="297">
        <f ca="1">JPY_DATA!AN25</f>
        <v>-222.21</v>
      </c>
      <c r="CO25" t="s">
        <v>1088</v>
      </c>
      <c r="CP25" s="445" t="s">
        <v>1597</v>
      </c>
      <c r="CS25" s="601">
        <f ca="1"/>
        <v>45635</v>
      </c>
      <c r="CT25" s="600">
        <f ca="1"/>
        <v>-9.63424610802531E-4</v>
      </c>
      <c r="CU25" s="600">
        <f ca="1"/>
        <v>-7.4241833748316197E-4</v>
      </c>
      <c r="CV25" s="600">
        <f ca="1"/>
        <v>-1.93009982235902E-4</v>
      </c>
      <c r="DD25" s="300"/>
      <c r="DE25" s="206"/>
      <c r="DF25" s="206"/>
      <c r="DG25" s="206"/>
      <c r="DH25" s="206"/>
    </row>
    <row r="26" spans="6:112" x14ac:dyDescent="0.25">
      <c r="F26" s="50"/>
      <c r="G26" s="222" t="s">
        <v>681</v>
      </c>
      <c r="H26" s="223" t="s">
        <v>682</v>
      </c>
      <c r="I26" s="53"/>
      <c r="K26" t="s">
        <v>349</v>
      </c>
      <c r="L26" s="204">
        <f t="shared" ca="1" si="3"/>
        <v>-1.7500000000000003E-4</v>
      </c>
      <c r="M26" t="b">
        <v>1</v>
      </c>
      <c r="N26" s="392">
        <f t="shared" si="4"/>
        <v>0</v>
      </c>
      <c r="O26" s="343">
        <f ca="1">JPY_DATA!J62-JPY_DATA!J44</f>
        <v>-1.7500000000000003E-4</v>
      </c>
      <c r="Q26" s="50"/>
      <c r="R26" s="52" t="s">
        <v>713</v>
      </c>
      <c r="S26" s="52" t="s">
        <v>713</v>
      </c>
      <c r="T26" s="53"/>
      <c r="V26" s="378" t="s">
        <v>367</v>
      </c>
      <c r="W26" s="204">
        <f t="shared" ca="1" si="11"/>
        <v>4.6250000000000002E-4</v>
      </c>
      <c r="X26" t="b">
        <v>1</v>
      </c>
      <c r="Z26" s="208">
        <f ca="1">JPY_DATA!R24</f>
        <v>4.6250000000000002E-4</v>
      </c>
      <c r="AA26" s="203"/>
      <c r="AB26" s="50"/>
      <c r="AC26" s="52" t="s">
        <v>713</v>
      </c>
      <c r="AD26" s="52" t="s">
        <v>713</v>
      </c>
      <c r="AE26" s="53"/>
      <c r="AG26" s="25" t="s">
        <v>367</v>
      </c>
      <c r="AH26" s="204">
        <f t="shared" ca="1" si="10"/>
        <v>1.4875000000000001E-3</v>
      </c>
      <c r="AI26" t="b">
        <v>1</v>
      </c>
      <c r="AJ26" s="5">
        <f t="shared" si="5"/>
        <v>0</v>
      </c>
      <c r="AK26" s="204">
        <f ca="1">JPY_DATA!AG27+JPY_DATA!W26</f>
        <v>1.4875000000000001E-3</v>
      </c>
      <c r="AL26" s="203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467</v>
      </c>
      <c r="BK26" s="85" t="s">
        <v>713</v>
      </c>
      <c r="BL26" s="53"/>
      <c r="BT26" s="50"/>
      <c r="BU26" s="54" t="s">
        <v>807</v>
      </c>
      <c r="BV26" s="85"/>
      <c r="BW26" s="53"/>
      <c r="BY26" s="25" t="s">
        <v>331</v>
      </c>
      <c r="BZ26" s="204">
        <f t="shared" ca="1" si="13"/>
        <v>-4.6249999999999998E-3</v>
      </c>
      <c r="CA26" t="b">
        <v>1</v>
      </c>
      <c r="CB26">
        <f t="shared" si="14"/>
        <v>0</v>
      </c>
      <c r="CC26" s="208">
        <f ca="1">JPY_DATA!AX30</f>
        <v>-4.6249999999999998E-3</v>
      </c>
      <c r="CE26" s="50"/>
      <c r="CF26" s="52"/>
      <c r="CG26" s="52"/>
      <c r="CH26" s="52"/>
      <c r="CI26" s="299"/>
      <c r="CJ26" s="377" t="s">
        <v>324</v>
      </c>
      <c r="CK26" s="297">
        <f ca="1">JPY_DATA!AM26</f>
        <v>-342.31</v>
      </c>
      <c r="CL26" s="297">
        <f ca="1">JPY_DATA!AN26</f>
        <v>-327.5</v>
      </c>
      <c r="CO26" t="s">
        <v>781</v>
      </c>
      <c r="CP26" s="290" t="s">
        <v>810</v>
      </c>
      <c r="CS26" s="601">
        <f ca="1"/>
        <v>45726</v>
      </c>
      <c r="CT26" s="600">
        <f ca="1"/>
        <v>-8.8587697256833496E-4</v>
      </c>
      <c r="CU26" s="600">
        <f ca="1"/>
        <v>-6.7270943235973304E-4</v>
      </c>
      <c r="CV26" s="600">
        <f ca="1"/>
        <v>-1.4072844101682799E-4</v>
      </c>
      <c r="DD26" s="300"/>
      <c r="DE26" s="206"/>
      <c r="DF26" s="206"/>
      <c r="DG26" s="206"/>
      <c r="DH26" s="206"/>
    </row>
    <row r="27" spans="6:112" x14ac:dyDescent="0.25">
      <c r="F27" s="50"/>
      <c r="G27" s="222" t="s">
        <v>683</v>
      </c>
      <c r="H27" s="223" t="str">
        <f>INDEX('STATIC DATA'!C15:AB15,1,MATCH($A$1,'STATIC DATA'!C4:AB4,0))</f>
        <v>2D</v>
      </c>
      <c r="I27" s="53"/>
      <c r="K27" t="s">
        <v>358</v>
      </c>
      <c r="L27" s="204">
        <f t="shared" ca="1" si="3"/>
        <v>3.0000000000000003E-4</v>
      </c>
      <c r="M27" t="b">
        <v>1</v>
      </c>
      <c r="N27" s="392">
        <f t="shared" si="4"/>
        <v>0</v>
      </c>
      <c r="O27" s="343">
        <f ca="1">JPY_DATA!J63-JPY_DATA!J45</f>
        <v>3.0000000000000003E-4</v>
      </c>
      <c r="Q27" s="626"/>
      <c r="R27" s="630" t="s">
        <v>726</v>
      </c>
      <c r="S27" s="628" t="s">
        <v>713</v>
      </c>
      <c r="T27" s="629"/>
      <c r="V27" s="378" t="s">
        <v>374</v>
      </c>
      <c r="W27" s="204">
        <f t="shared" ca="1" si="11"/>
        <v>4.6250000000000002E-4</v>
      </c>
      <c r="X27" t="b">
        <v>1</v>
      </c>
      <c r="Z27" s="208">
        <f ca="1">JPY_DATA!R25</f>
        <v>4.6250000000000002E-4</v>
      </c>
      <c r="AA27" s="203"/>
      <c r="AB27" s="50"/>
      <c r="AC27" s="54" t="s">
        <v>726</v>
      </c>
      <c r="AD27" s="52" t="s">
        <v>713</v>
      </c>
      <c r="AE27" s="53"/>
      <c r="AG27" s="25" t="s">
        <v>374</v>
      </c>
      <c r="AH27" s="204">
        <f t="shared" ca="1" si="10"/>
        <v>2.3875000000000003E-3</v>
      </c>
      <c r="AI27" t="b">
        <v>1</v>
      </c>
      <c r="AJ27" s="5">
        <f t="shared" si="5"/>
        <v>0</v>
      </c>
      <c r="AK27" s="204">
        <f ca="1">JPY_DATA!AG28+JPY_DATA!W27</f>
        <v>2.3875000000000003E-3</v>
      </c>
      <c r="AL27" s="203"/>
      <c r="AM27" s="50"/>
      <c r="AN27" s="245" t="s">
        <v>749</v>
      </c>
      <c r="AO27" s="243" t="s">
        <v>745</v>
      </c>
      <c r="AP27" s="53"/>
      <c r="AX27" s="50"/>
      <c r="AY27" s="245" t="s">
        <v>749</v>
      </c>
      <c r="AZ27" s="243" t="s">
        <v>798</v>
      </c>
      <c r="BA27" s="53"/>
      <c r="BI27" s="50"/>
      <c r="BJ27" s="245" t="s">
        <v>749</v>
      </c>
      <c r="BK27" s="243" t="s">
        <v>795</v>
      </c>
      <c r="BL27" s="53"/>
      <c r="BT27" s="50"/>
      <c r="BU27" s="245" t="s">
        <v>749</v>
      </c>
      <c r="BV27" s="243" t="s">
        <v>803</v>
      </c>
      <c r="BW27" s="53"/>
      <c r="BY27" s="25" t="s">
        <v>339</v>
      </c>
      <c r="BZ27" s="204">
        <f t="shared" ca="1" si="13"/>
        <v>-4.8624999999999996E-3</v>
      </c>
      <c r="CA27" t="b">
        <v>1</v>
      </c>
      <c r="CB27">
        <f t="shared" si="14"/>
        <v>0</v>
      </c>
      <c r="CC27" s="208">
        <f ca="1">JPY_DATA!AX31</f>
        <v>-4.8624999999999996E-3</v>
      </c>
      <c r="CE27" s="50"/>
      <c r="CF27" s="52"/>
      <c r="CG27" s="52"/>
      <c r="CH27" s="52"/>
      <c r="CI27" s="299"/>
      <c r="CJ27" s="378" t="s">
        <v>331</v>
      </c>
      <c r="CK27" s="297">
        <f ca="1">JPY_DATA!AM27</f>
        <v>-468.14</v>
      </c>
      <c r="CL27" s="297">
        <f ca="1">JPY_DATA!AN27</f>
        <v>-452.67</v>
      </c>
      <c r="CS27" s="601">
        <f ca="1"/>
        <v>45817</v>
      </c>
      <c r="CT27" s="600">
        <f ca="1"/>
        <v>-7.9500504182536305E-4</v>
      </c>
      <c r="CU27" s="600">
        <f ca="1"/>
        <v>-6.1180233682265597E-4</v>
      </c>
      <c r="CV27" s="600">
        <f ca="1"/>
        <v>-9.8385317416341706E-5</v>
      </c>
      <c r="DD27" s="300"/>
      <c r="DE27" s="206"/>
      <c r="DF27" s="206"/>
      <c r="DG27" s="206"/>
      <c r="DH27" s="206"/>
    </row>
    <row r="28" spans="6:112" x14ac:dyDescent="0.25">
      <c r="F28" s="50"/>
      <c r="G28" s="222" t="s">
        <v>684</v>
      </c>
      <c r="H28" s="223" t="s">
        <v>685</v>
      </c>
      <c r="I28" s="53"/>
      <c r="K28" t="s">
        <v>367</v>
      </c>
      <c r="L28" s="204">
        <f t="shared" ca="1" si="3"/>
        <v>1.0250000000000001E-3</v>
      </c>
      <c r="M28" t="b">
        <v>1</v>
      </c>
      <c r="N28" s="392">
        <f t="shared" si="4"/>
        <v>0</v>
      </c>
      <c r="O28" s="343">
        <f ca="1">JPY_DATA!J64-JPY_DATA!J46</f>
        <v>1.0250000000000001E-3</v>
      </c>
      <c r="Q28" s="626"/>
      <c r="R28" s="640" t="s">
        <v>677</v>
      </c>
      <c r="S28" s="221" t="str">
        <f>INDEX('STATIC DATA'!C43:AB43,1,MATCH($A$1,'STATIC DATA'!$C$4:$AB$4,0))</f>
        <v>TKB</v>
      </c>
      <c r="T28" s="629"/>
      <c r="V28" s="378" t="s">
        <v>382</v>
      </c>
      <c r="W28" s="204">
        <f t="shared" ca="1" si="11"/>
        <v>4.6250000000000002E-4</v>
      </c>
      <c r="X28" t="b">
        <v>1</v>
      </c>
      <c r="Z28" s="208">
        <f ca="1">JPY_DATA!R26</f>
        <v>4.6250000000000002E-4</v>
      </c>
      <c r="AA28" s="203"/>
      <c r="AB28" s="50"/>
      <c r="AC28" s="220" t="s">
        <v>677</v>
      </c>
      <c r="AD28" s="221" t="str">
        <f>INDEX('STATIC DATA'!C43:AB43,1,MATCH($A$1,'STATIC DATA'!$C$4:$AB$4,0))</f>
        <v>TKB</v>
      </c>
      <c r="AE28" s="53"/>
      <c r="AG28" s="25" t="s">
        <v>382</v>
      </c>
      <c r="AH28" s="204">
        <f t="shared" ca="1" si="10"/>
        <v>2.9625000000000003E-3</v>
      </c>
      <c r="AI28" t="b">
        <v>1</v>
      </c>
      <c r="AJ28" s="5">
        <f t="shared" si="5"/>
        <v>0</v>
      </c>
      <c r="AK28" s="204">
        <f ca="1">JPY_DATA!AG29+JPY_DATA!W28</f>
        <v>2.9625000000000003E-3</v>
      </c>
      <c r="AL28" s="203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33" t="s">
        <v>750</v>
      </c>
      <c r="BK28" s="230" t="s">
        <v>720</v>
      </c>
      <c r="BL28" s="53"/>
      <c r="BT28" s="50"/>
      <c r="BU28" s="233" t="s">
        <v>750</v>
      </c>
      <c r="BV28" s="230" t="b">
        <v>1</v>
      </c>
      <c r="BW28" s="53"/>
      <c r="BY28" s="25" t="s">
        <v>342</v>
      </c>
      <c r="BZ28" s="204">
        <f t="shared" ca="1" si="13"/>
        <v>-5.0499999999999998E-3</v>
      </c>
      <c r="CA28" t="b">
        <v>1</v>
      </c>
      <c r="CB28">
        <f t="shared" si="14"/>
        <v>0</v>
      </c>
      <c r="CC28" s="208">
        <f ca="1">JPY_DATA!AX32</f>
        <v>-5.0499999999999998E-3</v>
      </c>
      <c r="CE28" s="50"/>
      <c r="CF28" s="52"/>
      <c r="CG28" s="52"/>
      <c r="CH28" s="52"/>
      <c r="CI28" s="332"/>
      <c r="CJ28" s="378" t="s">
        <v>342</v>
      </c>
      <c r="CK28" s="297">
        <f ca="1">JPY_DATA!AM29</f>
        <v>-771.44</v>
      </c>
      <c r="CL28" s="297">
        <f ca="1">JPY_DATA!AN29</f>
        <v>-740.58</v>
      </c>
      <c r="CS28" s="601">
        <f ca="1"/>
        <v>45909</v>
      </c>
      <c r="CT28" s="600">
        <f ca="1"/>
        <v>-6.8959485186312602E-4</v>
      </c>
      <c r="CU28" s="600">
        <f ca="1"/>
        <v>-5.5400063535429296E-4</v>
      </c>
      <c r="CV28" s="600">
        <f ca="1"/>
        <v>-4.6862105061207597E-5</v>
      </c>
      <c r="DD28" s="300"/>
      <c r="DE28" s="206"/>
      <c r="DF28" s="206"/>
      <c r="DG28" s="206"/>
      <c r="DH28" s="206"/>
    </row>
    <row r="29" spans="6:112" x14ac:dyDescent="0.25">
      <c r="F29" s="50"/>
      <c r="G29" s="222" t="s">
        <v>686</v>
      </c>
      <c r="H29" s="223" t="s">
        <v>687</v>
      </c>
      <c r="I29" s="53"/>
      <c r="K29" t="s">
        <v>374</v>
      </c>
      <c r="L29" s="204">
        <f ca="1">O29+N29/10000</f>
        <v>1.9750000000000002E-3</v>
      </c>
      <c r="M29" t="b">
        <v>1</v>
      </c>
      <c r="N29" s="392">
        <f t="shared" si="4"/>
        <v>0</v>
      </c>
      <c r="O29" s="343">
        <f ca="1">JPY_DATA!J65-JPY_DATA!J47</f>
        <v>1.9750000000000002E-3</v>
      </c>
      <c r="Q29" s="626"/>
      <c r="R29" s="641" t="s">
        <v>678</v>
      </c>
      <c r="S29" s="223" t="str">
        <f>INDEX('STATIC DATA'!C55:AB55,1,MATCH($A$1,'STATIC DATA'!C4:AB4,0))</f>
        <v>ACT/360</v>
      </c>
      <c r="T29" s="629"/>
      <c r="V29" s="378" t="s">
        <v>389</v>
      </c>
      <c r="W29" s="204">
        <f t="shared" ca="1" si="11"/>
        <v>4.6250000000000002E-4</v>
      </c>
      <c r="X29" t="b">
        <v>1</v>
      </c>
      <c r="Z29" s="208">
        <f ca="1">JPY_DATA!R27</f>
        <v>4.6250000000000002E-4</v>
      </c>
      <c r="AA29" s="203"/>
      <c r="AB29" s="50"/>
      <c r="AC29" s="222" t="s">
        <v>678</v>
      </c>
      <c r="AD29" s="223" t="str">
        <f>INDEX('STATIC DATA'!C55:AB55,1,MATCH($A$1,'STATIC DATA'!C4:AB4,0))</f>
        <v>ACT/360</v>
      </c>
      <c r="AE29" s="53"/>
      <c r="AG29" s="25" t="s">
        <v>389</v>
      </c>
      <c r="AH29" s="204">
        <f t="shared" ca="1" si="10"/>
        <v>3.3375000000000002E-3</v>
      </c>
      <c r="AI29" t="b">
        <v>1</v>
      </c>
      <c r="AJ29" s="5">
        <f t="shared" si="5"/>
        <v>0</v>
      </c>
      <c r="AK29" s="204">
        <f ca="1">JPY_DATA!AG30+JPY_DATA!W29</f>
        <v>3.3375000000000002E-3</v>
      </c>
      <c r="AL29" s="203"/>
      <c r="AM29" s="50"/>
      <c r="AN29" s="222" t="s">
        <v>751</v>
      </c>
      <c r="AO29" s="216" t="str">
        <f>INDEX('STATIC DATA'!C39:AB39,1,MATCH($A$1,'STATIC DATA'!$C$4:$AB$4,0))</f>
        <v>LNB</v>
      </c>
      <c r="AP29" s="53"/>
      <c r="AX29" s="50"/>
      <c r="AY29" s="222" t="s">
        <v>751</v>
      </c>
      <c r="AZ29" s="216" t="s">
        <v>608</v>
      </c>
      <c r="BA29" s="53"/>
      <c r="BI29" s="50"/>
      <c r="BJ29" s="222" t="s">
        <v>751</v>
      </c>
      <c r="BK29" s="216" t="b">
        <f>BK38=INDEX('STATIC DATA'!C39:AB39,1,MATCH($A$1,'STATIC DATA'!$C$4:$AB$4,0))</f>
        <v>1</v>
      </c>
      <c r="BL29" s="53"/>
      <c r="BT29" s="50"/>
      <c r="BU29" s="222" t="s">
        <v>751</v>
      </c>
      <c r="BV29" s="216" t="str">
        <f>INDEX('STATIC DATA'!C30:AB30,1,MATCH($A$1,'STATIC DATA'!$C$4:$AB$4,0))</f>
        <v>TKB:NYB:LNB</v>
      </c>
      <c r="BW29" s="53"/>
      <c r="BY29" s="25" t="s">
        <v>355</v>
      </c>
      <c r="BZ29" s="204">
        <f t="shared" ca="1" si="13"/>
        <v>-5.1999999999999998E-3</v>
      </c>
      <c r="CA29" t="b">
        <v>1</v>
      </c>
      <c r="CB29">
        <f t="shared" si="14"/>
        <v>0</v>
      </c>
      <c r="CC29" s="208">
        <f ca="1">JPY_DATA!AX33</f>
        <v>-5.1999999999999998E-3</v>
      </c>
      <c r="CE29" s="50"/>
      <c r="CF29" s="52"/>
      <c r="CG29" s="52"/>
      <c r="CH29" s="55"/>
      <c r="CI29" s="332"/>
      <c r="CJ29" s="378" t="s">
        <v>355</v>
      </c>
      <c r="CK29" s="297">
        <f ca="1">JPY_DATA!AM30</f>
        <v>-929.84</v>
      </c>
      <c r="CL29" s="297">
        <f ca="1">JPY_DATA!AN30</f>
        <v>-901.54</v>
      </c>
      <c r="CM29" s="302"/>
      <c r="CS29" s="601">
        <f ca="1"/>
        <v>46000</v>
      </c>
      <c r="CT29" s="600">
        <f ca="1"/>
        <v>-5.8036807704717902E-4</v>
      </c>
      <c r="CU29" s="600">
        <f ca="1"/>
        <v>-4.7891805758437699E-4</v>
      </c>
      <c r="CV29" s="600">
        <f ca="1"/>
        <v>3.1637147149085799E-5</v>
      </c>
      <c r="DD29" s="300"/>
      <c r="DE29" s="206"/>
      <c r="DF29" s="206"/>
      <c r="DG29" s="206"/>
      <c r="DH29" s="206"/>
    </row>
    <row r="30" spans="6:112" x14ac:dyDescent="0.25">
      <c r="F30" s="50"/>
      <c r="G30" s="222" t="s">
        <v>688</v>
      </c>
      <c r="H30" s="216">
        <v>31</v>
      </c>
      <c r="I30" s="53"/>
      <c r="K30" t="s">
        <v>382</v>
      </c>
      <c r="L30" s="204">
        <f t="shared" ca="1" si="3"/>
        <v>2.6000000000000003E-3</v>
      </c>
      <c r="M30" t="b">
        <v>1</v>
      </c>
      <c r="N30" s="392">
        <f t="shared" si="4"/>
        <v>0</v>
      </c>
      <c r="O30" s="343">
        <f ca="1">JPY_DATA!J66-JPY_DATA!J48</f>
        <v>2.6000000000000003E-3</v>
      </c>
      <c r="Q30" s="626"/>
      <c r="R30" s="225" t="s">
        <v>686</v>
      </c>
      <c r="S30" s="226" t="s">
        <v>728</v>
      </c>
      <c r="T30" s="629"/>
      <c r="V30" s="378" t="s">
        <v>1107</v>
      </c>
      <c r="W30" s="204">
        <f t="shared" ca="1" si="11"/>
        <v>4.6250000000000002E-4</v>
      </c>
      <c r="X30" t="b">
        <v>1</v>
      </c>
      <c r="Z30" s="208">
        <f ca="1">JPY_DATA!R28</f>
        <v>4.6250000000000002E-4</v>
      </c>
      <c r="AA30" s="203"/>
      <c r="AB30" s="50"/>
      <c r="AC30" s="225" t="s">
        <v>686</v>
      </c>
      <c r="AD30" s="226" t="s">
        <v>728</v>
      </c>
      <c r="AE30" s="53"/>
      <c r="AG30" s="25" t="s">
        <v>1107</v>
      </c>
      <c r="AH30" s="204">
        <f t="shared" ca="1" si="10"/>
        <v>3.4250000000000001E-3</v>
      </c>
      <c r="AI30" t="b">
        <v>1</v>
      </c>
      <c r="AJ30" s="5">
        <f t="shared" si="5"/>
        <v>0</v>
      </c>
      <c r="AK30" s="204">
        <f ca="1">JPY_DATA!AG31+JPY_DATA!W30</f>
        <v>3.4250000000000001E-3</v>
      </c>
      <c r="AL30" s="203"/>
      <c r="AM30" s="50"/>
      <c r="AN30" s="222" t="s">
        <v>752</v>
      </c>
      <c r="AO30" s="216" t="str">
        <f>INDEX('STATIC DATA'!C55:AB55,1,MATCH($A$1,'STATIC DATA'!C4:AB4,0))</f>
        <v>ACT/360</v>
      </c>
      <c r="AP30" s="53"/>
      <c r="AX30" s="50"/>
      <c r="AY30" s="222" t="s">
        <v>752</v>
      </c>
      <c r="AZ30" s="216" t="s">
        <v>48</v>
      </c>
      <c r="BA30" s="53"/>
      <c r="BI30" s="50"/>
      <c r="BJ30" s="222" t="s">
        <v>752</v>
      </c>
      <c r="BK30" s="216" t="e">
        <f>INDEX('STATIC DATA'!Y55:AY55,1,MATCH($A$1,'STATIC DATA'!Y4:AV4,0))</f>
        <v>#N/A</v>
      </c>
      <c r="BL30" s="53"/>
      <c r="BT30" s="50"/>
      <c r="BU30" s="222" t="s">
        <v>752</v>
      </c>
      <c r="BV30" s="216" t="str">
        <f>INDEX('STATIC DATA'!C55:AB55,1,MATCH("USD",'STATIC DATA'!C4:AB4,0))</f>
        <v>ACT/360</v>
      </c>
      <c r="BW30" s="53"/>
      <c r="BY30" s="25" t="s">
        <v>364</v>
      </c>
      <c r="BZ30" s="204">
        <f t="shared" ca="1" si="13"/>
        <v>-5.3125000000000004E-3</v>
      </c>
      <c r="CA30" t="b">
        <v>1</v>
      </c>
      <c r="CB30">
        <f t="shared" si="14"/>
        <v>0</v>
      </c>
      <c r="CC30" s="208">
        <f ca="1">JPY_DATA!AX34</f>
        <v>-5.3125000000000004E-3</v>
      </c>
      <c r="CE30" s="50"/>
      <c r="CF30" s="55"/>
      <c r="CG30" s="55"/>
      <c r="CH30" s="55"/>
      <c r="CI30" s="332"/>
      <c r="CJ30" s="378" t="s">
        <v>364</v>
      </c>
      <c r="CK30" s="297">
        <f ca="1">JPY_DATA!AM31</f>
        <v>-1090.71</v>
      </c>
      <c r="CL30" s="297">
        <f ca="1">JPY_DATA!AN31</f>
        <v>-1061.3599999999999</v>
      </c>
      <c r="CM30" s="299"/>
      <c r="CN30" s="302"/>
      <c r="CS30" s="601">
        <f ca="1"/>
        <v>46090</v>
      </c>
      <c r="CT30" s="600">
        <f ca="1"/>
        <v>-4.7637330226904398E-4</v>
      </c>
      <c r="CU30" s="600">
        <f ca="1"/>
        <v>-3.79580868430084E-4</v>
      </c>
      <c r="CV30" s="600">
        <f ca="1"/>
        <v>1.38347789448561E-4</v>
      </c>
      <c r="DD30" s="300"/>
      <c r="DE30" s="206"/>
      <c r="DF30" s="206"/>
      <c r="DG30" s="206"/>
      <c r="DH30" s="206"/>
    </row>
    <row r="31" spans="6:112" x14ac:dyDescent="0.25">
      <c r="F31" s="50"/>
      <c r="G31" s="222" t="s">
        <v>689</v>
      </c>
      <c r="H31" s="224" t="b">
        <v>1</v>
      </c>
      <c r="I31" s="53"/>
      <c r="K31" t="s">
        <v>389</v>
      </c>
      <c r="L31" s="204">
        <f t="shared" ca="1" si="3"/>
        <v>3.0125E-3</v>
      </c>
      <c r="M31" t="b">
        <v>1</v>
      </c>
      <c r="N31" s="392">
        <f t="shared" si="4"/>
        <v>0</v>
      </c>
      <c r="O31" s="343">
        <f ca="1">JPY_DATA!J67-JPY_DATA!J49</f>
        <v>3.0125E-3</v>
      </c>
      <c r="Q31" s="50"/>
      <c r="R31" s="52" t="s">
        <v>713</v>
      </c>
      <c r="S31" s="52" t="s">
        <v>713</v>
      </c>
      <c r="T31" s="53"/>
      <c r="V31" s="378" t="s">
        <v>445</v>
      </c>
      <c r="W31" s="204">
        <f t="shared" ca="1" si="11"/>
        <v>4.6250000000000002E-4</v>
      </c>
      <c r="X31" t="b">
        <v>1</v>
      </c>
      <c r="Z31" s="208">
        <f ca="1">JPY_DATA!R29</f>
        <v>4.6250000000000002E-4</v>
      </c>
      <c r="AA31" s="203"/>
      <c r="AB31" s="50"/>
      <c r="AC31" s="52" t="s">
        <v>713</v>
      </c>
      <c r="AD31" s="52" t="s">
        <v>713</v>
      </c>
      <c r="AE31" s="53"/>
      <c r="AG31" s="25" t="s">
        <v>445</v>
      </c>
      <c r="AH31" s="204">
        <f t="shared" ca="1" si="10"/>
        <v>3.4625000000000003E-3</v>
      </c>
      <c r="AI31" t="b">
        <v>1</v>
      </c>
      <c r="AJ31" s="5">
        <f t="shared" si="5"/>
        <v>0</v>
      </c>
      <c r="AK31" s="204">
        <f ca="1">JPY_DATA!AG32+JPY_DATA!W31</f>
        <v>3.4625000000000003E-3</v>
      </c>
      <c r="AL31" s="203"/>
      <c r="AM31" s="50"/>
      <c r="AN31" s="225" t="s">
        <v>753</v>
      </c>
      <c r="AO31" s="219" t="s">
        <v>459</v>
      </c>
      <c r="AP31" s="53"/>
      <c r="AX31" s="50"/>
      <c r="AY31" s="225" t="s">
        <v>753</v>
      </c>
      <c r="AZ31" s="219" t="s">
        <v>680</v>
      </c>
      <c r="BA31" s="53"/>
      <c r="BI31" s="50"/>
      <c r="BJ31" s="225" t="s">
        <v>753</v>
      </c>
      <c r="BK31" s="219" t="s">
        <v>458</v>
      </c>
      <c r="BL31" s="53"/>
      <c r="BT31" s="50"/>
      <c r="BU31" s="225" t="s">
        <v>753</v>
      </c>
      <c r="BV31" s="219" t="s">
        <v>458</v>
      </c>
      <c r="BW31" s="249"/>
      <c r="BY31" s="25" t="s">
        <v>349</v>
      </c>
      <c r="BZ31" s="204">
        <f t="shared" ca="1" si="13"/>
        <v>-5.4000000000000003E-3</v>
      </c>
      <c r="CA31" t="b">
        <v>1</v>
      </c>
      <c r="CB31">
        <f t="shared" si="14"/>
        <v>0</v>
      </c>
      <c r="CC31" s="208">
        <f ca="1">JPY_DATA!AX35</f>
        <v>-5.4000000000000003E-3</v>
      </c>
      <c r="CE31" s="50"/>
      <c r="CF31" s="55"/>
      <c r="CG31" s="55"/>
      <c r="CH31" s="55"/>
      <c r="CI31" s="332"/>
      <c r="CJ31" s="378" t="s">
        <v>349</v>
      </c>
      <c r="CK31" s="297">
        <f ca="1">JPY_DATA!AM32</f>
        <v>-1246.25</v>
      </c>
      <c r="CL31" s="297">
        <f ca="1">JPY_DATA!AN32</f>
        <v>-1218.49</v>
      </c>
      <c r="CM31" s="299"/>
      <c r="CN31" s="299"/>
      <c r="CS31" s="601">
        <f ca="1"/>
        <v>46182</v>
      </c>
      <c r="CT31" s="600">
        <f ca="1"/>
        <v>-3.7420356913729701E-4</v>
      </c>
      <c r="CU31" s="600">
        <f ca="1"/>
        <v>-2.5496158661276601E-4</v>
      </c>
      <c r="CV31" s="600">
        <f ca="1"/>
        <v>2.7207535236892401E-4</v>
      </c>
      <c r="DD31" s="300"/>
      <c r="DE31" s="206"/>
      <c r="DF31" s="206"/>
      <c r="DG31" s="206"/>
      <c r="DH31" s="206"/>
    </row>
    <row r="32" spans="6:112" x14ac:dyDescent="0.25">
      <c r="F32" s="50"/>
      <c r="G32" s="222" t="s">
        <v>690</v>
      </c>
      <c r="H32" s="223" t="s">
        <v>691</v>
      </c>
      <c r="I32" s="53"/>
      <c r="K32" t="s">
        <v>1107</v>
      </c>
      <c r="L32" s="204">
        <f t="shared" ca="1" si="3"/>
        <v>3.1124999999999998E-3</v>
      </c>
      <c r="M32" t="b">
        <v>1</v>
      </c>
      <c r="N32" s="392">
        <f t="shared" si="4"/>
        <v>0</v>
      </c>
      <c r="O32" s="343">
        <f ca="1">JPY_DATA!J68-JPY_DATA!J50</f>
        <v>3.1124999999999998E-3</v>
      </c>
      <c r="Q32" s="50"/>
      <c r="R32" s="54" t="s">
        <v>730</v>
      </c>
      <c r="S32" s="52" t="s">
        <v>713</v>
      </c>
      <c r="T32" s="53"/>
      <c r="V32" s="378" t="s">
        <v>47</v>
      </c>
      <c r="W32" s="204">
        <f t="shared" ca="1" si="11"/>
        <v>-4.0000000000000002E-4</v>
      </c>
      <c r="X32" s="620" t="b">
        <v>1</v>
      </c>
      <c r="Y32" s="5">
        <f t="shared" si="9"/>
        <v>0</v>
      </c>
      <c r="Z32" s="208">
        <f ca="1">JPY_DATA!W14+JPY_DATA!AG15</f>
        <v>-4.0000000000000002E-4</v>
      </c>
      <c r="AA32" s="203"/>
      <c r="AB32" s="50"/>
      <c r="AC32" s="54" t="s">
        <v>460</v>
      </c>
      <c r="AD32" s="52" t="s">
        <v>713</v>
      </c>
      <c r="AE32" s="53"/>
      <c r="AF32" s="620"/>
      <c r="AG32" s="25"/>
      <c r="AH32" s="204"/>
      <c r="AI32" s="620"/>
      <c r="AK32" s="204"/>
      <c r="AL32" s="203"/>
      <c r="AM32" s="626"/>
      <c r="AN32" s="641"/>
      <c r="AO32" s="639"/>
      <c r="AP32" s="629"/>
      <c r="AQ32" s="620"/>
      <c r="AR32" s="620"/>
      <c r="AS32" s="620"/>
      <c r="AT32" s="620"/>
      <c r="AU32" s="620"/>
      <c r="AV32" s="620"/>
      <c r="AW32" s="620"/>
      <c r="AX32" s="626"/>
      <c r="AY32" s="641"/>
      <c r="AZ32" s="639"/>
      <c r="BA32" s="629"/>
      <c r="BB32" s="620"/>
      <c r="BC32" s="620"/>
      <c r="BD32" s="620"/>
      <c r="BE32" s="620"/>
      <c r="BF32" s="620"/>
      <c r="BG32" s="620"/>
      <c r="BH32" s="620"/>
      <c r="BI32" s="50"/>
      <c r="BJ32" s="222" t="s">
        <v>754</v>
      </c>
      <c r="BK32" s="216" t="s">
        <v>687</v>
      </c>
      <c r="BL32" s="53"/>
      <c r="BT32" s="50"/>
      <c r="BU32" s="222" t="s">
        <v>754</v>
      </c>
      <c r="BV32" s="216" t="s">
        <v>687</v>
      </c>
      <c r="BW32" s="53"/>
      <c r="BY32" s="25" t="s">
        <v>358</v>
      </c>
      <c r="BZ32" s="204">
        <f t="shared" ca="1" si="13"/>
        <v>-5.5250000000000004E-3</v>
      </c>
      <c r="CA32" t="b">
        <v>1</v>
      </c>
      <c r="CB32">
        <f t="shared" si="14"/>
        <v>0</v>
      </c>
      <c r="CC32" s="208">
        <f ca="1">JPY_DATA!AX36</f>
        <v>-5.5250000000000004E-3</v>
      </c>
      <c r="CE32" s="50"/>
      <c r="CF32" s="55"/>
      <c r="CG32" s="55"/>
      <c r="CH32" s="55"/>
      <c r="CI32" s="332"/>
      <c r="CJ32" s="206"/>
      <c r="CK32" s="206"/>
      <c r="CL32" s="305"/>
      <c r="CM32" s="299"/>
      <c r="CN32" s="206"/>
      <c r="CS32" s="601">
        <f ca="1"/>
        <v>46274</v>
      </c>
      <c r="CT32" s="600">
        <f ca="1"/>
        <v>-2.76205722526946E-4</v>
      </c>
      <c r="CU32" s="600">
        <f ca="1"/>
        <v>-1.13025734756083E-4</v>
      </c>
      <c r="CV32" s="600">
        <f ca="1"/>
        <v>4.13168404471548E-4</v>
      </c>
      <c r="DD32" s="300"/>
      <c r="DE32" s="206"/>
      <c r="DF32" s="206"/>
      <c r="DG32" s="206"/>
      <c r="DH32" s="206"/>
    </row>
    <row r="33" spans="6:112" x14ac:dyDescent="0.25">
      <c r="F33" s="50"/>
      <c r="I33" s="53"/>
      <c r="K33" t="s">
        <v>445</v>
      </c>
      <c r="L33" s="204">
        <f t="shared" ca="1" si="3"/>
        <v>3.1624999999999999E-3</v>
      </c>
      <c r="M33" t="b">
        <v>1</v>
      </c>
      <c r="N33" s="392">
        <f t="shared" si="4"/>
        <v>0</v>
      </c>
      <c r="O33" s="343">
        <f ca="1">JPY_DATA!J69-JPY_DATA!J51</f>
        <v>3.1624999999999999E-3</v>
      </c>
      <c r="Q33" s="50"/>
      <c r="R33" s="220" t="s">
        <v>704</v>
      </c>
      <c r="S33" s="221" t="str">
        <f>INDEX('STATIC DATA'!C40:AB40,1,MATCH($A$1,'STATIC DATA'!$C$4:$AB$4,0))</f>
        <v>LNB:TKB</v>
      </c>
      <c r="T33" s="53"/>
      <c r="V33" s="378" t="s">
        <v>501</v>
      </c>
      <c r="W33" s="204">
        <f t="shared" ca="1" si="11"/>
        <v>-4.125E-4</v>
      </c>
      <c r="X33" s="620" t="b">
        <v>1</v>
      </c>
      <c r="Y33" s="5">
        <f t="shared" si="9"/>
        <v>0</v>
      </c>
      <c r="Z33" s="208">
        <f ca="1">JPY_DATA!W15+JPY_DATA!AG16</f>
        <v>-4.125E-4</v>
      </c>
      <c r="AA33" s="203"/>
      <c r="AB33" s="50"/>
      <c r="AC33" s="220" t="s">
        <v>677</v>
      </c>
      <c r="AD33" s="221" t="str">
        <f>INDEX('STATIC DATA'!C39:AB39,1,MATCH($A$1,'STATIC DATA'!$C$4:$AB$4,0))</f>
        <v>LNB</v>
      </c>
      <c r="AE33" s="53"/>
      <c r="AF33" s="620"/>
      <c r="AG33" s="25"/>
      <c r="AH33" s="204"/>
      <c r="AI33" s="620"/>
      <c r="AK33" s="204"/>
      <c r="AL33" s="203"/>
      <c r="AM33" s="626"/>
      <c r="AN33" s="641"/>
      <c r="AO33" s="639"/>
      <c r="AP33" s="629"/>
      <c r="AQ33" s="620"/>
      <c r="AR33" s="620"/>
      <c r="AS33" s="620"/>
      <c r="AT33" s="620"/>
      <c r="AU33" s="620"/>
      <c r="AV33" s="620"/>
      <c r="AW33" s="620"/>
      <c r="AX33" s="626"/>
      <c r="AY33" s="641"/>
      <c r="AZ33" s="639"/>
      <c r="BA33" s="629"/>
      <c r="BB33" s="620"/>
      <c r="BC33" s="620"/>
      <c r="BD33" s="620"/>
      <c r="BE33" s="620"/>
      <c r="BF33" s="620"/>
      <c r="BG33" s="620"/>
      <c r="BH33" s="620"/>
      <c r="BI33" s="50"/>
      <c r="BJ33" s="222" t="s">
        <v>755</v>
      </c>
      <c r="BK33" s="216">
        <v>0</v>
      </c>
      <c r="BL33" s="53"/>
      <c r="BT33" s="50"/>
      <c r="BU33" s="222" t="s">
        <v>755</v>
      </c>
      <c r="BV33" s="216" t="s">
        <v>621</v>
      </c>
      <c r="BW33" s="53"/>
      <c r="BY33" s="25" t="s">
        <v>367</v>
      </c>
      <c r="BZ33" s="204">
        <f t="shared" ca="1" si="13"/>
        <v>-5.5500000000000002E-3</v>
      </c>
      <c r="CA33" t="b">
        <v>1</v>
      </c>
      <c r="CB33">
        <f t="shared" si="14"/>
        <v>0</v>
      </c>
      <c r="CC33" s="208">
        <f ca="1">JPY_DATA!AX37</f>
        <v>-5.5500000000000002E-3</v>
      </c>
      <c r="CE33" s="50"/>
      <c r="CF33" s="55"/>
      <c r="CG33" s="55"/>
      <c r="CH33" s="55"/>
      <c r="CI33" s="332"/>
      <c r="CJ33" s="206"/>
      <c r="CK33" s="206"/>
      <c r="CL33" s="305"/>
      <c r="CM33" s="299"/>
      <c r="CN33" s="206"/>
      <c r="CS33" s="601">
        <f ca="1"/>
        <v>46365</v>
      </c>
      <c r="CT33" s="600">
        <f ca="1"/>
        <v>-1.78516283557688E-4</v>
      </c>
      <c r="CU33" s="600">
        <f ca="1"/>
        <v>1.89025540970889E-5</v>
      </c>
      <c r="CV33" s="600">
        <f ca="1"/>
        <v>5.4206246336750696E-4</v>
      </c>
      <c r="DD33" s="300"/>
      <c r="DE33" s="206"/>
      <c r="DF33" s="206"/>
      <c r="DG33" s="206"/>
      <c r="DH33" s="206"/>
    </row>
    <row r="34" spans="6:112" x14ac:dyDescent="0.25">
      <c r="F34" s="50"/>
      <c r="I34" s="53"/>
      <c r="Q34" s="50"/>
      <c r="R34" s="222" t="s">
        <v>731</v>
      </c>
      <c r="S34" s="223" t="str">
        <f>INDEX('STATIC DATA'!C55:AB55,1,MATCH($A$1,'STATIC DATA'!C4:AB4,0))</f>
        <v>ACT/360</v>
      </c>
      <c r="T34" s="53"/>
      <c r="V34" s="378" t="s">
        <v>308</v>
      </c>
      <c r="W34" s="204">
        <f t="shared" ca="1" si="11"/>
        <v>-4.2500000000000003E-4</v>
      </c>
      <c r="X34" s="620" t="b">
        <v>1</v>
      </c>
      <c r="Y34" s="5">
        <f t="shared" si="9"/>
        <v>0</v>
      </c>
      <c r="Z34" s="208">
        <f ca="1">JPY_DATA!W16+JPY_DATA!AG17</f>
        <v>-4.2500000000000003E-4</v>
      </c>
      <c r="AA34" s="203"/>
      <c r="AB34" s="50"/>
      <c r="AC34" s="222" t="s">
        <v>678</v>
      </c>
      <c r="AD34" s="223" t="str">
        <f>INDEX('STATIC DATA'!C55:AB55,1,MATCH($A$1,'STATIC DATA'!C4:AB4,0))</f>
        <v>ACT/360</v>
      </c>
      <c r="AE34" s="53"/>
      <c r="AH34" s="204"/>
      <c r="AK34" s="203"/>
      <c r="AL34" s="203"/>
      <c r="AM34" s="50"/>
      <c r="AN34" s="222" t="s">
        <v>754</v>
      </c>
      <c r="AO34" s="216" t="s">
        <v>687</v>
      </c>
      <c r="AP34" s="53"/>
      <c r="AX34" s="50"/>
      <c r="AY34" s="222" t="s">
        <v>754</v>
      </c>
      <c r="AZ34" s="216" t="s">
        <v>687</v>
      </c>
      <c r="BA34" s="53"/>
      <c r="BI34" s="50"/>
      <c r="BJ34" s="245" t="s">
        <v>756</v>
      </c>
      <c r="BK34" s="244" t="s">
        <v>797</v>
      </c>
      <c r="BL34" s="53"/>
      <c r="BT34" s="50"/>
      <c r="BU34" s="234" t="s">
        <v>757</v>
      </c>
      <c r="BV34" s="260" t="s">
        <v>426</v>
      </c>
      <c r="BW34" s="53" t="s">
        <v>887</v>
      </c>
      <c r="BY34" s="25" t="s">
        <v>374</v>
      </c>
      <c r="BZ34" s="204">
        <f t="shared" ca="1" si="13"/>
        <v>-5.5250000000000004E-3</v>
      </c>
      <c r="CA34" t="b">
        <v>1</v>
      </c>
      <c r="CB34">
        <f t="shared" si="14"/>
        <v>0</v>
      </c>
      <c r="CC34" s="208">
        <f ca="1">JPY_DATA!AX38</f>
        <v>-5.5250000000000004E-3</v>
      </c>
      <c r="CE34" s="50"/>
      <c r="CF34" s="55"/>
      <c r="CG34" s="55"/>
      <c r="CH34" s="55"/>
      <c r="CI34" s="332"/>
      <c r="CJ34" s="299"/>
      <c r="CK34" s="299"/>
      <c r="CL34" s="313"/>
      <c r="CM34" s="299"/>
      <c r="CN34" s="206"/>
      <c r="CS34" s="601">
        <f ca="1"/>
        <v>46455</v>
      </c>
      <c r="CT34" s="600">
        <f ca="1"/>
        <v>-7.60334536903603E-5</v>
      </c>
      <c r="CU34" s="600">
        <f ca="1"/>
        <v>1.3592083665798401E-4</v>
      </c>
      <c r="CV34" s="600">
        <f ca="1"/>
        <v>6.5245756481585203E-4</v>
      </c>
      <c r="DD34" s="300"/>
      <c r="DE34" s="206"/>
      <c r="DF34" s="206"/>
      <c r="DG34" s="206"/>
      <c r="DH34" s="206"/>
    </row>
    <row r="35" spans="6:112" x14ac:dyDescent="0.25">
      <c r="F35" s="50"/>
      <c r="G35" s="222" t="s">
        <v>695</v>
      </c>
      <c r="H35" s="223" t="s">
        <v>696</v>
      </c>
      <c r="I35" s="53"/>
      <c r="Q35" s="50"/>
      <c r="R35" s="222" t="s">
        <v>732</v>
      </c>
      <c r="S35" s="223" t="str">
        <f>INDEX('STATIC DATA'!C7:AB7,1,MATCH($A$1,'STATIC DATA'!C4:AB4,0))</f>
        <v>2D</v>
      </c>
      <c r="T35" s="53"/>
      <c r="V35" s="378" t="s">
        <v>316</v>
      </c>
      <c r="W35" s="204">
        <f t="shared" ca="1" si="11"/>
        <v>-4.4999999999999999E-4</v>
      </c>
      <c r="X35" s="620" t="b">
        <v>1</v>
      </c>
      <c r="Y35" s="5">
        <f t="shared" si="9"/>
        <v>0</v>
      </c>
      <c r="Z35" s="208">
        <f ca="1">JPY_DATA!W17+JPY_DATA!AG18</f>
        <v>-4.4999999999999999E-4</v>
      </c>
      <c r="AA35" s="203"/>
      <c r="AB35" s="50"/>
      <c r="AC35" s="222" t="s">
        <v>679</v>
      </c>
      <c r="AD35" s="223" t="s">
        <v>729</v>
      </c>
      <c r="AE35" s="53"/>
      <c r="AH35" s="204"/>
      <c r="AK35" s="203"/>
      <c r="AM35" s="50"/>
      <c r="AN35" s="222" t="s">
        <v>755</v>
      </c>
      <c r="AO35" s="216">
        <v>0</v>
      </c>
      <c r="AP35" s="53"/>
      <c r="AX35" s="50"/>
      <c r="AY35" s="222" t="s">
        <v>755</v>
      </c>
      <c r="AZ35" s="216">
        <v>0</v>
      </c>
      <c r="BA35" s="53"/>
      <c r="BI35" s="50"/>
      <c r="BJ35" s="233" t="s">
        <v>757</v>
      </c>
      <c r="BK35" s="244" t="s">
        <v>797</v>
      </c>
      <c r="BL35" s="53"/>
      <c r="BT35" s="50"/>
      <c r="BU35" s="234" t="s">
        <v>756</v>
      </c>
      <c r="BV35" s="260" t="s">
        <v>1123</v>
      </c>
      <c r="BW35" s="53" t="s">
        <v>887</v>
      </c>
      <c r="BY35" s="25" t="s">
        <v>382</v>
      </c>
      <c r="BZ35" s="204">
        <f t="shared" ca="1" si="13"/>
        <v>-5.5125E-3</v>
      </c>
      <c r="CA35" t="b">
        <v>1</v>
      </c>
      <c r="CB35">
        <f t="shared" si="14"/>
        <v>0</v>
      </c>
      <c r="CC35" s="208">
        <f ca="1">JPY_DATA!AX39</f>
        <v>-5.5125E-3</v>
      </c>
      <c r="CE35" s="50"/>
      <c r="CF35" s="55"/>
      <c r="CG35" s="55"/>
      <c r="CH35" s="55"/>
      <c r="CI35" s="332"/>
      <c r="CJ35" s="303" t="s">
        <v>832</v>
      </c>
      <c r="CK35" s="299"/>
      <c r="CL35" s="313"/>
      <c r="CM35" s="299"/>
      <c r="CN35" s="299"/>
      <c r="CQ35" s="299"/>
      <c r="CR35" s="299"/>
      <c r="CS35" s="603">
        <f ca="1"/>
        <v>46547</v>
      </c>
      <c r="CT35" s="608">
        <f ca="1"/>
        <v>3.4765988989880899E-5</v>
      </c>
      <c r="CU35" s="608">
        <f ca="1"/>
        <v>2.3835488538903599E-4</v>
      </c>
      <c r="CV35" s="608">
        <f ca="1"/>
        <v>7.48478599224003E-4</v>
      </c>
      <c r="CW35" s="299"/>
      <c r="CX35" s="299"/>
      <c r="CY35" s="299"/>
      <c r="CZ35" s="299"/>
      <c r="DA35" s="299"/>
      <c r="DB35" s="299"/>
      <c r="DC35" s="299"/>
      <c r="DD35" s="300"/>
      <c r="DE35" s="206"/>
      <c r="DF35" s="206"/>
      <c r="DG35" s="206"/>
      <c r="DH35" s="206"/>
    </row>
    <row r="36" spans="6:112" x14ac:dyDescent="0.25">
      <c r="F36" s="50"/>
      <c r="G36" s="222" t="s">
        <v>697</v>
      </c>
      <c r="H36" s="223">
        <v>1E-10</v>
      </c>
      <c r="I36" s="53"/>
      <c r="Q36" s="50"/>
      <c r="R36" s="222" t="s">
        <v>707</v>
      </c>
      <c r="S36" s="223" t="s">
        <v>687</v>
      </c>
      <c r="T36" s="53"/>
      <c r="V36" s="378" t="s">
        <v>324</v>
      </c>
      <c r="W36" s="204">
        <f t="shared" ca="1" si="11"/>
        <v>-4.4999999999999999E-4</v>
      </c>
      <c r="X36" s="620" t="b">
        <v>1</v>
      </c>
      <c r="Y36" s="5">
        <f t="shared" si="9"/>
        <v>0</v>
      </c>
      <c r="Z36" s="208">
        <f ca="1">JPY_DATA!W18+JPY_DATA!AG19</f>
        <v>-4.4999999999999999E-4</v>
      </c>
      <c r="AA36" s="203"/>
      <c r="AB36" s="50"/>
      <c r="AC36" s="222" t="s">
        <v>683</v>
      </c>
      <c r="AD36" s="223" t="str">
        <f>INDEX('STATIC DATA'!C7:AB7,1,MATCH($A$1,'STATIC DATA'!C4:AB4,0))</f>
        <v>2D</v>
      </c>
      <c r="AE36" s="53"/>
      <c r="AH36" s="204"/>
      <c r="AK36" s="203"/>
      <c r="AM36" s="50"/>
      <c r="AN36" s="245" t="s">
        <v>756</v>
      </c>
      <c r="AO36" s="247" t="s">
        <v>790</v>
      </c>
      <c r="AP36" s="249" t="s">
        <v>801</v>
      </c>
      <c r="AX36" s="50"/>
      <c r="AY36" s="234" t="s">
        <v>756</v>
      </c>
      <c r="AZ36" s="247" t="s">
        <v>790</v>
      </c>
      <c r="BA36" s="249" t="s">
        <v>801</v>
      </c>
      <c r="BI36" s="50"/>
      <c r="BJ36" s="245" t="s">
        <v>758</v>
      </c>
      <c r="BK36" s="244" t="s">
        <v>49</v>
      </c>
      <c r="BL36" s="53"/>
      <c r="BT36" s="50"/>
      <c r="BU36" s="245" t="s">
        <v>758</v>
      </c>
      <c r="BV36" s="260" t="s">
        <v>49</v>
      </c>
      <c r="BW36" s="53"/>
      <c r="BY36" s="25" t="s">
        <v>389</v>
      </c>
      <c r="BZ36" s="204">
        <f t="shared" ca="1" si="13"/>
        <v>-5.5125E-3</v>
      </c>
      <c r="CA36" t="b">
        <v>1</v>
      </c>
      <c r="CB36">
        <f t="shared" si="14"/>
        <v>0</v>
      </c>
      <c r="CC36" s="208">
        <f ca="1">JPY_DATA!AX40</f>
        <v>-5.5125E-3</v>
      </c>
      <c r="CE36" s="50"/>
      <c r="CF36" s="55"/>
      <c r="CG36" s="55"/>
      <c r="CH36" s="55"/>
      <c r="CI36" s="332"/>
      <c r="CJ36" s="303"/>
      <c r="CK36" s="299"/>
      <c r="CL36" s="313"/>
      <c r="CM36" s="299"/>
      <c r="CN36" s="299"/>
      <c r="CQ36" s="299"/>
      <c r="CR36" s="299"/>
      <c r="CS36" s="603">
        <f ca="1"/>
        <v>46639</v>
      </c>
      <c r="CT36" s="608">
        <f ca="1"/>
        <v>1.51680125189951E-4</v>
      </c>
      <c r="CU36" s="608">
        <f ca="1"/>
        <v>3.3038025858287301E-4</v>
      </c>
      <c r="CV36" s="608">
        <f ca="1"/>
        <v>8.4761222081314704E-4</v>
      </c>
      <c r="CW36" s="299"/>
      <c r="CX36" s="299"/>
      <c r="CY36" s="299"/>
      <c r="CZ36" s="299"/>
      <c r="DA36" s="299"/>
      <c r="DB36" s="299"/>
      <c r="DC36" s="299"/>
      <c r="DD36" s="300"/>
      <c r="DE36" s="206"/>
      <c r="DF36" s="206"/>
      <c r="DG36" s="206"/>
      <c r="DH36" s="206"/>
    </row>
    <row r="37" spans="6:112" x14ac:dyDescent="0.25">
      <c r="F37" s="50"/>
      <c r="G37" s="222" t="s">
        <v>698</v>
      </c>
      <c r="H37" s="223">
        <v>1000</v>
      </c>
      <c r="I37" s="53"/>
      <c r="K37" s="2" t="s">
        <v>662</v>
      </c>
      <c r="Q37" s="50"/>
      <c r="R37" s="222"/>
      <c r="S37" s="223"/>
      <c r="T37" s="53"/>
      <c r="V37" s="378" t="s">
        <v>331</v>
      </c>
      <c r="W37" s="204">
        <f t="shared" ca="1" si="11"/>
        <v>-4.0000000000000002E-4</v>
      </c>
      <c r="X37" s="620" t="b">
        <v>1</v>
      </c>
      <c r="Y37" s="5">
        <f t="shared" si="9"/>
        <v>0</v>
      </c>
      <c r="Z37" s="208">
        <f ca="1">JPY_DATA!W19+JPY_DATA!AG20</f>
        <v>-4.0000000000000002E-4</v>
      </c>
      <c r="AA37" s="203"/>
      <c r="AB37" s="50"/>
      <c r="AC37" s="225" t="s">
        <v>686</v>
      </c>
      <c r="AD37" s="226" t="s">
        <v>687</v>
      </c>
      <c r="AE37" s="53"/>
      <c r="AG37" s="2" t="s">
        <v>662</v>
      </c>
      <c r="AM37" s="50"/>
      <c r="AN37" s="233" t="s">
        <v>757</v>
      </c>
      <c r="AO37" s="229" t="s">
        <v>790</v>
      </c>
      <c r="AP37" s="53"/>
      <c r="AX37" s="50"/>
      <c r="AY37" s="234" t="s">
        <v>757</v>
      </c>
      <c r="AZ37" s="229" t="s">
        <v>790</v>
      </c>
      <c r="BA37" s="53"/>
      <c r="BI37" s="50"/>
      <c r="BJ37" s="222" t="s">
        <v>759</v>
      </c>
      <c r="BK37" s="216" t="e">
        <f>INDEX('STATIC DATA'!Y55:AY55,1,MATCH($A$1,'STATIC DATA'!Y4:AV4,0))</f>
        <v>#N/A</v>
      </c>
      <c r="BL37" s="53"/>
      <c r="BT37" s="50"/>
      <c r="BU37" s="222" t="s">
        <v>759</v>
      </c>
      <c r="BV37" s="216" t="str">
        <f>INDEX('STATIC DATA'!C55:AB55,1,MATCH("USD",'STATIC DATA'!C4:AB4,0))</f>
        <v>ACT/360</v>
      </c>
      <c r="BW37" s="53"/>
      <c r="BY37" s="2" t="s">
        <v>662</v>
      </c>
      <c r="CE37" s="50"/>
      <c r="CF37" s="55"/>
      <c r="CG37" s="55"/>
      <c r="CH37" s="55"/>
      <c r="CI37" s="332"/>
      <c r="CJ37" s="323" t="s">
        <v>425</v>
      </c>
      <c r="CK37" s="299"/>
      <c r="CL37" s="313"/>
      <c r="CM37" s="299"/>
      <c r="CN37" s="299"/>
      <c r="CO37" s="2" t="s">
        <v>662</v>
      </c>
      <c r="CQ37" s="299"/>
      <c r="CR37" s="299"/>
      <c r="CS37" s="603">
        <f ca="1"/>
        <v>46730</v>
      </c>
      <c r="CT37" s="608">
        <f ca="1"/>
        <v>2.8290275574048898E-4</v>
      </c>
      <c r="CU37" s="608">
        <f ca="1"/>
        <v>4.39572982373188E-4</v>
      </c>
      <c r="CV37" s="608">
        <f ca="1"/>
        <v>9.6959443327376501E-4</v>
      </c>
      <c r="CW37" s="299"/>
      <c r="CX37" s="299"/>
      <c r="CY37" s="299"/>
      <c r="CZ37" s="299"/>
      <c r="DA37" s="299"/>
      <c r="DB37" s="299"/>
      <c r="DC37" s="299"/>
      <c r="DD37" s="300"/>
      <c r="DE37" s="206"/>
      <c r="DF37" s="206"/>
      <c r="DG37" s="206"/>
      <c r="DH37" s="206"/>
    </row>
    <row r="38" spans="6:112" x14ac:dyDescent="0.25">
      <c r="F38" s="50"/>
      <c r="G38" s="222" t="s">
        <v>699</v>
      </c>
      <c r="H38" s="223" t="s">
        <v>700</v>
      </c>
      <c r="I38" s="53"/>
      <c r="K38" t="s">
        <v>434</v>
      </c>
      <c r="L38" t="str">
        <f>$A$1</f>
        <v>JPY</v>
      </c>
      <c r="Q38" s="50"/>
      <c r="R38" s="225"/>
      <c r="S38" s="226"/>
      <c r="T38" s="53"/>
      <c r="V38" s="378" t="s">
        <v>339</v>
      </c>
      <c r="W38" s="204">
        <f t="shared" ca="1" si="11"/>
        <v>-3.2499999999999999E-4</v>
      </c>
      <c r="X38" s="620" t="b">
        <v>1</v>
      </c>
      <c r="Y38" s="5">
        <f t="shared" si="9"/>
        <v>0</v>
      </c>
      <c r="Z38" s="208">
        <f ca="1">JPY_DATA!W20+JPY_DATA!AG21</f>
        <v>-3.2499999999999999E-4</v>
      </c>
      <c r="AB38" s="50"/>
      <c r="AC38" s="52" t="s">
        <v>713</v>
      </c>
      <c r="AD38" s="52" t="s">
        <v>713</v>
      </c>
      <c r="AE38" s="53"/>
      <c r="AG38" t="s">
        <v>434</v>
      </c>
      <c r="AH38" t="str">
        <f>$A$1</f>
        <v>JPY</v>
      </c>
      <c r="AM38" s="50"/>
      <c r="AN38" s="245" t="s">
        <v>758</v>
      </c>
      <c r="AO38" s="244" t="s">
        <v>46</v>
      </c>
      <c r="AP38" s="53"/>
      <c r="AX38" s="50"/>
      <c r="AY38" s="245" t="s">
        <v>758</v>
      </c>
      <c r="AZ38" s="244" t="s">
        <v>322</v>
      </c>
      <c r="BA38" s="53"/>
      <c r="BI38" s="50"/>
      <c r="BJ38" s="222" t="s">
        <v>760</v>
      </c>
      <c r="BK38" s="216" t="str">
        <f>INDEX('STATIC DATA'!C39:AB39,1,MATCH($A$1,'STATIC DATA'!$C$4:$AB$4,0))</f>
        <v>LNB</v>
      </c>
      <c r="BL38" s="53"/>
      <c r="BT38" s="50"/>
      <c r="BU38" s="222" t="s">
        <v>760</v>
      </c>
      <c r="BV38" s="216" t="str">
        <f>INDEX('STATIC DATA'!C30:AB30,1,MATCH($A$1,'STATIC DATA'!$C$4:$AB$4,0))</f>
        <v>TKB:NYB:LNB</v>
      </c>
      <c r="BW38" s="53"/>
      <c r="BY38" t="s">
        <v>434</v>
      </c>
      <c r="BZ38" t="str">
        <f>$A$1</f>
        <v>JPY</v>
      </c>
      <c r="CE38" s="50"/>
      <c r="CF38" s="55"/>
      <c r="CG38" s="55"/>
      <c r="CH38" s="55"/>
      <c r="CI38" s="332"/>
      <c r="CJ38" s="147" t="s">
        <v>434</v>
      </c>
      <c r="CK38" s="238" t="str">
        <f>$A$1&amp;"/USD"</f>
        <v>JPY/USD</v>
      </c>
      <c r="CL38" s="305"/>
      <c r="CM38" s="299"/>
      <c r="CN38" s="299"/>
      <c r="CO38" t="s">
        <v>434</v>
      </c>
      <c r="CP38" t="s">
        <v>128</v>
      </c>
      <c r="CQ38" s="299"/>
      <c r="CR38" s="299"/>
      <c r="CS38" s="603">
        <f ca="1"/>
        <v>46821</v>
      </c>
      <c r="CT38" s="608">
        <f ca="1"/>
        <v>4.4078617728369801E-4</v>
      </c>
      <c r="CU38" s="608">
        <f ca="1"/>
        <v>5.7509461851548802E-4</v>
      </c>
      <c r="CV38" s="608">
        <f ca="1"/>
        <v>1.1178054798813601E-3</v>
      </c>
      <c r="CW38" s="299"/>
      <c r="CX38" s="299"/>
      <c r="CY38" s="299"/>
      <c r="CZ38" s="299"/>
      <c r="DA38" s="299"/>
      <c r="DB38" s="299"/>
      <c r="DC38" s="299"/>
      <c r="DD38" s="300"/>
      <c r="DE38" s="206"/>
      <c r="DF38" s="206"/>
      <c r="DG38" s="206"/>
      <c r="DH38" s="206"/>
    </row>
    <row r="39" spans="6:112" x14ac:dyDescent="0.25">
      <c r="F39" s="50"/>
      <c r="G39" s="222" t="s">
        <v>701</v>
      </c>
      <c r="H39" s="223" t="b">
        <v>0</v>
      </c>
      <c r="I39" s="53"/>
      <c r="K39" t="s">
        <v>435</v>
      </c>
      <c r="L39" t="s">
        <v>426</v>
      </c>
      <c r="Q39" s="50"/>
      <c r="R39" s="52" t="s">
        <v>713</v>
      </c>
      <c r="S39" s="52" t="s">
        <v>713</v>
      </c>
      <c r="T39" s="53"/>
      <c r="V39" s="378" t="s">
        <v>342</v>
      </c>
      <c r="W39" s="204">
        <f t="shared" ca="1" si="11"/>
        <v>-2.0000000000000001E-4</v>
      </c>
      <c r="X39" s="620" t="b">
        <v>1</v>
      </c>
      <c r="Y39" s="5">
        <f t="shared" si="9"/>
        <v>0</v>
      </c>
      <c r="Z39" s="208">
        <f ca="1">JPY_DATA!W21+JPY_DATA!AG22</f>
        <v>-2.0000000000000001E-4</v>
      </c>
      <c r="AB39" s="50"/>
      <c r="AC39" s="54" t="s">
        <v>730</v>
      </c>
      <c r="AD39" s="52" t="s">
        <v>713</v>
      </c>
      <c r="AE39" s="53"/>
      <c r="AG39" t="s">
        <v>435</v>
      </c>
      <c r="AH39" t="s">
        <v>463</v>
      </c>
      <c r="AM39" s="50"/>
      <c r="AN39" s="222" t="s">
        <v>759</v>
      </c>
      <c r="AO39" s="216" t="str">
        <f>INDEX('STATIC DATA'!C55:AB55,1,MATCH($A$1,'STATIC DATA'!C4:AB4,0))</f>
        <v>ACT/360</v>
      </c>
      <c r="AP39" s="53"/>
      <c r="AR39" s="2" t="s">
        <v>662</v>
      </c>
      <c r="AX39" s="50"/>
      <c r="AY39" s="222" t="s">
        <v>759</v>
      </c>
      <c r="AZ39" s="216" t="s">
        <v>48</v>
      </c>
      <c r="BA39" s="53"/>
      <c r="BI39" s="50"/>
      <c r="BJ39" s="225" t="s">
        <v>761</v>
      </c>
      <c r="BK39" s="219" t="s">
        <v>721</v>
      </c>
      <c r="BL39" s="53"/>
      <c r="BN39" s="382"/>
      <c r="BT39" s="50"/>
      <c r="BU39" s="225" t="s">
        <v>761</v>
      </c>
      <c r="BV39" s="219" t="s">
        <v>458</v>
      </c>
      <c r="BW39" s="53"/>
      <c r="BY39" t="s">
        <v>435</v>
      </c>
      <c r="BZ39" t="s">
        <v>669</v>
      </c>
      <c r="CE39" s="50"/>
      <c r="CF39" s="55"/>
      <c r="CG39" s="55"/>
      <c r="CH39" s="55"/>
      <c r="CI39" s="332"/>
      <c r="CJ39" s="149" t="s">
        <v>435</v>
      </c>
      <c r="CK39" s="223" t="s">
        <v>820</v>
      </c>
      <c r="CL39" s="305"/>
      <c r="CM39" s="299"/>
      <c r="CN39" s="299"/>
      <c r="CO39" t="s">
        <v>435</v>
      </c>
      <c r="CP39" t="s">
        <v>1084</v>
      </c>
      <c r="CQ39" s="299"/>
      <c r="CR39" s="299"/>
      <c r="CS39" s="603">
        <f ca="1"/>
        <v>46913</v>
      </c>
      <c r="CT39" s="608">
        <f ca="1"/>
        <v>6.2973344231070504E-4</v>
      </c>
      <c r="CU39" s="608">
        <f ca="1"/>
        <v>7.3927920557951003E-4</v>
      </c>
      <c r="CV39" s="608">
        <f ca="1"/>
        <v>1.2887831757602199E-3</v>
      </c>
      <c r="CW39" s="299"/>
      <c r="CX39" s="299"/>
      <c r="CY39" s="299"/>
      <c r="CZ39" s="299"/>
      <c r="DA39" s="299"/>
      <c r="DB39" s="299"/>
      <c r="DC39" s="299"/>
      <c r="DD39" s="300"/>
      <c r="DE39" s="206"/>
      <c r="DF39" s="206"/>
      <c r="DG39" s="206"/>
      <c r="DH39" s="206"/>
    </row>
    <row r="40" spans="6:112" x14ac:dyDescent="0.25">
      <c r="F40" s="50"/>
      <c r="G40" s="222"/>
      <c r="H40" s="223"/>
      <c r="I40" s="53"/>
      <c r="K40" t="s">
        <v>438</v>
      </c>
      <c r="L40" t="s">
        <v>439</v>
      </c>
      <c r="Q40" s="626"/>
      <c r="R40" s="630" t="s">
        <v>428</v>
      </c>
      <c r="S40" s="628" t="s">
        <v>713</v>
      </c>
      <c r="T40" s="629"/>
      <c r="V40" s="378" t="s">
        <v>355</v>
      </c>
      <c r="W40" s="204">
        <f t="shared" ca="1" si="11"/>
        <v>-4.9999999999999996E-5</v>
      </c>
      <c r="X40" s="620" t="b">
        <v>1</v>
      </c>
      <c r="Y40" s="5">
        <f t="shared" si="9"/>
        <v>0</v>
      </c>
      <c r="Z40" s="208">
        <f ca="1">JPY_DATA!W22+JPY_DATA!AG23</f>
        <v>-4.9999999999999996E-5</v>
      </c>
      <c r="AB40" s="50"/>
      <c r="AC40" s="220" t="s">
        <v>704</v>
      </c>
      <c r="AD40" s="221" t="str">
        <f>INDEX('STATIC DATA'!C39:AB39,1,MATCH($A$1,'STATIC DATA'!$C$4:$AB$4,0))</f>
        <v>LNB</v>
      </c>
      <c r="AE40" s="53"/>
      <c r="AG40" t="s">
        <v>438</v>
      </c>
      <c r="AH40" t="str">
        <f>AD13</f>
        <v>SEMI-ANNUAL</v>
      </c>
      <c r="AM40" s="50"/>
      <c r="AN40" s="222" t="s">
        <v>760</v>
      </c>
      <c r="AO40" s="216" t="str">
        <f>INDEX('STATIC DATA'!C39:AB39,1,MATCH($A$1,'STATIC DATA'!$C$4:$AB$4,0))</f>
        <v>LNB</v>
      </c>
      <c r="AP40" s="53"/>
      <c r="AR40" t="s">
        <v>434</v>
      </c>
      <c r="AS40" t="str">
        <f>$A$1</f>
        <v>JPY</v>
      </c>
      <c r="AX40" s="50"/>
      <c r="AY40" s="222" t="s">
        <v>760</v>
      </c>
      <c r="AZ40" s="216" t="s">
        <v>608</v>
      </c>
      <c r="BA40" s="53"/>
      <c r="BI40" s="50"/>
      <c r="BJ40" s="225" t="s">
        <v>762</v>
      </c>
      <c r="BK40" s="219" t="str">
        <f>INDEX('STATIC DATA'!C39:AB39,1,MATCH($A$1,'STATIC DATA'!$C$4:$AB$4,0))</f>
        <v>LNB</v>
      </c>
      <c r="BL40" s="53"/>
      <c r="BN40" s="382"/>
      <c r="BT40" s="50"/>
      <c r="BU40" s="225" t="s">
        <v>762</v>
      </c>
      <c r="BV40" s="219" t="str">
        <f>INDEX('STATIC DATA'!C30:AB30,1,MATCH($A$1,'STATIC DATA'!$C$4:$AB$4,0))</f>
        <v>TKB:NYB:LNB</v>
      </c>
      <c r="BW40" s="53"/>
      <c r="BY40" t="s">
        <v>438</v>
      </c>
      <c r="BZ40" t="s">
        <v>458</v>
      </c>
      <c r="CE40" s="50"/>
      <c r="CF40" s="55"/>
      <c r="CG40" s="55"/>
      <c r="CH40" s="55"/>
      <c r="CI40" s="332"/>
      <c r="CJ40" s="149" t="s">
        <v>440</v>
      </c>
      <c r="CK40" s="275">
        <f ca="1">TODAY()</f>
        <v>44083</v>
      </c>
      <c r="CL40" s="324"/>
      <c r="CM40" s="303"/>
      <c r="CN40" s="303"/>
      <c r="CO40" t="s">
        <v>438</v>
      </c>
      <c r="CP40" t="s">
        <v>439</v>
      </c>
      <c r="CQ40" s="299"/>
      <c r="CR40" s="299"/>
      <c r="CS40" s="603">
        <f ca="1"/>
        <v>47007</v>
      </c>
      <c r="CT40" s="608">
        <f ca="1"/>
        <v>8.4660928363480196E-4</v>
      </c>
      <c r="CU40" s="608">
        <f ca="1"/>
        <v>9.2131258772559603E-4</v>
      </c>
      <c r="CV40" s="608">
        <f ca="1"/>
        <v>1.4670876345930599E-3</v>
      </c>
      <c r="CW40" s="299"/>
      <c r="CX40" s="299"/>
      <c r="CY40" s="299"/>
      <c r="CZ40" s="299"/>
      <c r="DA40" s="299"/>
      <c r="DB40" s="299"/>
      <c r="DC40" s="299"/>
      <c r="DD40" s="300"/>
      <c r="DE40" s="206"/>
      <c r="DF40" s="206"/>
      <c r="DG40" s="206"/>
      <c r="DH40" s="206"/>
    </row>
    <row r="41" spans="6:112" x14ac:dyDescent="0.25">
      <c r="F41" s="50"/>
      <c r="G41" s="222"/>
      <c r="H41" s="223"/>
      <c r="I41" s="53"/>
      <c r="K41" t="s">
        <v>440</v>
      </c>
      <c r="L41" s="200">
        <f ca="1">TODAY()</f>
        <v>44083</v>
      </c>
      <c r="Q41" s="626"/>
      <c r="R41" s="640" t="s">
        <v>704</v>
      </c>
      <c r="S41" s="221" t="str">
        <f>INDEX('STATIC DATA'!C40:AB40,1,MATCH($A$1,'STATIC DATA'!$C$4:$AB$4,0))</f>
        <v>LNB:TKB</v>
      </c>
      <c r="T41" s="629"/>
      <c r="V41" s="378" t="s">
        <v>364</v>
      </c>
      <c r="W41" s="204">
        <f t="shared" ca="1" si="11"/>
        <v>1.3749999999999998E-4</v>
      </c>
      <c r="X41" s="620" t="b">
        <v>1</v>
      </c>
      <c r="Y41" s="5">
        <f t="shared" si="9"/>
        <v>0</v>
      </c>
      <c r="Z41" s="208">
        <f ca="1">JPY_DATA!W23+JPY_DATA!AG24</f>
        <v>1.3749999999999998E-4</v>
      </c>
      <c r="AB41" s="50"/>
      <c r="AC41" s="222" t="s">
        <v>731</v>
      </c>
      <c r="AD41" s="223" t="str">
        <f>INDEX('STATIC DATA'!C55:AB55,1,MATCH($A$1,'STATIC DATA'!C4:AB4,0))</f>
        <v>ACT/360</v>
      </c>
      <c r="AE41" s="53"/>
      <c r="AG41" t="s">
        <v>440</v>
      </c>
      <c r="AH41" s="200">
        <f ca="1">TODAY()</f>
        <v>44083</v>
      </c>
      <c r="AM41" s="50"/>
      <c r="AN41" s="225" t="s">
        <v>761</v>
      </c>
      <c r="AO41" s="219" t="s">
        <v>721</v>
      </c>
      <c r="AP41" s="53"/>
      <c r="AR41" t="s">
        <v>435</v>
      </c>
      <c r="AS41" t="s">
        <v>468</v>
      </c>
      <c r="AX41" s="50"/>
      <c r="AY41" s="225" t="s">
        <v>761</v>
      </c>
      <c r="AZ41" s="219" t="s">
        <v>721</v>
      </c>
      <c r="BA41" s="53"/>
      <c r="BI41" s="50"/>
      <c r="BJ41" s="225" t="s">
        <v>763</v>
      </c>
      <c r="BK41" s="219">
        <v>0</v>
      </c>
      <c r="BL41" s="53"/>
      <c r="BT41" s="50"/>
      <c r="BU41" s="225" t="s">
        <v>763</v>
      </c>
      <c r="BV41" s="219" t="s">
        <v>621</v>
      </c>
      <c r="BW41" s="53"/>
      <c r="BY41" t="s">
        <v>440</v>
      </c>
      <c r="BZ41" s="200">
        <f ca="1">TODAY()</f>
        <v>44083</v>
      </c>
      <c r="CE41" s="50"/>
      <c r="CF41" s="55"/>
      <c r="CG41" s="55"/>
      <c r="CH41" s="55"/>
      <c r="CI41" s="332"/>
      <c r="CJ41" s="151" t="s">
        <v>821</v>
      </c>
      <c r="CK41" s="226">
        <f>IF(INDEX('STATIC DATA'!C49:AB49,1,MATCH($A$1,'STATIC DATA'!C4:AB4,0))=4,1/10000,IF(INDEX('STATIC DATA'!C49:AB49,1,MATCH($A$1,'STATIC DATA'!C4:AB4,0))=3,1/1000,1/100))</f>
        <v>0.01</v>
      </c>
      <c r="CL41" s="305"/>
      <c r="CM41" s="299"/>
      <c r="CN41" s="299"/>
      <c r="CO41" t="s">
        <v>440</v>
      </c>
      <c r="CP41" s="360">
        <f ca="1">'STATIC DATA'!D5</f>
        <v>44083</v>
      </c>
      <c r="CQ41" s="299"/>
      <c r="CR41" s="299"/>
      <c r="CS41" s="603">
        <f ca="1"/>
        <v>47098</v>
      </c>
      <c r="CT41" s="608">
        <f ca="1"/>
        <v>1.0564382664686801E-3</v>
      </c>
      <c r="CU41" s="608">
        <f ca="1"/>
        <v>1.08822862767362E-3</v>
      </c>
      <c r="CV41" s="608">
        <f ca="1"/>
        <v>1.62511212727567E-3</v>
      </c>
      <c r="CW41" s="299"/>
      <c r="CX41" s="299"/>
      <c r="CY41" s="299"/>
      <c r="CZ41" s="299"/>
      <c r="DA41" s="299"/>
      <c r="DB41" s="299"/>
      <c r="DC41" s="299"/>
      <c r="DD41" s="300"/>
      <c r="DE41" s="206"/>
      <c r="DF41" s="206"/>
      <c r="DG41" s="206"/>
      <c r="DH41" s="206"/>
    </row>
    <row r="42" spans="6:112" x14ac:dyDescent="0.25">
      <c r="F42" s="50"/>
      <c r="G42" s="222"/>
      <c r="H42" s="223"/>
      <c r="I42" s="53"/>
      <c r="Q42" s="626"/>
      <c r="R42" s="641" t="s">
        <v>731</v>
      </c>
      <c r="S42" s="223" t="str">
        <f>INDEX('STATIC DATA'!C53:AB53,1,MATCH(A1,'STATIC DATA'!C4:AB4,0))</f>
        <v>ACT/365</v>
      </c>
      <c r="T42" s="629"/>
      <c r="V42" s="378" t="s">
        <v>349</v>
      </c>
      <c r="W42" s="204">
        <f t="shared" ca="1" si="11"/>
        <v>3.3750000000000002E-4</v>
      </c>
      <c r="X42" s="620" t="b">
        <v>1</v>
      </c>
      <c r="Y42" s="5">
        <f t="shared" si="9"/>
        <v>0</v>
      </c>
      <c r="Z42" s="208">
        <f ca="1">JPY_DATA!W24+JPY_DATA!AG25</f>
        <v>3.3750000000000002E-4</v>
      </c>
      <c r="AB42" s="50"/>
      <c r="AC42" s="222" t="s">
        <v>732</v>
      </c>
      <c r="AD42" s="223" t="str">
        <f>INDEX('STATIC DATA'!C7:AB7,1,MATCH($A$1,'STATIC DATA'!C4:AB4,0))</f>
        <v>2D</v>
      </c>
      <c r="AE42" s="53"/>
      <c r="AM42" s="50"/>
      <c r="AN42" s="225" t="s">
        <v>762</v>
      </c>
      <c r="AO42" s="219" t="str">
        <f>INDEX('STATIC DATA'!C39:AB39,1,MATCH($A$1,'STATIC DATA'!$C$4:$AB$4,0))</f>
        <v>LNB</v>
      </c>
      <c r="AP42" s="53"/>
      <c r="AR42" t="s">
        <v>438</v>
      </c>
      <c r="AS42" t="s">
        <v>459</v>
      </c>
      <c r="AX42" s="50"/>
      <c r="AY42" s="225" t="s">
        <v>762</v>
      </c>
      <c r="AZ42" s="219" t="s">
        <v>608</v>
      </c>
      <c r="BA42" s="53"/>
      <c r="BI42" s="50"/>
      <c r="BJ42" s="220" t="s">
        <v>764</v>
      </c>
      <c r="BK42" s="238" t="s">
        <v>687</v>
      </c>
      <c r="BL42" s="53"/>
      <c r="BT42" s="50"/>
      <c r="BU42" s="220" t="s">
        <v>764</v>
      </c>
      <c r="BV42" s="238" t="s">
        <v>687</v>
      </c>
      <c r="BW42" s="53"/>
      <c r="CE42" s="50"/>
      <c r="CF42" s="55"/>
      <c r="CG42" s="55"/>
      <c r="CH42" s="55"/>
      <c r="CI42" s="332"/>
      <c r="CJ42" s="299"/>
      <c r="CK42" s="299"/>
      <c r="CL42" s="313"/>
      <c r="CM42" s="299"/>
      <c r="CN42" s="299"/>
      <c r="CQ42" s="299"/>
      <c r="CR42" s="299"/>
      <c r="CS42" s="603">
        <f ca="1"/>
        <v>47186</v>
      </c>
      <c r="CT42" s="608">
        <f ca="1"/>
        <v>1.23118906306989E-3</v>
      </c>
      <c r="CU42" s="608">
        <f ca="1"/>
        <v>1.2329403934352599E-3</v>
      </c>
      <c r="CV42" s="608">
        <f ca="1"/>
        <v>1.7588322862690201E-3</v>
      </c>
      <c r="CW42" s="299"/>
      <c r="CX42" s="299"/>
      <c r="CY42" s="299"/>
      <c r="CZ42" s="299"/>
      <c r="DA42" s="299"/>
      <c r="DB42" s="299"/>
      <c r="DC42" s="299"/>
      <c r="DD42" s="300"/>
      <c r="DE42" s="206"/>
      <c r="DF42" s="206"/>
      <c r="DG42" s="206"/>
      <c r="DH42" s="206"/>
    </row>
    <row r="43" spans="6:112" x14ac:dyDescent="0.25">
      <c r="F43" s="50"/>
      <c r="G43" s="222" t="s">
        <v>1116</v>
      </c>
      <c r="H43" s="223"/>
      <c r="I43" s="53"/>
      <c r="K43" s="2" t="s">
        <v>441</v>
      </c>
      <c r="Q43" s="626"/>
      <c r="R43" s="641" t="s">
        <v>734</v>
      </c>
      <c r="S43" s="223" t="str">
        <f>INDEX('STATIC DATA'!C55:AB55,1,MATCH(A1,'STATIC DATA'!C4:AB4,0))</f>
        <v>ACT/360</v>
      </c>
      <c r="T43" s="629"/>
      <c r="V43" s="378" t="s">
        <v>358</v>
      </c>
      <c r="W43" s="204">
        <f t="shared" ca="1" si="11"/>
        <v>7.7500000000000008E-4</v>
      </c>
      <c r="X43" s="620" t="b">
        <v>1</v>
      </c>
      <c r="Y43" s="5">
        <f t="shared" si="9"/>
        <v>0</v>
      </c>
      <c r="Z43" s="208">
        <f ca="1">JPY_DATA!W25+JPY_DATA!AG26</f>
        <v>7.7500000000000008E-4</v>
      </c>
      <c r="AB43" s="50"/>
      <c r="AC43" s="222" t="s">
        <v>707</v>
      </c>
      <c r="AD43" s="223" t="s">
        <v>687</v>
      </c>
      <c r="AE43" s="53"/>
      <c r="AG43" s="2" t="s">
        <v>441</v>
      </c>
      <c r="AM43" s="50"/>
      <c r="AN43" s="225" t="s">
        <v>763</v>
      </c>
      <c r="AO43" s="219">
        <v>0</v>
      </c>
      <c r="AP43" s="53"/>
      <c r="AR43" t="s">
        <v>440</v>
      </c>
      <c r="AS43" s="200">
        <f ca="1">INDEX('STATIC DATA'!$C$5:$AB$5,1,MATCH($W58,'STATIC DATA'!$C$4:$AB$4,0))</f>
        <v>44083</v>
      </c>
      <c r="AX43" s="50"/>
      <c r="AY43" s="225" t="s">
        <v>763</v>
      </c>
      <c r="AZ43" s="219">
        <v>0</v>
      </c>
      <c r="BA43" s="53"/>
      <c r="BI43" s="50"/>
      <c r="BJ43" s="222" t="s">
        <v>765</v>
      </c>
      <c r="BK43" s="216" t="s">
        <v>608</v>
      </c>
      <c r="BL43" s="53"/>
      <c r="BT43" s="50"/>
      <c r="BU43" s="222" t="s">
        <v>765</v>
      </c>
      <c r="BV43" s="216" t="str">
        <f>INDEX('STATIC DATA'!C30:AB30,1,MATCH($A$1,'STATIC DATA'!$C$4:$AB$4,0))</f>
        <v>TKB:NYB:LNB</v>
      </c>
      <c r="BW43" s="53"/>
      <c r="BY43" s="2" t="s">
        <v>441</v>
      </c>
      <c r="CE43" s="50"/>
      <c r="CF43" s="55"/>
      <c r="CG43" s="55"/>
      <c r="CH43" s="55"/>
      <c r="CI43" s="332"/>
      <c r="CJ43" s="323" t="s">
        <v>824</v>
      </c>
      <c r="CK43" s="303"/>
      <c r="CL43" s="313"/>
      <c r="CM43" s="299"/>
      <c r="CN43" s="299"/>
      <c r="CO43" s="2" t="s">
        <v>441</v>
      </c>
      <c r="CQ43" s="299"/>
      <c r="CR43" s="299"/>
      <c r="CS43" s="603">
        <f ca="1"/>
        <v>47280</v>
      </c>
      <c r="CT43" s="608">
        <f ca="1"/>
        <v>1.3815829601186501E-3</v>
      </c>
      <c r="CU43" s="608">
        <f ca="1"/>
        <v>1.3630077777455299E-3</v>
      </c>
      <c r="CV43" s="608">
        <f ca="1"/>
        <v>1.8812077295366301E-3</v>
      </c>
      <c r="CW43" s="299"/>
      <c r="CX43" s="299"/>
      <c r="CY43" s="299"/>
      <c r="CZ43" s="299"/>
      <c r="DA43" s="299"/>
      <c r="DB43" s="299"/>
      <c r="DC43" s="299"/>
      <c r="DD43" s="300"/>
      <c r="DE43" s="206"/>
      <c r="DF43" s="206"/>
      <c r="DG43" s="206"/>
      <c r="DH43" s="206"/>
    </row>
    <row r="44" spans="6:112" x14ac:dyDescent="0.25">
      <c r="F44" s="50"/>
      <c r="G44" s="222" t="s">
        <v>692</v>
      </c>
      <c r="H44" s="223" t="s">
        <v>693</v>
      </c>
      <c r="I44" s="53"/>
      <c r="K44" t="s">
        <v>442</v>
      </c>
      <c r="L44" s="206" t="str">
        <f>L38&amp;"_"&amp;L39&amp;"_CURVE_MARKETDATA"</f>
        <v>JPY_OIS_CURVE_MARKETDATA</v>
      </c>
      <c r="Q44" s="626"/>
      <c r="R44" s="641" t="s">
        <v>706</v>
      </c>
      <c r="S44" s="223" t="str">
        <f>IF(INDEX('STATIC DATA'!C54:AB54,1,MATCH(A1,'STATIC DATA'!C4:AB4,0))="1Y","ANNUAL",(IF(INDEX('STATIC DATA'!C54:AB54,1,MATCH(A1,'STATIC DATA'!C4:AB4,0))="6M","SEMI-ANNUAL", "QUARTERLY")))</f>
        <v>SEMI-ANNUAL</v>
      </c>
      <c r="T44" s="629"/>
      <c r="V44" s="378" t="s">
        <v>367</v>
      </c>
      <c r="W44" s="204">
        <f t="shared" ca="1" si="11"/>
        <v>1.4875000000000001E-3</v>
      </c>
      <c r="X44" s="620" t="b">
        <v>1</v>
      </c>
      <c r="Y44" s="5">
        <f t="shared" si="9"/>
        <v>0</v>
      </c>
      <c r="Z44" s="208">
        <f ca="1">JPY_DATA!W26+JPY_DATA!AG27</f>
        <v>1.4875000000000001E-3</v>
      </c>
      <c r="AB44" s="50"/>
      <c r="AC44" s="222"/>
      <c r="AD44" s="223"/>
      <c r="AE44" s="53"/>
      <c r="AG44" t="s">
        <v>442</v>
      </c>
      <c r="AH44" t="str">
        <f>AH38&amp;"_"&amp;AH39&amp;"_"&amp;"6M"&amp;"_CURVE_MARKETDATA"</f>
        <v>JPY_SWAP_6M_CURVE_MARKETDATA</v>
      </c>
      <c r="AM44" s="50"/>
      <c r="AN44" s="220" t="s">
        <v>764</v>
      </c>
      <c r="AO44" s="238" t="s">
        <v>687</v>
      </c>
      <c r="AP44" s="53"/>
      <c r="AX44" s="50"/>
      <c r="AY44" s="220" t="s">
        <v>764</v>
      </c>
      <c r="AZ44" s="238" t="s">
        <v>687</v>
      </c>
      <c r="BA44" s="53"/>
      <c r="BI44" s="50"/>
      <c r="BJ44" s="222" t="s">
        <v>766</v>
      </c>
      <c r="BK44" s="216" t="e">
        <f>INDEX('STATIC DATA'!Y55:AY55,1,MATCH($A$1,'STATIC DATA'!Y4:AV4,0))</f>
        <v>#N/A</v>
      </c>
      <c r="BL44" s="53"/>
      <c r="BT44" s="50"/>
      <c r="BU44" s="222" t="s">
        <v>766</v>
      </c>
      <c r="BV44" s="216" t="str">
        <f>INDEX('STATIC DATA'!C55:AB55,1,MATCH("USD",'STATIC DATA'!C4:AB4,0))</f>
        <v>ACT/360</v>
      </c>
      <c r="BW44" s="53"/>
      <c r="BY44" t="s">
        <v>442</v>
      </c>
      <c r="BZ44" t="str">
        <f>A1&amp;"_"&amp;BZ39&amp;"_CURVE_MARKETDATA"</f>
        <v>JPY_XCCYBASIS_CURVE_MARKETDATA</v>
      </c>
      <c r="CE44" s="50"/>
      <c r="CF44" s="55"/>
      <c r="CG44" s="55"/>
      <c r="CH44" s="55"/>
      <c r="CI44" s="332"/>
      <c r="CJ44" s="270" t="s">
        <v>830</v>
      </c>
      <c r="CK44" s="271" t="s">
        <v>1065</v>
      </c>
      <c r="CL44" s="325"/>
      <c r="CM44" s="303"/>
      <c r="CN44" s="303"/>
      <c r="CO44" t="s">
        <v>442</v>
      </c>
      <c r="CP44" t="s">
        <v>1598</v>
      </c>
      <c r="CQ44" s="299"/>
      <c r="CR44" s="299"/>
      <c r="CS44" s="617">
        <f ca="1"/>
        <v>47371</v>
      </c>
      <c r="CT44" s="618">
        <f ca="1"/>
        <v>1.4968615639737899E-3</v>
      </c>
      <c r="CU44" s="618">
        <f ca="1"/>
        <v>1.4736279085827001E-3</v>
      </c>
      <c r="CV44" s="618">
        <f ca="1"/>
        <v>1.9919117692399099E-3</v>
      </c>
      <c r="CW44" s="299"/>
      <c r="CX44" s="299"/>
      <c r="CY44" s="299"/>
      <c r="CZ44" s="299"/>
      <c r="DA44" s="299"/>
      <c r="DB44" s="299"/>
      <c r="DC44" s="299"/>
      <c r="DD44" s="300"/>
      <c r="DE44" s="206"/>
      <c r="DF44" s="206"/>
      <c r="DG44" s="206"/>
      <c r="DH44" s="206"/>
    </row>
    <row r="45" spans="6:112" x14ac:dyDescent="0.25">
      <c r="F45" s="50"/>
      <c r="G45" s="222" t="s">
        <v>1115</v>
      </c>
      <c r="H45" s="223" t="s">
        <v>316</v>
      </c>
      <c r="I45" s="53"/>
      <c r="K45" t="s">
        <v>444</v>
      </c>
      <c r="L45" s="206" t="str">
        <f ca="1">_xll.meLWOCurveMarketDataCreate(L44,"MarketDataProperties",K38:L41,"OIS",K7:L33)</f>
        <v>JPY_OIS_CURVE_MARKETDATA@28:3</v>
      </c>
      <c r="Q45" s="626"/>
      <c r="R45" s="641" t="s">
        <v>735</v>
      </c>
      <c r="S45" s="223" t="str">
        <f>S44</f>
        <v>SEMI-ANNUAL</v>
      </c>
      <c r="T45" s="629"/>
      <c r="V45" s="378" t="s">
        <v>374</v>
      </c>
      <c r="W45" s="204">
        <f t="shared" ca="1" si="11"/>
        <v>2.3875000000000003E-3</v>
      </c>
      <c r="X45" s="620" t="b">
        <v>1</v>
      </c>
      <c r="Y45" s="5">
        <f t="shared" si="9"/>
        <v>0</v>
      </c>
      <c r="Z45" s="208">
        <f ca="1">JPY_DATA!W27+JPY_DATA!AG28</f>
        <v>2.3875000000000003E-3</v>
      </c>
      <c r="AB45" s="50"/>
      <c r="AC45" s="225"/>
      <c r="AD45" s="226"/>
      <c r="AE45" s="53"/>
      <c r="AG45" t="s">
        <v>444</v>
      </c>
      <c r="AH45" t="str">
        <f ca="1">_xll.meLWOCurveMarketDataCreate(AH44,AG37,AG38:AH41,"LIBORFIXINGS",AG7:AI9,"FRAS",AG10:AI13,"SWAPS",AG14:AI31)</f>
        <v>JPY_SWAP_6M_CURVE_MARKETDATA@26:3</v>
      </c>
      <c r="AM45" s="50"/>
      <c r="AN45" s="222" t="s">
        <v>765</v>
      </c>
      <c r="AO45" s="216" t="str">
        <f>INDEX('STATIC DATA'!C39:AB39,1,MATCH($A$1,'STATIC DATA'!$C$4:$AB$4,0))</f>
        <v>LNB</v>
      </c>
      <c r="AP45" s="53"/>
      <c r="AR45" s="2" t="s">
        <v>441</v>
      </c>
      <c r="AX45" s="50"/>
      <c r="AY45" s="222" t="s">
        <v>765</v>
      </c>
      <c r="AZ45" s="216" t="s">
        <v>608</v>
      </c>
      <c r="BA45" s="53"/>
      <c r="BI45" s="50"/>
      <c r="BJ45" s="222" t="s">
        <v>767</v>
      </c>
      <c r="BK45" s="216" t="s">
        <v>794</v>
      </c>
      <c r="BL45" s="53"/>
      <c r="BT45" s="50"/>
      <c r="BU45" s="222" t="s">
        <v>767</v>
      </c>
      <c r="BV45" s="216" t="s">
        <v>458</v>
      </c>
      <c r="BW45" s="53"/>
      <c r="BY45" t="s">
        <v>444</v>
      </c>
      <c r="BZ45" t="str">
        <f ca="1">_xll.meLWOCurveMarketDataCreate(BZ44,BY37,BY38:BZ42,"FXSPOTS",BY7:CA7,"FXFWDS",BY8:CA20,"XCCYSWAPS",BY21:CA36)</f>
        <v>JPY_XCCYBASIS_CURVE_MARKETDATA@25:3</v>
      </c>
      <c r="CE45" s="50"/>
      <c r="CF45" s="55"/>
      <c r="CG45" s="55"/>
      <c r="CH45" s="55"/>
      <c r="CI45" s="332"/>
      <c r="CJ45" s="206"/>
      <c r="CK45" s="263" t="str">
        <f ca="1">_xll.meLWOCurveMarketDataCreate(CK44,"MARKETDATAPROPERTIES",CJ38:CK41,"FXSPOTS",CK7:CL7,"FXFWDS",CJ8:CL31)</f>
        <v>MKTDATA_EURUSD@49:3</v>
      </c>
      <c r="CL45" s="313"/>
      <c r="CM45" s="313"/>
      <c r="CN45" s="313"/>
      <c r="CO45" t="s">
        <v>444</v>
      </c>
      <c r="CP45" s="444" t="str">
        <f ca="1">_xll.meLWOCurveMarketDataCreate(CP44,CO37,CO38:CP41)</f>
        <v>JPY_FXFWD_MARKET_DATA@23:3</v>
      </c>
      <c r="CQ45" s="299"/>
      <c r="CR45" s="299"/>
      <c r="CS45" s="603">
        <f ca="1"/>
        <v>47462</v>
      </c>
      <c r="CT45" s="608">
        <f ca="1"/>
        <v>1.60455629768454E-3</v>
      </c>
      <c r="CU45" s="608">
        <f ca="1"/>
        <v>1.58560027222493E-3</v>
      </c>
      <c r="CV45" s="608">
        <f ca="1"/>
        <v>2.1074486035195699E-3</v>
      </c>
      <c r="CW45" s="299"/>
      <c r="CX45" s="299"/>
      <c r="CY45" s="299"/>
      <c r="CZ45" s="299"/>
      <c r="DA45" s="299"/>
      <c r="DB45" s="299"/>
      <c r="DC45" s="299"/>
      <c r="DD45" s="300"/>
      <c r="DE45" s="206"/>
      <c r="DF45" s="206"/>
      <c r="DG45" s="206"/>
      <c r="DH45" s="206"/>
    </row>
    <row r="46" spans="6:112" x14ac:dyDescent="0.25">
      <c r="F46" s="50"/>
      <c r="G46" s="225"/>
      <c r="H46" s="226"/>
      <c r="I46" s="53"/>
      <c r="L46" s="206"/>
      <c r="Q46" s="626"/>
      <c r="R46" s="641" t="s">
        <v>736</v>
      </c>
      <c r="S46" s="223" t="s">
        <v>718</v>
      </c>
      <c r="T46" s="629"/>
      <c r="V46" s="378" t="s">
        <v>382</v>
      </c>
      <c r="W46" s="204">
        <f t="shared" ca="1" si="11"/>
        <v>2.9625000000000003E-3</v>
      </c>
      <c r="X46" s="620" t="b">
        <v>1</v>
      </c>
      <c r="Y46" s="5">
        <f t="shared" si="9"/>
        <v>0</v>
      </c>
      <c r="Z46" s="208">
        <f ca="1">JPY_DATA!W28+JPY_DATA!AG29</f>
        <v>2.9625000000000003E-3</v>
      </c>
      <c r="AB46" s="50"/>
      <c r="AC46" s="52" t="s">
        <v>713</v>
      </c>
      <c r="AD46" s="52" t="s">
        <v>713</v>
      </c>
      <c r="AE46" s="53"/>
      <c r="AM46" s="50"/>
      <c r="AN46" s="222" t="s">
        <v>766</v>
      </c>
      <c r="AO46" s="216" t="str">
        <f>INDEX('STATIC DATA'!C55:AB55,1,MATCH($A$1,'STATIC DATA'!C4:AB4,0))</f>
        <v>ACT/360</v>
      </c>
      <c r="AP46" s="53"/>
      <c r="AR46" t="s">
        <v>442</v>
      </c>
      <c r="AS46" t="str">
        <f>A1&amp;"_BASIS_3X6_MARKETDATA"</f>
        <v>JPY_BASIS_3X6_MARKETDATA</v>
      </c>
      <c r="AX46" s="50"/>
      <c r="AY46" s="222" t="s">
        <v>766</v>
      </c>
      <c r="AZ46" s="216" t="s">
        <v>48</v>
      </c>
      <c r="BA46" s="53"/>
      <c r="BI46" s="50"/>
      <c r="BJ46" s="222" t="s">
        <v>768</v>
      </c>
      <c r="BK46" s="239" t="s">
        <v>458</v>
      </c>
      <c r="BL46" s="53"/>
      <c r="BT46" s="50"/>
      <c r="BU46" s="222" t="s">
        <v>769</v>
      </c>
      <c r="BV46" s="239" t="s">
        <v>687</v>
      </c>
      <c r="BW46" s="53"/>
      <c r="CE46" s="50"/>
      <c r="CF46" s="55"/>
      <c r="CG46" s="55"/>
      <c r="CH46" s="55"/>
      <c r="CI46" s="332"/>
      <c r="CJ46" s="206"/>
      <c r="CK46" s="206"/>
      <c r="CL46" s="305"/>
      <c r="CM46" s="299"/>
      <c r="CN46" s="299"/>
      <c r="CQ46" s="299"/>
      <c r="CR46" s="299"/>
      <c r="CS46" s="603">
        <f ca="1"/>
        <v>47553</v>
      </c>
      <c r="CT46" s="608">
        <f ca="1"/>
        <v>1.7291966448023501E-3</v>
      </c>
      <c r="CU46" s="608">
        <f ca="1"/>
        <v>1.7032531958299599E-3</v>
      </c>
      <c r="CV46" s="608">
        <f ca="1"/>
        <v>2.22796128288132E-3</v>
      </c>
      <c r="CW46" s="299"/>
      <c r="CX46" s="299"/>
      <c r="CY46" s="299"/>
      <c r="CZ46" s="299"/>
      <c r="DA46" s="299"/>
      <c r="DB46" s="299"/>
      <c r="DC46" s="299"/>
      <c r="DD46" s="300"/>
      <c r="DE46" s="206"/>
      <c r="DF46" s="206"/>
      <c r="DG46" s="206"/>
      <c r="DH46" s="206"/>
    </row>
    <row r="47" spans="6:112" x14ac:dyDescent="0.25">
      <c r="F47" s="50"/>
      <c r="G47" s="52"/>
      <c r="H47" s="52"/>
      <c r="I47" s="53"/>
      <c r="K47" s="2" t="s">
        <v>447</v>
      </c>
      <c r="L47" s="206"/>
      <c r="Q47" s="626"/>
      <c r="R47" s="641" t="s">
        <v>737</v>
      </c>
      <c r="S47" s="223">
        <v>31</v>
      </c>
      <c r="T47" s="629"/>
      <c r="V47" s="378" t="s">
        <v>389</v>
      </c>
      <c r="W47" s="204">
        <f t="shared" ca="1" si="11"/>
        <v>3.3375000000000002E-3</v>
      </c>
      <c r="X47" s="620" t="b">
        <v>1</v>
      </c>
      <c r="Y47" s="5">
        <f t="shared" si="9"/>
        <v>0</v>
      </c>
      <c r="Z47" s="208">
        <f ca="1">JPY_DATA!W29+JPY_DATA!AG30</f>
        <v>3.3375000000000002E-3</v>
      </c>
      <c r="AB47" s="50"/>
      <c r="AC47" s="54" t="s">
        <v>461</v>
      </c>
      <c r="AD47" s="52" t="s">
        <v>713</v>
      </c>
      <c r="AE47" s="53"/>
      <c r="AG47" s="2" t="s">
        <v>447</v>
      </c>
      <c r="AM47" s="50"/>
      <c r="AN47" s="222" t="s">
        <v>767</v>
      </c>
      <c r="AO47" s="216" t="s">
        <v>458</v>
      </c>
      <c r="AP47" s="53"/>
      <c r="AR47" t="s">
        <v>444</v>
      </c>
      <c r="AS47" t="str">
        <f ca="1">_xll.meLWOCurveMarketDataCreate(AS46,AR39,AR40:AS44,"BASISSWAPS",AR7:AT21)</f>
        <v>JPY_BASIS_3X6_MARKETDATA@24:3</v>
      </c>
      <c r="AX47" s="50"/>
      <c r="AY47" s="222" t="s">
        <v>767</v>
      </c>
      <c r="AZ47" s="216" t="s">
        <v>458</v>
      </c>
      <c r="BA47" s="53"/>
      <c r="BI47" s="50"/>
      <c r="BJ47" s="222" t="s">
        <v>769</v>
      </c>
      <c r="BK47" s="216" t="s">
        <v>687</v>
      </c>
      <c r="BL47" s="53"/>
      <c r="BT47" s="50"/>
      <c r="BU47" s="222" t="s">
        <v>770</v>
      </c>
      <c r="BV47" s="216" t="s">
        <v>621</v>
      </c>
      <c r="BW47" s="53"/>
      <c r="BY47" s="2" t="s">
        <v>447</v>
      </c>
      <c r="CE47" s="50"/>
      <c r="CF47" s="55"/>
      <c r="CG47" s="55"/>
      <c r="CH47" s="55"/>
      <c r="CI47" s="332"/>
      <c r="CJ47" s="299"/>
      <c r="CK47" s="299"/>
      <c r="CL47" s="299"/>
      <c r="CM47" s="299"/>
      <c r="CN47" s="299"/>
      <c r="CO47" s="2" t="s">
        <v>447</v>
      </c>
      <c r="CQ47" s="299"/>
      <c r="CR47" s="299"/>
      <c r="CS47" s="603">
        <f ca="1"/>
        <v>47644</v>
      </c>
      <c r="CT47" s="608">
        <f ca="1"/>
        <v>1.8708233462421001E-3</v>
      </c>
      <c r="CU47" s="608">
        <f ca="1"/>
        <v>1.82528470205347E-3</v>
      </c>
      <c r="CV47" s="608">
        <f ca="1"/>
        <v>2.3515091944553601E-3</v>
      </c>
      <c r="CW47" s="299"/>
      <c r="CX47" s="299"/>
      <c r="CY47" s="299"/>
      <c r="CZ47" s="299"/>
      <c r="DA47" s="299"/>
      <c r="DB47" s="299"/>
      <c r="DC47" s="299"/>
      <c r="DD47" s="300"/>
      <c r="DE47" s="206"/>
      <c r="DF47" s="206"/>
      <c r="DG47" s="206"/>
      <c r="DH47" s="206"/>
    </row>
    <row r="48" spans="6:112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JPY_OIS_CURVE</v>
      </c>
      <c r="Q48" s="626"/>
      <c r="R48" s="641" t="s">
        <v>738</v>
      </c>
      <c r="S48" s="223" t="s">
        <v>718</v>
      </c>
      <c r="T48" s="629"/>
      <c r="V48" s="378" t="s">
        <v>1107</v>
      </c>
      <c r="W48" s="204">
        <f t="shared" ca="1" si="11"/>
        <v>3.4250000000000001E-3</v>
      </c>
      <c r="X48" s="620" t="b">
        <v>1</v>
      </c>
      <c r="Y48" s="5">
        <f t="shared" si="9"/>
        <v>0</v>
      </c>
      <c r="Z48" s="208">
        <f ca="1">JPY_DATA!W30+JPY_DATA!AG31</f>
        <v>3.4250000000000001E-3</v>
      </c>
      <c r="AB48" s="50"/>
      <c r="AC48" s="220" t="s">
        <v>677</v>
      </c>
      <c r="AD48" s="221" t="str">
        <f>INDEX('STATIC DATA'!C39:AB39,1,MATCH($A$1,'STATIC DATA'!$C$4:$AB$4,0))</f>
        <v>LNB</v>
      </c>
      <c r="AE48" s="53"/>
      <c r="AG48" t="s">
        <v>442</v>
      </c>
      <c r="AH48" t="str">
        <f>AH38&amp;"_"&amp;AH39&amp;"_6M"&amp;"_CURVE"</f>
        <v>JPY_SWAP_6M_CURVE</v>
      </c>
      <c r="AM48" s="50"/>
      <c r="AN48" s="222" t="s">
        <v>768</v>
      </c>
      <c r="AO48" s="239" t="s">
        <v>459</v>
      </c>
      <c r="AP48" s="53"/>
      <c r="AX48" s="50"/>
      <c r="AY48" s="222" t="s">
        <v>768</v>
      </c>
      <c r="AZ48" s="239" t="s">
        <v>680</v>
      </c>
      <c r="BA48" s="53"/>
      <c r="BI48" s="50"/>
      <c r="BJ48" s="225" t="s">
        <v>770</v>
      </c>
      <c r="BK48" s="219">
        <v>0</v>
      </c>
      <c r="BL48" s="53"/>
      <c r="BT48" s="50"/>
      <c r="BU48" s="234" t="s">
        <v>772</v>
      </c>
      <c r="BV48" s="247" t="s">
        <v>884</v>
      </c>
      <c r="BW48" s="249" t="s">
        <v>801</v>
      </c>
      <c r="BY48" t="s">
        <v>442</v>
      </c>
      <c r="BZ48" t="str">
        <f>A1&amp;"_"&amp;BZ39&amp;"_CURVE"</f>
        <v>JPY_XCCYBASIS_CURVE</v>
      </c>
      <c r="CE48" s="50"/>
      <c r="CF48" s="55"/>
      <c r="CG48" s="55"/>
      <c r="CH48" s="55"/>
      <c r="CI48" s="332"/>
      <c r="CJ48" s="303"/>
      <c r="CK48" s="299"/>
      <c r="CL48" s="299"/>
      <c r="CM48" s="299"/>
      <c r="CN48" s="299"/>
      <c r="CO48" t="s">
        <v>442</v>
      </c>
      <c r="CP48" t="s">
        <v>1599</v>
      </c>
      <c r="CQ48" s="299"/>
      <c r="CR48" s="299"/>
      <c r="CS48" s="603">
        <f ca="1"/>
        <v>47735</v>
      </c>
      <c r="CT48" s="608">
        <f ca="1"/>
        <v>2.0294818400340702E-3</v>
      </c>
      <c r="CU48" s="608">
        <f ca="1"/>
        <v>1.9516851287752399E-3</v>
      </c>
      <c r="CV48" s="608">
        <f ca="1"/>
        <v>2.48038680727985E-3</v>
      </c>
      <c r="CW48" s="299"/>
      <c r="CX48" s="299"/>
      <c r="CY48" s="299"/>
      <c r="CZ48" s="299"/>
      <c r="DA48" s="299"/>
      <c r="DB48" s="299"/>
      <c r="DC48" s="299"/>
      <c r="DD48" s="300"/>
      <c r="DE48" s="206"/>
      <c r="DF48" s="206"/>
      <c r="DG48" s="206"/>
      <c r="DH48" s="206"/>
    </row>
    <row r="49" spans="6:112" x14ac:dyDescent="0.25">
      <c r="F49" s="50"/>
      <c r="G49" s="220" t="s">
        <v>704</v>
      </c>
      <c r="H49" s="221" t="str">
        <f>INDEX('STATIC DATA'!C43:AB43,1,MATCH(A1,'STATIC DATA'!$C$4:$AB$4,0))</f>
        <v>TKB</v>
      </c>
      <c r="I49" s="53"/>
      <c r="K49" t="s">
        <v>450</v>
      </c>
      <c r="L49" s="206" t="str">
        <f>H8</f>
        <v>JPY_OIS@1:1</v>
      </c>
      <c r="Q49" s="626"/>
      <c r="R49" s="641" t="s">
        <v>739</v>
      </c>
      <c r="S49" s="223" t="str">
        <f>INDEX('STATIC DATA'!C7:AB7,1,MATCH($A$1,'STATIC DATA'!C4:AB4,0))</f>
        <v>2D</v>
      </c>
      <c r="T49" s="629"/>
      <c r="V49" s="378" t="s">
        <v>445</v>
      </c>
      <c r="W49" s="204">
        <f t="shared" ca="1" si="11"/>
        <v>3.4625000000000003E-3</v>
      </c>
      <c r="X49" s="620" t="b">
        <v>1</v>
      </c>
      <c r="Y49" s="5">
        <f t="shared" si="9"/>
        <v>0</v>
      </c>
      <c r="Z49" s="208">
        <f ca="1">JPY_DATA!W31+JPY_DATA!AG32</f>
        <v>3.4625000000000003E-3</v>
      </c>
      <c r="AB49" s="50"/>
      <c r="AC49" s="222" t="s">
        <v>678</v>
      </c>
      <c r="AD49" s="223" t="str">
        <f>INDEX('STATIC DATA'!C55:AB55,1,MATCH($A$1,'STATIC DATA'!C4:AB4,0))</f>
        <v>ACT/360</v>
      </c>
      <c r="AE49" s="53"/>
      <c r="AG49" t="s">
        <v>450</v>
      </c>
      <c r="AH49" t="str">
        <f>AD8</f>
        <v>JPY_SWAP_6M@5:1</v>
      </c>
      <c r="AM49" s="50"/>
      <c r="AN49" s="222" t="s">
        <v>769</v>
      </c>
      <c r="AO49" s="216" t="s">
        <v>687</v>
      </c>
      <c r="AP49" s="53"/>
      <c r="AR49" s="2" t="s">
        <v>447</v>
      </c>
      <c r="AX49" s="50"/>
      <c r="AY49" s="222" t="s">
        <v>769</v>
      </c>
      <c r="AZ49" s="216" t="s">
        <v>687</v>
      </c>
      <c r="BA49" s="53"/>
      <c r="BI49" s="50"/>
      <c r="BJ49" s="234" t="s">
        <v>771</v>
      </c>
      <c r="BK49" s="248" t="s">
        <v>790</v>
      </c>
      <c r="BL49" s="249" t="s">
        <v>801</v>
      </c>
      <c r="BT49" s="50"/>
      <c r="BU49" s="234" t="s">
        <v>771</v>
      </c>
      <c r="BV49" s="242" t="s">
        <v>885</v>
      </c>
      <c r="BW49" s="53"/>
      <c r="BY49" t="s">
        <v>450</v>
      </c>
      <c r="BZ49" t="str">
        <f>BV8</f>
        <v>JPY_XCCY@6:1</v>
      </c>
      <c r="CE49" s="50"/>
      <c r="CF49" s="55"/>
      <c r="CG49" s="55"/>
      <c r="CH49" s="55"/>
      <c r="CI49" s="332"/>
      <c r="CJ49" s="323"/>
      <c r="CK49" s="303"/>
      <c r="CL49" s="299"/>
      <c r="CM49" s="299"/>
      <c r="CN49" s="299"/>
      <c r="CO49" t="s">
        <v>450</v>
      </c>
      <c r="CP49" t="str">
        <f>CP6</f>
        <v>JPY_EURCSA@2:1</v>
      </c>
      <c r="CQ49" s="299"/>
      <c r="CR49" s="299"/>
      <c r="CS49" s="603" t="str">
        <f ca="1"/>
        <v/>
      </c>
      <c r="CT49" s="608" t="str">
        <f ca="1"/>
        <v/>
      </c>
      <c r="CU49" s="608" t="str">
        <f ca="1"/>
        <v/>
      </c>
      <c r="CV49" s="608" t="str">
        <f ca="1"/>
        <v/>
      </c>
      <c r="CW49" s="299"/>
      <c r="CX49" s="299"/>
      <c r="CY49" s="299"/>
      <c r="CZ49" s="299"/>
      <c r="DA49" s="299"/>
      <c r="DB49" s="299"/>
      <c r="DC49" s="299"/>
      <c r="DD49" s="300"/>
      <c r="DE49" s="206"/>
      <c r="DF49" s="206"/>
      <c r="DG49" s="206"/>
      <c r="DH49" s="206"/>
    </row>
    <row r="50" spans="6:112" x14ac:dyDescent="0.25">
      <c r="F50" s="50"/>
      <c r="G50" s="222" t="s">
        <v>705</v>
      </c>
      <c r="H50" s="223" t="str">
        <f>INDEX('STATIC DATA'!C55:AB55,1,MATCH(A1,'STATIC DATA'!C4:AB4,0))</f>
        <v>ACT/360</v>
      </c>
      <c r="I50" s="53"/>
      <c r="K50" t="s">
        <v>452</v>
      </c>
      <c r="L50" s="206" t="str">
        <f>$A$1&amp;"YC"</f>
        <v>JPYYC</v>
      </c>
      <c r="Q50" s="626"/>
      <c r="R50" s="641" t="s">
        <v>707</v>
      </c>
      <c r="S50" s="223" t="s">
        <v>687</v>
      </c>
      <c r="T50" s="629"/>
      <c r="W50" s="204"/>
      <c r="Z50" s="203"/>
      <c r="AB50" s="50"/>
      <c r="AC50" s="222" t="s">
        <v>683</v>
      </c>
      <c r="AD50" s="223" t="str">
        <f>INDEX('STATIC DATA'!C7:AB7,1,MATCH($A$1,'STATIC DATA'!C4:AB4,0))</f>
        <v>2D</v>
      </c>
      <c r="AE50" s="53"/>
      <c r="AG50" t="s">
        <v>452</v>
      </c>
      <c r="AH50" t="str">
        <f>$A$1&amp;"YC"</f>
        <v>JPYYC</v>
      </c>
      <c r="AM50" s="50"/>
      <c r="AN50" s="225" t="s">
        <v>770</v>
      </c>
      <c r="AO50" s="219">
        <v>0</v>
      </c>
      <c r="AP50" s="53"/>
      <c r="AR50" t="s">
        <v>442</v>
      </c>
      <c r="AS50" t="str">
        <f>A1&amp;"_BASIS_6M_CURVE"</f>
        <v>JPY_BASIS_6M_CURVE</v>
      </c>
      <c r="AX50" s="50"/>
      <c r="AY50" s="225" t="s">
        <v>770</v>
      </c>
      <c r="AZ50" s="219">
        <v>0</v>
      </c>
      <c r="BA50" s="53"/>
      <c r="BI50" s="50"/>
      <c r="BJ50" s="234" t="s">
        <v>772</v>
      </c>
      <c r="BK50" s="242" t="s">
        <v>790</v>
      </c>
      <c r="BL50" s="53"/>
      <c r="BT50" s="50"/>
      <c r="BU50" s="245" t="s">
        <v>774</v>
      </c>
      <c r="BV50" s="244" t="s">
        <v>49</v>
      </c>
      <c r="BW50" s="53"/>
      <c r="BY50" t="s">
        <v>452</v>
      </c>
      <c r="BZ50" t="str">
        <f>A1&amp;"YC"</f>
        <v>JPYYC</v>
      </c>
      <c r="CE50" s="50"/>
      <c r="CF50" s="55"/>
      <c r="CG50" s="55"/>
      <c r="CH50" s="55"/>
      <c r="CI50" s="332"/>
      <c r="CJ50" s="308"/>
      <c r="CK50" s="308"/>
      <c r="CL50" s="308"/>
      <c r="CM50" s="299"/>
      <c r="CN50" s="299"/>
      <c r="CO50" t="s">
        <v>452</v>
      </c>
      <c r="CP50" t="s">
        <v>1131</v>
      </c>
      <c r="CQ50" s="299"/>
      <c r="CR50" s="299"/>
      <c r="CS50" s="603" t="str">
        <f ca="1"/>
        <v/>
      </c>
      <c r="CT50" s="608" t="str">
        <f ca="1"/>
        <v/>
      </c>
      <c r="CU50" s="608" t="str">
        <f ca="1"/>
        <v/>
      </c>
      <c r="CV50" s="608" t="str">
        <f ca="1"/>
        <v/>
      </c>
      <c r="CW50" s="299"/>
      <c r="CX50" s="299"/>
      <c r="CY50" s="299"/>
      <c r="CZ50" s="299"/>
      <c r="DA50" s="299"/>
      <c r="DB50" s="299"/>
      <c r="DC50" s="299"/>
      <c r="DD50" s="300"/>
      <c r="DE50" s="206"/>
      <c r="DF50" s="206"/>
      <c r="DG50" s="206"/>
      <c r="DH50" s="206"/>
    </row>
    <row r="51" spans="6:112" x14ac:dyDescent="0.25">
      <c r="F51" s="50"/>
      <c r="G51" s="222" t="s">
        <v>706</v>
      </c>
      <c r="H51" s="223" t="str">
        <f>IF(INDEX('STATIC DATA'!C56:AB56,1,MATCH(A1,'STATIC DATA'!C4:AB4,0))="1Y","ANNUAL",(IF(INDEX('STATIC DATA'!C56:AB56,1,MATCH(A1,'STATIC DATA'!C4:AB4,0))="6M","SEMI-ANNUAL", "QUARTERLY")))</f>
        <v>SEMI-ANNUAL</v>
      </c>
      <c r="I51" s="53"/>
      <c r="K51" t="s">
        <v>453</v>
      </c>
      <c r="L51" s="206"/>
      <c r="Q51" s="626"/>
      <c r="R51" s="641" t="s">
        <v>740</v>
      </c>
      <c r="S51" s="223" t="s">
        <v>718</v>
      </c>
      <c r="T51" s="629"/>
      <c r="W51" s="204"/>
      <c r="Z51" s="203"/>
      <c r="AB51" s="50"/>
      <c r="AC51" s="222" t="s">
        <v>686</v>
      </c>
      <c r="AD51" s="223" t="s">
        <v>687</v>
      </c>
      <c r="AE51" s="53"/>
      <c r="AG51" t="s">
        <v>453</v>
      </c>
      <c r="AM51" s="50"/>
      <c r="AN51" s="234" t="s">
        <v>771</v>
      </c>
      <c r="AO51" s="242" t="s">
        <v>792</v>
      </c>
      <c r="AP51" s="53"/>
      <c r="AR51" t="s">
        <v>450</v>
      </c>
      <c r="AS51" t="str">
        <f>AO8</f>
        <v>Disabled</v>
      </c>
      <c r="AX51" s="50"/>
      <c r="AY51" s="234" t="s">
        <v>771</v>
      </c>
      <c r="AZ51" s="242" t="s">
        <v>792</v>
      </c>
      <c r="BA51" s="53"/>
      <c r="BI51" s="50"/>
      <c r="BJ51" s="245" t="s">
        <v>774</v>
      </c>
      <c r="BK51" s="244" t="s">
        <v>300</v>
      </c>
      <c r="BL51" s="53"/>
      <c r="BT51" s="50"/>
      <c r="BU51" s="222" t="s">
        <v>775</v>
      </c>
      <c r="BV51" s="216" t="str">
        <f>INDEX('STATIC DATA'!C55:AB55,1,MATCH($A$1,'STATIC DATA'!C4:AB4,0))</f>
        <v>ACT/360</v>
      </c>
      <c r="BW51" s="53"/>
      <c r="BY51" t="s">
        <v>453</v>
      </c>
      <c r="BZ51" t="s">
        <v>437</v>
      </c>
      <c r="CE51" s="50"/>
      <c r="CF51" s="55"/>
      <c r="CG51" s="55"/>
      <c r="CH51" s="55"/>
      <c r="CI51" s="332"/>
      <c r="CJ51" s="276"/>
      <c r="CK51" s="277"/>
      <c r="CL51" s="278"/>
      <c r="CM51" s="299"/>
      <c r="CN51" s="299"/>
      <c r="CO51" t="s">
        <v>453</v>
      </c>
      <c r="CP51" t="s">
        <v>929</v>
      </c>
      <c r="CQ51" s="299"/>
      <c r="CR51" s="299"/>
      <c r="CS51" s="603" t="str">
        <f ca="1"/>
        <v/>
      </c>
      <c r="CT51" s="608" t="str">
        <f ca="1"/>
        <v/>
      </c>
      <c r="CU51" s="608" t="str">
        <f ca="1"/>
        <v/>
      </c>
      <c r="CV51" s="608" t="str">
        <f ca="1"/>
        <v/>
      </c>
      <c r="CW51" s="299"/>
      <c r="CX51" s="299"/>
      <c r="CY51" s="299"/>
      <c r="CZ51" s="299"/>
      <c r="DA51" s="299"/>
      <c r="DB51" s="299"/>
      <c r="DC51" s="299"/>
      <c r="DD51" s="300"/>
      <c r="DE51" s="206"/>
      <c r="DF51" s="206"/>
      <c r="DG51" s="206"/>
      <c r="DH51" s="206"/>
    </row>
    <row r="52" spans="6:112" x14ac:dyDescent="0.25">
      <c r="F52" s="50"/>
      <c r="G52" s="225" t="s">
        <v>707</v>
      </c>
      <c r="H52" s="226" t="s">
        <v>687</v>
      </c>
      <c r="I52" s="53"/>
      <c r="Q52" s="626"/>
      <c r="R52" s="641" t="s">
        <v>697</v>
      </c>
      <c r="S52" s="224">
        <v>1.0000000000000001E-9</v>
      </c>
      <c r="T52" s="629"/>
      <c r="W52" s="204"/>
      <c r="Z52" s="203"/>
      <c r="AB52" s="50"/>
      <c r="AC52" s="233" t="s">
        <v>733</v>
      </c>
      <c r="AD52" s="231">
        <v>0.03</v>
      </c>
      <c r="AE52" s="53"/>
      <c r="AM52" s="50"/>
      <c r="AN52" s="234" t="s">
        <v>772</v>
      </c>
      <c r="AO52" s="242" t="s">
        <v>792</v>
      </c>
      <c r="AP52" s="53"/>
      <c r="AR52" t="s">
        <v>452</v>
      </c>
      <c r="AS52" t="str">
        <f>$A$1&amp;"YC"</f>
        <v>JPYYC</v>
      </c>
      <c r="AX52" s="50"/>
      <c r="AY52" s="234" t="s">
        <v>772</v>
      </c>
      <c r="AZ52" s="242" t="s">
        <v>792</v>
      </c>
      <c r="BA52" s="53"/>
      <c r="BI52" s="50"/>
      <c r="BJ52" s="222" t="s">
        <v>775</v>
      </c>
      <c r="BK52" s="216" t="e">
        <f>INDEX('STATIC DATA'!Y55:AY55,1,MATCH($A$1,'STATIC DATA'!Y4:AV4,0))</f>
        <v>#N/A</v>
      </c>
      <c r="BL52" s="53"/>
      <c r="BT52" s="50"/>
      <c r="BU52" s="222" t="s">
        <v>776</v>
      </c>
      <c r="BV52" s="216" t="str">
        <f>INDEX('STATIC DATA'!C39:AB39,1,MATCH("USD",'STATIC DATA'!$C$4:$AB$4,0))</f>
        <v>LNB</v>
      </c>
      <c r="BW52" s="53"/>
      <c r="CE52" s="50"/>
      <c r="CF52" s="55"/>
      <c r="CG52" s="55"/>
      <c r="CH52" s="55"/>
      <c r="CI52" s="332"/>
      <c r="CJ52" s="279"/>
      <c r="CK52" s="280"/>
      <c r="CL52" s="281"/>
      <c r="CM52" s="299"/>
      <c r="CN52" s="299"/>
      <c r="CQ52" s="299"/>
      <c r="CR52" s="299"/>
      <c r="CS52" s="603" t="str">
        <f ca="1"/>
        <v/>
      </c>
      <c r="CT52" s="608" t="str">
        <f ca="1"/>
        <v/>
      </c>
      <c r="CU52" s="608" t="str">
        <f ca="1"/>
        <v/>
      </c>
      <c r="CV52" s="608" t="str">
        <f ca="1"/>
        <v/>
      </c>
      <c r="CW52" s="299"/>
      <c r="CX52" s="299"/>
      <c r="CY52" s="299"/>
      <c r="CZ52" s="299"/>
      <c r="DA52" s="299"/>
      <c r="DB52" s="299"/>
      <c r="DC52" s="299"/>
      <c r="DD52" s="300"/>
      <c r="DE52" s="206"/>
      <c r="DF52" s="206"/>
      <c r="DG52" s="206"/>
      <c r="DH52" s="206"/>
    </row>
    <row r="53" spans="6:112" x14ac:dyDescent="0.25">
      <c r="F53" s="50"/>
      <c r="G53" s="52"/>
      <c r="H53" s="52"/>
      <c r="I53" s="53"/>
      <c r="K53" s="2" t="s">
        <v>454</v>
      </c>
      <c r="Q53" s="626"/>
      <c r="R53" s="641" t="s">
        <v>698</v>
      </c>
      <c r="S53" s="223">
        <v>1000</v>
      </c>
      <c r="T53" s="629"/>
      <c r="W53" s="204"/>
      <c r="Z53" s="203"/>
      <c r="AB53" s="50"/>
      <c r="AC53" s="222"/>
      <c r="AD53" s="223"/>
      <c r="AE53" s="53"/>
      <c r="AG53" s="2" t="s">
        <v>454</v>
      </c>
      <c r="AM53" s="50"/>
      <c r="AN53" s="245" t="s">
        <v>774</v>
      </c>
      <c r="AO53" s="244" t="s">
        <v>49</v>
      </c>
      <c r="AP53" s="53"/>
      <c r="AR53" t="s">
        <v>453</v>
      </c>
      <c r="AX53" s="50"/>
      <c r="AY53" s="245" t="s">
        <v>774</v>
      </c>
      <c r="AZ53" s="244" t="s">
        <v>49</v>
      </c>
      <c r="BA53" s="53"/>
      <c r="BI53" s="50"/>
      <c r="BJ53" s="222" t="s">
        <v>776</v>
      </c>
      <c r="BK53" s="216" t="str">
        <f>INDEX('STATIC DATA'!C39:AB39,1,MATCH($A$1,'STATIC DATA'!$C$4:$AB$4,0))</f>
        <v>LNB</v>
      </c>
      <c r="BL53" s="53"/>
      <c r="BT53" s="50"/>
      <c r="BU53" s="222" t="s">
        <v>777</v>
      </c>
      <c r="BV53" s="216" t="s">
        <v>458</v>
      </c>
      <c r="BW53" s="53"/>
      <c r="BY53" s="2" t="s">
        <v>454</v>
      </c>
      <c r="CE53" s="50"/>
      <c r="CF53" s="55"/>
      <c r="CG53" s="55"/>
      <c r="CH53" s="55"/>
      <c r="CI53" s="332"/>
      <c r="CJ53" s="323" t="s">
        <v>829</v>
      </c>
      <c r="CK53" s="299"/>
      <c r="CL53" s="283"/>
      <c r="CM53" s="299"/>
      <c r="CN53" s="299"/>
      <c r="CO53" s="2" t="s">
        <v>454</v>
      </c>
      <c r="CQ53" s="332"/>
      <c r="CR53" s="332"/>
      <c r="CS53" s="604" t="str">
        <f ca="1"/>
        <v/>
      </c>
      <c r="CT53" s="607" t="str">
        <f ca="1"/>
        <v/>
      </c>
      <c r="CU53" s="607" t="str">
        <f ca="1"/>
        <v/>
      </c>
      <c r="CV53" s="607" t="str">
        <f ca="1"/>
        <v/>
      </c>
      <c r="CW53" s="332"/>
      <c r="CX53" s="332"/>
      <c r="CY53" s="332"/>
      <c r="CZ53" s="332"/>
      <c r="DA53" s="332"/>
      <c r="DB53" s="332"/>
      <c r="DC53" s="332"/>
      <c r="DD53" s="300"/>
      <c r="DE53" s="206"/>
      <c r="DF53" s="206"/>
      <c r="DG53" s="206"/>
      <c r="DH53" s="206"/>
    </row>
    <row r="54" spans="6:112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aca="1" ref="L54:L57" ca="1">_xll.meLWOCurveCalibrate(L48,L49,L45,L50)</f>
        <v>JPY_OIS_CURVE@29:3</v>
      </c>
      <c r="Q54" s="626"/>
      <c r="R54" s="225"/>
      <c r="S54" s="226"/>
      <c r="T54" s="629"/>
      <c r="W54" s="204"/>
      <c r="Z54" s="203"/>
      <c r="AB54" s="50"/>
      <c r="AC54" s="225"/>
      <c r="AD54" s="226"/>
      <c r="AE54" s="53"/>
      <c r="AG54" t="s">
        <v>442</v>
      </c>
      <c r="AH54" s="647" t="str">
        <f t="array" aca="1" ref="AH54:AH57" ca="1">IF(ExistsJPYOIS,_xll.meLWOCurveCalibrate(AH48,AH49,AH45,AH50),"LOAD DEPENDENCY")</f>
        <v>JPY_SWAP_6M_CURVE@30:3</v>
      </c>
      <c r="AM54" s="50"/>
      <c r="AN54" s="222" t="s">
        <v>775</v>
      </c>
      <c r="AO54" s="216" t="str">
        <f>INDEX('STATIC DATA'!C55:AB55,1,MATCH($A$1,'STATIC DATA'!C4:AB4,0))</f>
        <v>ACT/360</v>
      </c>
      <c r="AP54" s="53"/>
      <c r="AX54" s="50"/>
      <c r="AY54" s="222" t="s">
        <v>775</v>
      </c>
      <c r="AZ54" s="216" t="s">
        <v>48</v>
      </c>
      <c r="BA54" s="53"/>
      <c r="BI54" s="50"/>
      <c r="BJ54" s="222" t="s">
        <v>777</v>
      </c>
      <c r="BK54" s="216" t="s">
        <v>721</v>
      </c>
      <c r="BL54" s="53"/>
      <c r="BT54" s="50"/>
      <c r="BU54" s="222" t="s">
        <v>778</v>
      </c>
      <c r="BV54" s="216" t="str">
        <f>INDEX('STATIC DATA'!C30:AB30,1,MATCH($A$1,'STATIC DATA'!$C$4:$AB$4,0))</f>
        <v>TKB:NYB:LNB</v>
      </c>
      <c r="BW54" s="53"/>
      <c r="BY54" t="s">
        <v>442</v>
      </c>
      <c r="BZ54" s="647" t="str">
        <f t="array" aca="1" ref="BZ54:BZ57" ca="1">IF(AND(ExistsJPY3M,ExistsUSD3M),_xll.meLWOCurveCalibrate($BZ$48,$BZ$49,$BZ$45,$BZ$50,$BZ$51),"LOAD DEPENDENCY")</f>
        <v>JPY_XCCYBASIS_CURVE@52:3</v>
      </c>
      <c r="CE54" s="50"/>
      <c r="CF54" s="55"/>
      <c r="CG54" s="55"/>
      <c r="CH54" s="55"/>
      <c r="CI54" s="332"/>
      <c r="CJ54" s="270" t="s">
        <v>831</v>
      </c>
      <c r="CK54" s="271" t="s">
        <v>1067</v>
      </c>
      <c r="CL54" s="283"/>
      <c r="CM54" s="299"/>
      <c r="CN54" s="299"/>
      <c r="CO54" t="s">
        <v>442</v>
      </c>
      <c r="CP54" s="647" t="str">
        <f t="array" aca="1" ref="CP54:CP57" ca="1">IF(AND(ExistsJPYXCCY,ExistsEURXCCY),_xll.meLWOCurveCalibrate(CP48,CP49,CP45,CP50,CP51),"LOAD DEPENDENCY")</f>
        <v>JPY_EURCSA_CURVE@56:3</v>
      </c>
      <c r="CQ54" s="332"/>
      <c r="CR54" s="332"/>
      <c r="CS54" s="604" t="str">
        <f ca="1"/>
        <v/>
      </c>
      <c r="CT54" s="607" t="str">
        <f ca="1"/>
        <v/>
      </c>
      <c r="CU54" s="607" t="str">
        <f ca="1"/>
        <v/>
      </c>
      <c r="CV54" s="607" t="str">
        <f ca="1"/>
        <v/>
      </c>
      <c r="CW54" s="332"/>
      <c r="CX54" s="332"/>
      <c r="CY54" s="332"/>
      <c r="CZ54" s="332"/>
      <c r="DA54" s="332"/>
      <c r="DB54" s="332"/>
      <c r="DC54" s="332"/>
      <c r="DD54" s="300"/>
      <c r="DE54" s="206"/>
      <c r="DF54" s="206"/>
      <c r="DG54" s="206"/>
      <c r="DH54" s="206"/>
    </row>
    <row r="55" spans="6:112" x14ac:dyDescent="0.25">
      <c r="F55" s="50"/>
      <c r="G55" s="220" t="s">
        <v>677</v>
      </c>
      <c r="H55" s="221" t="str">
        <f>INDEX('STATIC DATA'!C43:AB43,1,MATCH(A1,'STATIC DATA'!$C$4:$AB$4,0))</f>
        <v>TKB</v>
      </c>
      <c r="I55" s="53"/>
      <c r="K55" t="s">
        <v>455</v>
      </c>
      <c r="L55" t="str">
        <f ca="1"/>
        <v>JPYYC</v>
      </c>
      <c r="Q55" s="626"/>
      <c r="R55" s="628"/>
      <c r="S55" s="628"/>
      <c r="T55" s="629"/>
      <c r="W55" s="204"/>
      <c r="Z55" s="203"/>
      <c r="AB55" s="50"/>
      <c r="AC55" s="52" t="s">
        <v>713</v>
      </c>
      <c r="AD55" s="52" t="s">
        <v>713</v>
      </c>
      <c r="AE55" s="53"/>
      <c r="AG55" t="s">
        <v>455</v>
      </c>
      <c r="AH55" s="206" t="str">
        <f ca="1"/>
        <v>JPYYC</v>
      </c>
      <c r="AM55" s="50"/>
      <c r="AN55" s="222" t="s">
        <v>776</v>
      </c>
      <c r="AO55" s="216" t="str">
        <f>INDEX('STATIC DATA'!C39:AB39,1,MATCH($A$1,'STATIC DATA'!$C$4:$AB$4,0))</f>
        <v>LNB</v>
      </c>
      <c r="AP55" s="53"/>
      <c r="AR55" s="2" t="s">
        <v>454</v>
      </c>
      <c r="AX55" s="50"/>
      <c r="AY55" s="222" t="s">
        <v>776</v>
      </c>
      <c r="AZ55" s="216" t="s">
        <v>608</v>
      </c>
      <c r="BA55" s="53"/>
      <c r="BI55" s="50"/>
      <c r="BJ55" s="222" t="s">
        <v>778</v>
      </c>
      <c r="BK55" s="216" t="str">
        <f>INDEX('STATIC DATA'!C39:AB39,1,MATCH($A$1,'STATIC DATA'!$C$4:$AB$4,0))</f>
        <v>LNB</v>
      </c>
      <c r="BL55" s="53"/>
      <c r="BT55" s="50"/>
      <c r="BU55" s="222" t="s">
        <v>779</v>
      </c>
      <c r="BV55" s="216" t="s">
        <v>621</v>
      </c>
      <c r="BW55" s="53"/>
      <c r="BY55" t="s">
        <v>455</v>
      </c>
      <c r="BZ55" t="str">
        <f ca="1"/>
        <v>JPYYC</v>
      </c>
      <c r="CE55" s="50"/>
      <c r="CF55" s="55"/>
      <c r="CG55" s="55"/>
      <c r="CH55" s="55"/>
      <c r="CI55" s="332"/>
      <c r="CK55" s="263" t="str">
        <f ca="1">_xll.meLWOFXCurveCreate(CK54,CG8,CK45)</f>
        <v>FX_CURVE_EURUSD@51:3</v>
      </c>
      <c r="CL55" s="283"/>
      <c r="CM55" s="299"/>
      <c r="CN55" s="299"/>
      <c r="CO55" t="s">
        <v>455</v>
      </c>
      <c r="CP55" t="str">
        <f ca="1"/>
        <v>JPYYC</v>
      </c>
      <c r="CQ55" s="332"/>
      <c r="CR55" s="332"/>
      <c r="CS55" s="604" t="str">
        <f ca="1"/>
        <v/>
      </c>
      <c r="CT55" s="607" t="str">
        <f ca="1"/>
        <v/>
      </c>
      <c r="CU55" s="607" t="str">
        <f ca="1"/>
        <v/>
      </c>
      <c r="CV55" s="607" t="str">
        <f ca="1"/>
        <v/>
      </c>
      <c r="CW55" s="332"/>
      <c r="CX55" s="332"/>
      <c r="CY55" s="332"/>
      <c r="CZ55" s="332"/>
      <c r="DA55" s="332"/>
      <c r="DB55" s="332"/>
      <c r="DC55" s="332"/>
      <c r="DD55" s="300"/>
      <c r="DE55" s="206"/>
      <c r="DF55" s="206"/>
      <c r="DG55" s="206"/>
      <c r="DH55" s="206"/>
    </row>
    <row r="56" spans="6:112" x14ac:dyDescent="0.25">
      <c r="F56" s="50"/>
      <c r="G56" s="222" t="s">
        <v>709</v>
      </c>
      <c r="H56" s="223" t="str">
        <f>INDEX('STATIC DATA'!C53:AB53,1,MATCH(A1,'STATIC DATA'!C4:AB4,0))</f>
        <v>ACT/365</v>
      </c>
      <c r="I56" s="53"/>
      <c r="K56" t="s">
        <v>456</v>
      </c>
      <c r="L56" t="str">
        <f ca="1"/>
        <v>OIS:JPYOIS:JPYDF:JPYDF_JPYCSA:JPYDF_NOCSA</v>
      </c>
      <c r="Q56" s="50"/>
      <c r="R56" s="52" t="s">
        <v>713</v>
      </c>
      <c r="S56" s="52" t="s">
        <v>713</v>
      </c>
      <c r="T56" s="53"/>
      <c r="AB56" s="50"/>
      <c r="AC56" s="54" t="s">
        <v>428</v>
      </c>
      <c r="AD56" s="52" t="s">
        <v>713</v>
      </c>
      <c r="AE56" s="53"/>
      <c r="AG56" t="s">
        <v>456</v>
      </c>
      <c r="AH56" s="206" t="str">
        <f ca="1"/>
        <v>STD:JPY6M</v>
      </c>
      <c r="AM56" s="50"/>
      <c r="AN56" s="222" t="s">
        <v>777</v>
      </c>
      <c r="AO56" s="216" t="s">
        <v>721</v>
      </c>
      <c r="AP56" s="53"/>
      <c r="AR56" t="s">
        <v>442</v>
      </c>
      <c r="AS56" t="str">
        <f t="array" ref="AS56:AS59">IF($W$78,_xll.meLWOCurveCalibrate($AS$50,$AS$51,$AS$47,$AS$52),"LOAD ZAR3MJ CURVE")</f>
        <v>LOAD ZAR3MJ CURVE</v>
      </c>
      <c r="AX56" s="50"/>
      <c r="AY56" s="222" t="s">
        <v>777</v>
      </c>
      <c r="AZ56" s="216" t="s">
        <v>721</v>
      </c>
      <c r="BA56" s="53"/>
      <c r="BI56" s="50"/>
      <c r="BJ56" s="222" t="s">
        <v>779</v>
      </c>
      <c r="BK56" s="216">
        <v>0</v>
      </c>
      <c r="BL56" s="53"/>
      <c r="BT56" s="50"/>
      <c r="BU56" s="222" t="s">
        <v>780</v>
      </c>
      <c r="BV56" s="216" t="s">
        <v>687</v>
      </c>
      <c r="BW56" s="53"/>
      <c r="BY56" t="s">
        <v>456</v>
      </c>
      <c r="BZ56" t="str">
        <f ca="1"/>
        <v>XccyBasis:JPYDF_USDCSA</v>
      </c>
      <c r="CE56" s="50"/>
      <c r="CF56" s="55"/>
      <c r="CG56" s="55"/>
      <c r="CH56" s="55"/>
      <c r="CI56" s="332"/>
      <c r="CJ56" s="279"/>
      <c r="CK56" s="282"/>
      <c r="CL56" s="283"/>
      <c r="CM56" s="299"/>
      <c r="CN56" s="299"/>
      <c r="CO56" t="s">
        <v>456</v>
      </c>
      <c r="CP56" t="str">
        <f ca="1"/>
        <v>FwdFXConstEUR:JPYDF_EURCSA</v>
      </c>
      <c r="CQ56" s="332"/>
      <c r="CR56" s="332"/>
      <c r="CS56" s="604" t="str">
        <f ca="1"/>
        <v/>
      </c>
      <c r="CT56" s="607" t="str">
        <f ca="1"/>
        <v/>
      </c>
      <c r="CU56" s="607" t="str">
        <f ca="1"/>
        <v/>
      </c>
      <c r="CV56" s="607" t="str">
        <f ca="1"/>
        <v/>
      </c>
      <c r="CW56" s="332"/>
      <c r="CX56" s="332"/>
      <c r="CY56" s="332"/>
      <c r="CZ56" s="332"/>
      <c r="DA56" s="332"/>
      <c r="DB56" s="332"/>
      <c r="DC56" s="332"/>
      <c r="DD56" s="300"/>
      <c r="DE56" s="206"/>
      <c r="DF56" s="206"/>
      <c r="DG56" s="206"/>
      <c r="DH56" s="206"/>
    </row>
    <row r="57" spans="6:112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SEMI-ANNUAL</v>
      </c>
      <c r="I57" s="53"/>
      <c r="K57" t="s">
        <v>664</v>
      </c>
      <c r="L57" t="str">
        <f ca="1"/>
        <v>0.070000 sec</v>
      </c>
      <c r="Q57" s="50"/>
      <c r="R57" s="54" t="s">
        <v>467</v>
      </c>
      <c r="S57" s="52" t="s">
        <v>713</v>
      </c>
      <c r="T57" s="53"/>
      <c r="V57" s="2" t="s">
        <v>662</v>
      </c>
      <c r="AB57" s="50"/>
      <c r="AC57" s="220" t="s">
        <v>704</v>
      </c>
      <c r="AD57" s="221" t="str">
        <f>INDEX('STATIC DATA'!C40:AB40,1,MATCH($A$1,'STATIC DATA'!$C$4:$AB$4,0))</f>
        <v>LNB:TKB</v>
      </c>
      <c r="AE57" s="53"/>
      <c r="AG57" t="s">
        <v>664</v>
      </c>
      <c r="AH57" s="206" t="str">
        <f ca="1"/>
        <v>0.016000 sec</v>
      </c>
      <c r="AM57" s="50"/>
      <c r="AN57" s="222" t="s">
        <v>778</v>
      </c>
      <c r="AO57" s="216" t="str">
        <f>INDEX('STATIC DATA'!C39:AB39,1,MATCH($A$1,'STATIC DATA'!$C$4:$AB$4,0))</f>
        <v>LNB</v>
      </c>
      <c r="AP57" s="53"/>
      <c r="AR57" t="s">
        <v>455</v>
      </c>
      <c r="AS57" t="str">
        <v>LOAD ZAR3MJ CURVE</v>
      </c>
      <c r="AX57" s="50"/>
      <c r="AY57" s="222" t="s">
        <v>778</v>
      </c>
      <c r="AZ57" s="216" t="s">
        <v>608</v>
      </c>
      <c r="BA57" s="53"/>
      <c r="BI57" s="50"/>
      <c r="BJ57" s="222" t="s">
        <v>780</v>
      </c>
      <c r="BK57" s="216" t="s">
        <v>687</v>
      </c>
      <c r="BL57" s="53"/>
      <c r="BT57" s="50"/>
      <c r="BU57" s="233" t="s">
        <v>781</v>
      </c>
      <c r="BV57" s="241" t="s">
        <v>886</v>
      </c>
      <c r="BW57" s="53"/>
      <c r="BY57" t="s">
        <v>664</v>
      </c>
      <c r="BZ57" t="str">
        <f ca="1"/>
        <v>0.037000 sec</v>
      </c>
      <c r="CE57" s="50"/>
      <c r="CF57" s="55"/>
      <c r="CG57" s="55"/>
      <c r="CH57" s="55"/>
      <c r="CI57" s="332"/>
      <c r="CJ57" s="279"/>
      <c r="CK57" s="282"/>
      <c r="CL57" s="283"/>
      <c r="CM57" s="299"/>
      <c r="CN57" s="299"/>
      <c r="CO57" t="s">
        <v>664</v>
      </c>
      <c r="CP57" t="str">
        <f ca="1"/>
        <v>0.001000 sec</v>
      </c>
      <c r="CQ57" s="332"/>
      <c r="CR57" s="332"/>
      <c r="CS57" s="604" t="str">
        <f ca="1"/>
        <v/>
      </c>
      <c r="CT57" s="607" t="str">
        <f ca="1"/>
        <v/>
      </c>
      <c r="CU57" s="607" t="str">
        <f ca="1"/>
        <v/>
      </c>
      <c r="CV57" s="607" t="str">
        <f ca="1"/>
        <v/>
      </c>
      <c r="CW57" s="332"/>
      <c r="CX57" s="332"/>
      <c r="CY57" s="332"/>
      <c r="CZ57" s="332"/>
      <c r="DA57" s="332"/>
      <c r="DB57" s="332"/>
      <c r="DC57" s="332"/>
      <c r="DD57" s="300"/>
      <c r="DE57" s="206"/>
      <c r="DF57" s="206"/>
      <c r="DG57" s="206"/>
      <c r="DH57" s="206"/>
    </row>
    <row r="58" spans="6:112" x14ac:dyDescent="0.25">
      <c r="F58" s="50"/>
      <c r="G58" s="225" t="s">
        <v>686</v>
      </c>
      <c r="H58" s="226" t="s">
        <v>687</v>
      </c>
      <c r="I58" s="53"/>
      <c r="Q58" s="50"/>
      <c r="R58" s="245" t="s">
        <v>749</v>
      </c>
      <c r="S58" s="243" t="s">
        <v>745</v>
      </c>
      <c r="T58" s="53"/>
      <c r="V58" t="s">
        <v>434</v>
      </c>
      <c r="W58" t="str">
        <f>$A$1</f>
        <v>JPY</v>
      </c>
      <c r="AB58" s="50"/>
      <c r="AC58" s="222" t="s">
        <v>731</v>
      </c>
      <c r="AD58" s="223" t="str">
        <f>INDEX('STATIC DATA'!C53:AB53,1,MATCH(A1,'STATIC DATA'!C4:AB4,0))</f>
        <v>ACT/365</v>
      </c>
      <c r="AE58" s="53"/>
      <c r="AM58" s="50"/>
      <c r="AN58" s="222" t="s">
        <v>779</v>
      </c>
      <c r="AO58" s="216">
        <v>0</v>
      </c>
      <c r="AP58" s="53"/>
      <c r="AR58" t="s">
        <v>456</v>
      </c>
      <c r="AS58" t="str">
        <v>LOAD ZAR3MJ CURVE</v>
      </c>
      <c r="AX58" s="50"/>
      <c r="AY58" s="222" t="s">
        <v>779</v>
      </c>
      <c r="AZ58" s="216">
        <v>0</v>
      </c>
      <c r="BA58" s="53"/>
      <c r="BI58" s="50"/>
      <c r="BJ58" s="233" t="s">
        <v>781</v>
      </c>
      <c r="BK58" s="241" t="s">
        <v>791</v>
      </c>
      <c r="BL58" s="53"/>
      <c r="BT58" s="50"/>
      <c r="BU58" s="222" t="s">
        <v>811</v>
      </c>
      <c r="BV58" s="216" t="b">
        <v>0</v>
      </c>
      <c r="BW58" s="53"/>
      <c r="CE58" s="50"/>
      <c r="CF58" s="55"/>
      <c r="CG58" s="55"/>
      <c r="CH58" s="55"/>
      <c r="CI58" s="332"/>
      <c r="CJ58" s="279"/>
      <c r="CK58" s="282"/>
      <c r="CL58" s="283"/>
      <c r="CM58" s="299"/>
      <c r="CN58" s="299"/>
      <c r="CQ58" s="332"/>
      <c r="CR58" s="332"/>
      <c r="CS58" s="604" t="str">
        <f ca="1"/>
        <v/>
      </c>
      <c r="CT58" s="607" t="str">
        <f ca="1"/>
        <v/>
      </c>
      <c r="CU58" s="607" t="str">
        <f ca="1"/>
        <v/>
      </c>
      <c r="CV58" s="607" t="str">
        <f ca="1"/>
        <v/>
      </c>
      <c r="CW58" s="332"/>
      <c r="CX58" s="332"/>
      <c r="CY58" s="332"/>
      <c r="CZ58" s="332"/>
      <c r="DA58" s="332"/>
      <c r="DB58" s="332"/>
      <c r="DC58" s="332"/>
      <c r="DD58" s="300"/>
      <c r="DE58" s="206"/>
      <c r="DF58" s="206"/>
      <c r="DG58" s="206"/>
      <c r="DH58" s="206"/>
    </row>
    <row r="59" spans="6:112" x14ac:dyDescent="0.25">
      <c r="F59" s="50"/>
      <c r="G59" s="52"/>
      <c r="H59" s="52"/>
      <c r="I59" s="53"/>
      <c r="Q59" s="50"/>
      <c r="R59" s="233" t="s">
        <v>750</v>
      </c>
      <c r="S59" s="230" t="s">
        <v>720</v>
      </c>
      <c r="T59" s="53"/>
      <c r="V59" t="s">
        <v>435</v>
      </c>
      <c r="W59" t="str">
        <f>S13</f>
        <v>TENORBASIS</v>
      </c>
      <c r="AB59" s="50"/>
      <c r="AC59" s="222" t="s">
        <v>734</v>
      </c>
      <c r="AD59" s="223" t="str">
        <f>INDEX('STATIC DATA'!C55:AB55,1,MATCH(A1,'STATIC DATA'!C4:AB4,0))</f>
        <v>ACT/360</v>
      </c>
      <c r="AE59" s="53"/>
      <c r="AM59" s="50"/>
      <c r="AN59" s="222" t="s">
        <v>780</v>
      </c>
      <c r="AO59" s="216" t="s">
        <v>687</v>
      </c>
      <c r="AP59" s="53"/>
      <c r="AR59" t="s">
        <v>664</v>
      </c>
      <c r="AS59" t="str">
        <v>LOAD ZAR3MJ CURVE</v>
      </c>
      <c r="AX59" s="50"/>
      <c r="AY59" s="222" t="s">
        <v>780</v>
      </c>
      <c r="AZ59" s="216" t="s">
        <v>687</v>
      </c>
      <c r="BA59" s="53"/>
      <c r="BI59" s="50"/>
      <c r="BJ59" s="222" t="s">
        <v>783</v>
      </c>
      <c r="BK59" s="216" t="s">
        <v>718</v>
      </c>
      <c r="BL59" s="53"/>
      <c r="BT59" s="50"/>
      <c r="BU59" s="222" t="s">
        <v>812</v>
      </c>
      <c r="BV59" s="216" t="b">
        <v>1</v>
      </c>
      <c r="BW59" s="53"/>
      <c r="CE59" s="50"/>
      <c r="CF59" s="55"/>
      <c r="CG59" s="55"/>
      <c r="CH59" s="55"/>
      <c r="CI59" s="332"/>
      <c r="CJ59" s="279"/>
      <c r="CK59" s="282"/>
      <c r="CL59" s="283"/>
      <c r="CM59" s="299"/>
      <c r="CN59" s="299"/>
      <c r="CO59" s="299"/>
      <c r="CP59" s="299"/>
      <c r="CQ59" s="332"/>
      <c r="CR59" s="332"/>
      <c r="CS59" s="604" t="str">
        <f ca="1"/>
        <v/>
      </c>
      <c r="CT59" s="607" t="str">
        <f ca="1"/>
        <v/>
      </c>
      <c r="CU59" s="607" t="str">
        <f ca="1"/>
        <v/>
      </c>
      <c r="CV59" s="607" t="str">
        <f ca="1"/>
        <v/>
      </c>
      <c r="CW59" s="332"/>
      <c r="CX59" s="332"/>
      <c r="CY59" s="332"/>
      <c r="CZ59" s="332"/>
      <c r="DA59" s="332"/>
      <c r="DB59" s="332"/>
      <c r="DC59" s="332"/>
      <c r="DD59" s="300"/>
      <c r="DE59" s="206"/>
      <c r="DF59" s="206"/>
      <c r="DG59" s="206"/>
      <c r="DH59" s="206"/>
    </row>
    <row r="60" spans="6:112" x14ac:dyDescent="0.25">
      <c r="F60" s="50"/>
      <c r="G60" s="52"/>
      <c r="H60" s="52"/>
      <c r="I60" s="53"/>
      <c r="Q60" s="50"/>
      <c r="R60" s="222" t="s">
        <v>751</v>
      </c>
      <c r="S60" s="216" t="str">
        <f>INDEX('STATIC DATA'!C40:AB40,1,MATCH($A$1,'STATIC DATA'!$C$4:$AB$4,0))</f>
        <v>LNB:TKB</v>
      </c>
      <c r="T60" s="53"/>
      <c r="V60" t="s">
        <v>438</v>
      </c>
      <c r="W60" t="str">
        <f>S14</f>
        <v>Quarterly</v>
      </c>
      <c r="AB60" s="50"/>
      <c r="AC60" s="222" t="s">
        <v>706</v>
      </c>
      <c r="AD60" s="223" t="str">
        <f>IF(INDEX('STATIC DATA'!C54:AB54,1,MATCH(A1,'STATIC DATA'!C4:AB4,0))="1Y","ANNUAL",(IF(INDEX('STATIC DATA'!C54:AB54,1,MATCH(A1,'STATIC DATA'!C4:AB4,0))="6M","SEMI-ANNUAL", "QUARTERLY")))</f>
        <v>SEMI-ANNUAL</v>
      </c>
      <c r="AE60" s="53"/>
      <c r="AM60" s="50"/>
      <c r="AN60" s="233" t="s">
        <v>781</v>
      </c>
      <c r="AO60" s="241" t="s">
        <v>782</v>
      </c>
      <c r="AP60" s="53"/>
      <c r="AS60" t="b">
        <f>_xll.meLWOExists(AS56,"CURVE")</f>
        <v>0</v>
      </c>
      <c r="AX60" s="50"/>
      <c r="AY60" s="233" t="s">
        <v>781</v>
      </c>
      <c r="AZ60" s="241" t="s">
        <v>782</v>
      </c>
      <c r="BA60" s="53"/>
      <c r="BI60" s="50"/>
      <c r="BJ60" s="222" t="s">
        <v>784</v>
      </c>
      <c r="BK60" s="216" t="s">
        <v>675</v>
      </c>
      <c r="BL60" s="53"/>
      <c r="BT60" s="50"/>
      <c r="BU60" s="222" t="s">
        <v>688</v>
      </c>
      <c r="BV60" s="216">
        <v>31</v>
      </c>
      <c r="BW60" s="53"/>
      <c r="CE60" s="50"/>
      <c r="CF60" s="55"/>
      <c r="CG60" s="55"/>
      <c r="CH60" s="55"/>
      <c r="CI60" s="332"/>
      <c r="CJ60" s="279"/>
      <c r="CK60" s="282"/>
      <c r="CL60" s="283"/>
      <c r="CM60" s="299"/>
      <c r="CN60" s="299"/>
      <c r="CO60" s="299"/>
      <c r="CP60" s="299"/>
      <c r="CQ60" s="332"/>
      <c r="CR60" s="332"/>
      <c r="CS60" s="604" t="str">
        <f ca="1"/>
        <v/>
      </c>
      <c r="CT60" s="607" t="str">
        <f ca="1"/>
        <v/>
      </c>
      <c r="CU60" s="607" t="str">
        <f ca="1"/>
        <v/>
      </c>
      <c r="CV60" s="607" t="str">
        <f ca="1"/>
        <v/>
      </c>
      <c r="CW60" s="332"/>
      <c r="CX60" s="332"/>
      <c r="CY60" s="332"/>
      <c r="CZ60" s="332"/>
      <c r="DA60" s="332"/>
      <c r="DB60" s="332"/>
      <c r="DC60" s="332"/>
      <c r="DD60" s="300"/>
      <c r="DE60" s="206"/>
      <c r="DF60" s="206"/>
      <c r="DG60" s="206"/>
      <c r="DH60" s="206"/>
    </row>
    <row r="61" spans="6:112" x14ac:dyDescent="0.25">
      <c r="F61" s="50"/>
      <c r="G61" s="52"/>
      <c r="H61" s="52"/>
      <c r="I61" s="53"/>
      <c r="Q61" s="50"/>
      <c r="R61" s="222" t="s">
        <v>752</v>
      </c>
      <c r="S61" s="216" t="str">
        <f>INDEX('STATIC DATA'!C55:AB55,1,MATCH($A$1,'STATIC DATA'!$C$4:$AB$4,0))</f>
        <v>ACT/360</v>
      </c>
      <c r="T61" s="53"/>
      <c r="V61" t="s">
        <v>440</v>
      </c>
      <c r="W61" s="200">
        <f ca="1">TODAY()</f>
        <v>44083</v>
      </c>
      <c r="AB61" s="50"/>
      <c r="AC61" s="222" t="s">
        <v>735</v>
      </c>
      <c r="AD61" s="223" t="str">
        <f>AD13</f>
        <v>SEMI-ANNUAL</v>
      </c>
      <c r="AE61" s="53"/>
      <c r="AM61" s="50"/>
      <c r="AN61" s="222" t="s">
        <v>783</v>
      </c>
      <c r="AO61" s="216" t="s">
        <v>718</v>
      </c>
      <c r="AP61" s="53"/>
      <c r="AX61" s="50"/>
      <c r="AY61" s="222" t="s">
        <v>783</v>
      </c>
      <c r="AZ61" s="216" t="s">
        <v>718</v>
      </c>
      <c r="BA61" s="53"/>
      <c r="BI61" s="50"/>
      <c r="BJ61" s="222" t="s">
        <v>785</v>
      </c>
      <c r="BK61" s="216" t="s">
        <v>718</v>
      </c>
      <c r="BL61" s="53"/>
      <c r="BT61" s="50"/>
      <c r="BU61" s="222" t="s">
        <v>689</v>
      </c>
      <c r="BV61" s="216" t="b">
        <v>1</v>
      </c>
      <c r="BW61" s="53"/>
      <c r="CE61" s="50"/>
      <c r="CF61" s="55"/>
      <c r="CG61" s="55"/>
      <c r="CH61" s="55"/>
      <c r="CI61" s="332"/>
      <c r="CJ61" s="279"/>
      <c r="CK61" s="282"/>
      <c r="CL61" s="283"/>
      <c r="CM61" s="299"/>
      <c r="CN61" s="299"/>
      <c r="CO61" s="299"/>
      <c r="CP61" s="299"/>
      <c r="CQ61" s="299"/>
      <c r="CR61" s="299"/>
      <c r="CS61" s="603" t="str">
        <f ca="1"/>
        <v/>
      </c>
      <c r="CT61" s="608" t="str">
        <f ca="1"/>
        <v/>
      </c>
      <c r="CU61" s="608" t="str">
        <f ca="1"/>
        <v/>
      </c>
      <c r="CV61" s="608" t="str">
        <f ca="1"/>
        <v/>
      </c>
      <c r="CW61" s="299"/>
      <c r="CX61" s="299"/>
      <c r="CY61" s="299"/>
      <c r="CZ61" s="299"/>
      <c r="DA61" s="299"/>
      <c r="DB61" s="299"/>
      <c r="DC61" s="299"/>
      <c r="DD61" s="300"/>
      <c r="DE61" s="206"/>
      <c r="DF61" s="206"/>
      <c r="DG61" s="206"/>
      <c r="DH61" s="206"/>
    </row>
    <row r="62" spans="6:112" x14ac:dyDescent="0.25">
      <c r="F62" s="50"/>
      <c r="G62" s="52"/>
      <c r="H62" s="52"/>
      <c r="I62" s="53"/>
      <c r="Q62" s="50"/>
      <c r="R62" s="225" t="s">
        <v>753</v>
      </c>
      <c r="S62" s="219" t="s">
        <v>937</v>
      </c>
      <c r="T62" s="53"/>
      <c r="AB62" s="50"/>
      <c r="AC62" s="222" t="s">
        <v>736</v>
      </c>
      <c r="AD62" s="223" t="s">
        <v>718</v>
      </c>
      <c r="AE62" s="53"/>
      <c r="AM62" s="50"/>
      <c r="AN62" s="222" t="s">
        <v>784</v>
      </c>
      <c r="AO62" s="216" t="s">
        <v>675</v>
      </c>
      <c r="AP62" s="53"/>
      <c r="AX62" s="50"/>
      <c r="AY62" s="222" t="s">
        <v>784</v>
      </c>
      <c r="AZ62" s="216" t="s">
        <v>675</v>
      </c>
      <c r="BA62" s="53"/>
      <c r="BI62" s="50"/>
      <c r="BJ62" s="233" t="s">
        <v>786</v>
      </c>
      <c r="BK62" s="246" t="s">
        <v>300</v>
      </c>
      <c r="BL62" s="53"/>
      <c r="BT62" s="50"/>
      <c r="BU62" s="222" t="s">
        <v>740</v>
      </c>
      <c r="BV62" s="216" t="b">
        <v>1</v>
      </c>
      <c r="BW62" s="53"/>
      <c r="CE62" s="50"/>
      <c r="CF62" s="55"/>
      <c r="CG62" s="55"/>
      <c r="CH62" s="55"/>
      <c r="CI62" s="332"/>
      <c r="CJ62" s="279"/>
      <c r="CK62" s="282"/>
      <c r="CL62" s="283"/>
      <c r="CM62" s="299"/>
      <c r="CN62" s="299"/>
      <c r="CO62" s="299"/>
      <c r="CP62" s="299"/>
      <c r="CQ62" s="299"/>
      <c r="CR62" s="299"/>
      <c r="CS62" s="603" t="str">
        <f ca="1"/>
        <v/>
      </c>
      <c r="CT62" s="608" t="str">
        <f ca="1"/>
        <v/>
      </c>
      <c r="CU62" s="608" t="str">
        <f ca="1"/>
        <v/>
      </c>
      <c r="CV62" s="608" t="str">
        <f ca="1"/>
        <v/>
      </c>
      <c r="CW62" s="299"/>
      <c r="CX62" s="299"/>
      <c r="CY62" s="299"/>
      <c r="CZ62" s="299"/>
      <c r="DA62" s="299"/>
      <c r="DB62" s="299"/>
      <c r="DC62" s="299"/>
      <c r="DD62" s="300"/>
      <c r="DE62" s="206"/>
      <c r="DF62" s="206"/>
      <c r="DG62" s="206"/>
      <c r="DH62" s="206"/>
    </row>
    <row r="63" spans="6:112" x14ac:dyDescent="0.25">
      <c r="F63" s="50"/>
      <c r="G63" s="52"/>
      <c r="H63" s="52"/>
      <c r="I63" s="53"/>
      <c r="Q63" s="50"/>
      <c r="R63" s="222" t="s">
        <v>754</v>
      </c>
      <c r="S63" s="216" t="s">
        <v>687</v>
      </c>
      <c r="T63" s="53"/>
      <c r="V63" s="2" t="s">
        <v>441</v>
      </c>
      <c r="AB63" s="50"/>
      <c r="AC63" s="222" t="s">
        <v>737</v>
      </c>
      <c r="AD63" s="223">
        <v>31</v>
      </c>
      <c r="AE63" s="53"/>
      <c r="AM63" s="50"/>
      <c r="AN63" s="222" t="s">
        <v>785</v>
      </c>
      <c r="AO63" s="216" t="s">
        <v>718</v>
      </c>
      <c r="AP63" s="53"/>
      <c r="AX63" s="50"/>
      <c r="AY63" s="222" t="s">
        <v>785</v>
      </c>
      <c r="AZ63" s="216" t="s">
        <v>718</v>
      </c>
      <c r="BA63" s="53"/>
      <c r="BI63" s="50"/>
      <c r="BJ63" s="222" t="s">
        <v>787</v>
      </c>
      <c r="BK63" s="216" t="s">
        <v>720</v>
      </c>
      <c r="BL63" s="53"/>
      <c r="BT63" s="50"/>
      <c r="BU63" s="222" t="s">
        <v>813</v>
      </c>
      <c r="BV63" s="216" t="b">
        <v>0</v>
      </c>
      <c r="BW63" s="53"/>
      <c r="CE63" s="50"/>
      <c r="CF63" s="55"/>
      <c r="CG63" s="55"/>
      <c r="CH63" s="55"/>
      <c r="CI63" s="332"/>
      <c r="CJ63" s="279"/>
      <c r="CK63" s="282"/>
      <c r="CL63" s="283"/>
      <c r="CM63" s="299"/>
      <c r="CN63" s="299"/>
      <c r="CO63" s="299"/>
      <c r="CP63" s="299"/>
      <c r="CQ63" s="299"/>
      <c r="CR63" s="299"/>
      <c r="CS63" s="603" t="str">
        <f ca="1"/>
        <v/>
      </c>
      <c r="CT63" s="608" t="str">
        <f ca="1"/>
        <v/>
      </c>
      <c r="CU63" s="608" t="str">
        <f ca="1"/>
        <v/>
      </c>
      <c r="CV63" s="608" t="str">
        <f ca="1"/>
        <v/>
      </c>
      <c r="CW63" s="299"/>
      <c r="CX63" s="299"/>
      <c r="CY63" s="299"/>
      <c r="CZ63" s="299"/>
      <c r="DA63" s="299"/>
      <c r="DB63" s="299"/>
      <c r="DC63" s="299"/>
      <c r="DD63" s="300"/>
      <c r="DE63" s="206"/>
      <c r="DF63" s="206"/>
      <c r="DG63" s="206"/>
      <c r="DH63" s="206"/>
    </row>
    <row r="64" spans="6:112" x14ac:dyDescent="0.25">
      <c r="F64" s="50"/>
      <c r="G64" s="52"/>
      <c r="H64" s="52"/>
      <c r="I64" s="53"/>
      <c r="Q64" s="50"/>
      <c r="R64" s="222" t="s">
        <v>755</v>
      </c>
      <c r="S64" s="216" t="str">
        <f>INDEX('STATIC DATA'!C7:AB7,1,MATCH($A$1,'STATIC DATA'!$C$4:$AB$4,0))</f>
        <v>2D</v>
      </c>
      <c r="T64" s="53"/>
      <c r="V64" t="s">
        <v>442</v>
      </c>
      <c r="W64" t="str">
        <f>W58&amp;"_"&amp;W59&amp;"_"&amp;"3M6M"&amp;"_CURVE_MARKETDATA"</f>
        <v>JPY_TENORBASIS_3M6M_CURVE_MARKETDATA</v>
      </c>
      <c r="AB64" s="50"/>
      <c r="AC64" s="222" t="s">
        <v>738</v>
      </c>
      <c r="AD64" s="223" t="s">
        <v>718</v>
      </c>
      <c r="AE64" s="53"/>
      <c r="AM64" s="50"/>
      <c r="AN64" s="233" t="s">
        <v>786</v>
      </c>
      <c r="AO64" s="246" t="s">
        <v>46</v>
      </c>
      <c r="AP64" s="53"/>
      <c r="AX64" s="50"/>
      <c r="AY64" s="233" t="s">
        <v>786</v>
      </c>
      <c r="AZ64" s="246" t="s">
        <v>322</v>
      </c>
      <c r="BA64" s="53"/>
      <c r="BI64" s="50"/>
      <c r="BJ64" s="225" t="s">
        <v>697</v>
      </c>
      <c r="BK64" s="240">
        <v>1.0000000000000003E-9</v>
      </c>
      <c r="BL64" s="53"/>
      <c r="BT64" s="50"/>
      <c r="BU64" s="233" t="s">
        <v>786</v>
      </c>
      <c r="BV64" s="246" t="s">
        <v>49</v>
      </c>
      <c r="BW64" s="53"/>
      <c r="CE64" s="50"/>
      <c r="CF64" s="55"/>
      <c r="CG64" s="55"/>
      <c r="CH64" s="55"/>
      <c r="CI64" s="332"/>
      <c r="CJ64" s="279"/>
      <c r="CK64" s="282"/>
      <c r="CL64" s="283"/>
      <c r="CM64" s="299"/>
      <c r="CN64" s="299"/>
      <c r="CO64" s="299"/>
      <c r="CP64" s="299"/>
      <c r="CQ64" s="299"/>
      <c r="CR64" s="299"/>
      <c r="CS64" s="603" t="str">
        <f ca="1"/>
        <v/>
      </c>
      <c r="CT64" s="608" t="str">
        <f ca="1"/>
        <v/>
      </c>
      <c r="CU64" s="608" t="str">
        <f ca="1"/>
        <v/>
      </c>
      <c r="CV64" s="608" t="str">
        <f ca="1"/>
        <v/>
      </c>
      <c r="CW64" s="299"/>
      <c r="CX64" s="299"/>
      <c r="CY64" s="299"/>
      <c r="CZ64" s="299"/>
      <c r="DA64" s="299"/>
      <c r="DB64" s="299"/>
      <c r="DC64" s="299"/>
      <c r="DD64" s="300"/>
      <c r="DE64" s="206"/>
      <c r="DF64" s="206"/>
      <c r="DG64" s="206"/>
      <c r="DH64" s="206"/>
    </row>
    <row r="65" spans="6:113" x14ac:dyDescent="0.25">
      <c r="F65" s="50"/>
      <c r="G65" s="52"/>
      <c r="H65" s="52"/>
      <c r="I65" s="53"/>
      <c r="Q65" s="50"/>
      <c r="R65" s="245" t="s">
        <v>756</v>
      </c>
      <c r="S65" s="244" t="s">
        <v>1122</v>
      </c>
      <c r="T65" s="53"/>
      <c r="V65" t="s">
        <v>444</v>
      </c>
      <c r="W65" t="str">
        <f ca="1">_xll.meLWOCurveMarketDataCreate(W64,V57,V58:W61,"LIBORFIXINGS",V7:X8,"FRAS",V9:X13,"BASISSWAPS",V14:X31,"SWAPS",V32:X49)</f>
        <v>JPY_TENORBASIS_3M6M_CURVE_MARKETDATA@27:3</v>
      </c>
      <c r="AB65" s="50"/>
      <c r="AC65" s="222" t="s">
        <v>739</v>
      </c>
      <c r="AD65" s="223" t="str">
        <f>INDEX('STATIC DATA'!C7:AB7,1,MATCH($A$1,'STATIC DATA'!C4:AB4,0))</f>
        <v>2D</v>
      </c>
      <c r="AE65" s="53"/>
      <c r="AM65" s="50"/>
      <c r="AN65" s="222" t="s">
        <v>787</v>
      </c>
      <c r="AO65" s="216" t="s">
        <v>720</v>
      </c>
      <c r="AP65" s="53"/>
      <c r="AX65" s="50"/>
      <c r="AY65" s="222" t="s">
        <v>787</v>
      </c>
      <c r="AZ65" s="216" t="s">
        <v>720</v>
      </c>
      <c r="BA65" s="53"/>
      <c r="BI65" s="50"/>
      <c r="BJ65" s="225" t="s">
        <v>698</v>
      </c>
      <c r="BK65" s="219">
        <v>1000</v>
      </c>
      <c r="BL65" s="53"/>
      <c r="BT65" s="50"/>
      <c r="BU65" s="252"/>
      <c r="BV65" s="253"/>
      <c r="BW65" s="53"/>
      <c r="CE65" s="50"/>
      <c r="CF65" s="55"/>
      <c r="CG65" s="55"/>
      <c r="CH65" s="55"/>
      <c r="CI65" s="332"/>
      <c r="CJ65" s="279"/>
      <c r="CK65" s="282"/>
      <c r="CL65" s="283"/>
      <c r="CM65" s="299"/>
      <c r="CN65" s="299"/>
      <c r="CO65" s="299"/>
      <c r="CP65" s="299"/>
      <c r="CQ65" s="299"/>
      <c r="CR65" s="299"/>
      <c r="CS65" s="603" t="str">
        <f ca="1"/>
        <v/>
      </c>
      <c r="CT65" s="608" t="str">
        <f ca="1"/>
        <v/>
      </c>
      <c r="CU65" s="608" t="str">
        <f ca="1"/>
        <v/>
      </c>
      <c r="CV65" s="608" t="str">
        <f ca="1"/>
        <v/>
      </c>
      <c r="CW65" s="299"/>
      <c r="CX65" s="299"/>
      <c r="CY65" s="299"/>
      <c r="CZ65" s="299"/>
      <c r="DA65" s="299"/>
      <c r="DB65" s="299"/>
      <c r="DC65" s="299"/>
      <c r="DD65" s="300"/>
      <c r="DE65" s="206"/>
      <c r="DF65" s="206"/>
      <c r="DG65" s="206"/>
      <c r="DH65" s="206"/>
    </row>
    <row r="66" spans="6:113" x14ac:dyDescent="0.25">
      <c r="F66" s="50"/>
      <c r="G66" s="52"/>
      <c r="H66" s="52"/>
      <c r="I66" s="53"/>
      <c r="Q66" s="50"/>
      <c r="R66" s="233" t="s">
        <v>757</v>
      </c>
      <c r="S66" s="244" t="s">
        <v>426</v>
      </c>
      <c r="T66" s="53"/>
      <c r="AB66" s="50"/>
      <c r="AC66" s="222" t="s">
        <v>707</v>
      </c>
      <c r="AD66" s="223" t="s">
        <v>687</v>
      </c>
      <c r="AE66" s="53"/>
      <c r="AM66" s="50"/>
      <c r="AN66" s="225" t="s">
        <v>697</v>
      </c>
      <c r="AO66" s="240">
        <v>1.0000000000000003E-9</v>
      </c>
      <c r="AP66" s="53"/>
      <c r="AX66" s="50"/>
      <c r="AY66" s="225" t="s">
        <v>697</v>
      </c>
      <c r="AZ66" s="240">
        <v>1.0000000000000003E-9</v>
      </c>
      <c r="BA66" s="53"/>
      <c r="BI66" s="50"/>
      <c r="BJ66" s="225" t="s">
        <v>788</v>
      </c>
      <c r="BK66" s="219" t="s">
        <v>720</v>
      </c>
      <c r="BL66" s="53"/>
      <c r="BT66" s="50"/>
      <c r="BU66" s="250"/>
      <c r="BV66" s="254"/>
      <c r="BW66" s="53"/>
      <c r="CE66" s="50"/>
      <c r="CF66" s="52"/>
      <c r="CG66" s="52"/>
      <c r="CH66" s="52"/>
      <c r="CI66" s="299"/>
      <c r="CJ66" s="279"/>
      <c r="CK66" s="282"/>
      <c r="CL66" s="283"/>
      <c r="CM66" s="299"/>
      <c r="CN66" s="299"/>
      <c r="CO66" s="299"/>
      <c r="CP66" s="299"/>
      <c r="CQ66" s="299"/>
      <c r="CR66" s="299"/>
      <c r="CS66" s="603" t="str">
        <f ca="1"/>
        <v/>
      </c>
      <c r="CT66" s="608" t="str">
        <f ca="1"/>
        <v/>
      </c>
      <c r="CU66" s="608" t="str">
        <f ca="1"/>
        <v/>
      </c>
      <c r="CV66" s="608" t="str">
        <f ca="1"/>
        <v/>
      </c>
      <c r="CW66" s="299"/>
      <c r="CX66" s="299"/>
      <c r="CY66" s="299"/>
      <c r="CZ66" s="299"/>
      <c r="DA66" s="299"/>
      <c r="DB66" s="299"/>
      <c r="DC66" s="299"/>
      <c r="DD66" s="300"/>
      <c r="DE66" s="206"/>
      <c r="DF66" s="206"/>
      <c r="DG66" s="206"/>
      <c r="DH66" s="206"/>
    </row>
    <row r="67" spans="6:113" x14ac:dyDescent="0.25">
      <c r="F67" s="50"/>
      <c r="G67" s="52"/>
      <c r="H67" s="52"/>
      <c r="I67" s="53"/>
      <c r="Q67" s="50"/>
      <c r="R67" s="245" t="s">
        <v>758</v>
      </c>
      <c r="S67" s="244" t="s">
        <v>46</v>
      </c>
      <c r="T67" s="53"/>
      <c r="V67" s="2" t="s">
        <v>447</v>
      </c>
      <c r="AB67" s="50"/>
      <c r="AC67" s="222" t="s">
        <v>740</v>
      </c>
      <c r="AD67" s="223" t="s">
        <v>718</v>
      </c>
      <c r="AE67" s="53"/>
      <c r="AM67" s="50"/>
      <c r="AN67" s="225" t="s">
        <v>698</v>
      </c>
      <c r="AO67" s="219">
        <v>1000</v>
      </c>
      <c r="AP67" s="53"/>
      <c r="AX67" s="50"/>
      <c r="AY67" s="225" t="s">
        <v>698</v>
      </c>
      <c r="AZ67" s="219">
        <v>1000</v>
      </c>
      <c r="BA67" s="53"/>
      <c r="BI67" s="50"/>
      <c r="BJ67" s="225" t="s">
        <v>789</v>
      </c>
      <c r="BK67" s="219" t="s">
        <v>718</v>
      </c>
      <c r="BL67" s="53"/>
      <c r="BT67" s="50"/>
      <c r="BU67" s="255" t="s">
        <v>814</v>
      </c>
      <c r="BV67" s="256"/>
      <c r="BW67" s="53"/>
      <c r="CE67" s="50"/>
      <c r="CF67" s="52"/>
      <c r="CG67" s="52"/>
      <c r="CH67" s="52"/>
      <c r="CI67" s="299"/>
      <c r="CJ67" s="279"/>
      <c r="CK67" s="282"/>
      <c r="CL67" s="283"/>
      <c r="CM67" s="299"/>
      <c r="CN67" s="299"/>
      <c r="CO67" s="299"/>
      <c r="CP67" s="299"/>
      <c r="CQ67" s="299"/>
      <c r="CR67" s="299"/>
      <c r="CS67" s="603" t="str">
        <f ca="1"/>
        <v/>
      </c>
      <c r="CT67" s="608" t="str">
        <f ca="1"/>
        <v/>
      </c>
      <c r="CU67" s="608" t="str">
        <f ca="1"/>
        <v/>
      </c>
      <c r="CV67" s="608" t="str">
        <f ca="1"/>
        <v/>
      </c>
      <c r="CW67" s="299"/>
      <c r="CX67" s="299"/>
      <c r="CY67" s="299"/>
      <c r="CZ67" s="299"/>
      <c r="DA67" s="299"/>
      <c r="DB67" s="299"/>
      <c r="DC67" s="299"/>
      <c r="DD67" s="300"/>
      <c r="DE67" s="206"/>
      <c r="DF67" s="206"/>
      <c r="DG67" s="206"/>
      <c r="DH67" s="206"/>
    </row>
    <row r="68" spans="6:113" x14ac:dyDescent="0.25">
      <c r="F68" s="50"/>
      <c r="G68" s="52"/>
      <c r="H68" s="52"/>
      <c r="I68" s="53"/>
      <c r="Q68" s="50"/>
      <c r="R68" s="222" t="s">
        <v>759</v>
      </c>
      <c r="S68" s="216" t="str">
        <f>INDEX('STATIC DATA'!C55:AB55,1,MATCH($A$1,'STATIC DATA'!$C$4:$AB$4,0))</f>
        <v>ACT/360</v>
      </c>
      <c r="T68" s="53"/>
      <c r="V68" t="s">
        <v>442</v>
      </c>
      <c r="W68" t="str">
        <f>W58&amp;"_"&amp;W59&amp;"_3M6M"&amp;"_CURVE"</f>
        <v>JPY_TENORBASIS_3M6M_CURVE</v>
      </c>
      <c r="AB68" s="50"/>
      <c r="AC68" s="222" t="s">
        <v>697</v>
      </c>
      <c r="AD68" s="224">
        <v>1.0000000000000001E-9</v>
      </c>
      <c r="AE68" s="53"/>
      <c r="AM68" s="50"/>
      <c r="AN68" s="225" t="s">
        <v>788</v>
      </c>
      <c r="AO68" s="219" t="s">
        <v>720</v>
      </c>
      <c r="AP68" s="53"/>
      <c r="AX68" s="50"/>
      <c r="AY68" s="225" t="s">
        <v>788</v>
      </c>
      <c r="AZ68" s="219" t="s">
        <v>720</v>
      </c>
      <c r="BA68" s="53"/>
      <c r="BI68" s="50"/>
      <c r="BJ68" s="225" t="s">
        <v>688</v>
      </c>
      <c r="BK68" s="219">
        <v>31</v>
      </c>
      <c r="BL68" s="53"/>
      <c r="BT68" s="50"/>
      <c r="BU68" s="225" t="s">
        <v>677</v>
      </c>
      <c r="BV68" s="240" t="str">
        <f>INDEX('STATIC DATA'!C30:AB30,1,MATCH($A$1,'STATIC DATA'!$C$4:$AB$4,0))</f>
        <v>TKB:NYB:LNB</v>
      </c>
      <c r="BW68" s="53"/>
      <c r="CE68" s="50"/>
      <c r="CF68" s="52"/>
      <c r="CG68" s="52"/>
      <c r="CH68" s="52"/>
      <c r="CI68" s="299"/>
      <c r="CJ68" s="279"/>
      <c r="CK68" s="282"/>
      <c r="CL68" s="283"/>
      <c r="CM68" s="299"/>
      <c r="CN68" s="299"/>
      <c r="CO68" s="299"/>
      <c r="CP68" s="299"/>
      <c r="CQ68" s="299"/>
      <c r="CR68" s="299"/>
      <c r="CS68" s="603" t="str">
        <f ca="1"/>
        <v/>
      </c>
      <c r="CT68" s="608" t="str">
        <f ca="1"/>
        <v/>
      </c>
      <c r="CU68" s="608" t="str">
        <f ca="1"/>
        <v/>
      </c>
      <c r="CV68" s="608" t="str">
        <f ca="1"/>
        <v/>
      </c>
      <c r="CW68" s="299"/>
      <c r="CX68" s="299"/>
      <c r="CY68" s="299"/>
      <c r="CZ68" s="299"/>
      <c r="DA68" s="299"/>
      <c r="DB68" s="299"/>
      <c r="DC68" s="299"/>
      <c r="DD68" s="300"/>
      <c r="DE68" s="206"/>
      <c r="DF68" s="206"/>
      <c r="DG68" s="206"/>
      <c r="DH68" s="206"/>
      <c r="DI68" s="206"/>
    </row>
    <row r="69" spans="6:113" x14ac:dyDescent="0.25">
      <c r="F69" s="50"/>
      <c r="G69" s="52"/>
      <c r="H69" s="52"/>
      <c r="I69" s="53"/>
      <c r="Q69" s="50"/>
      <c r="R69" s="222" t="s">
        <v>760</v>
      </c>
      <c r="S69" s="216" t="str">
        <f>INDEX('STATIC DATA'!C39:AB39,1,MATCH($A$1,'STATIC DATA'!$C$4:$AB$4,0))</f>
        <v>LNB</v>
      </c>
      <c r="T69" s="53"/>
      <c r="V69" t="s">
        <v>450</v>
      </c>
      <c r="W69" t="str">
        <f>S8</f>
        <v>JPY_BASIS_3M6M@4:1</v>
      </c>
      <c r="AB69" s="50"/>
      <c r="AC69" s="222" t="s">
        <v>698</v>
      </c>
      <c r="AD69" s="223">
        <v>1000</v>
      </c>
      <c r="AE69" s="53"/>
      <c r="AM69" s="50"/>
      <c r="AN69" s="225" t="s">
        <v>789</v>
      </c>
      <c r="AO69" s="219" t="s">
        <v>718</v>
      </c>
      <c r="AP69" s="53"/>
      <c r="AX69" s="50"/>
      <c r="AY69" s="225" t="s">
        <v>789</v>
      </c>
      <c r="AZ69" s="219" t="s">
        <v>718</v>
      </c>
      <c r="BA69" s="53"/>
      <c r="BI69" s="50"/>
      <c r="BJ69" s="85"/>
      <c r="BK69" s="85"/>
      <c r="BL69" s="53"/>
      <c r="BT69" s="50"/>
      <c r="BU69" s="225" t="s">
        <v>683</v>
      </c>
      <c r="BV69" s="257" t="s">
        <v>621</v>
      </c>
      <c r="BW69" s="53"/>
      <c r="CE69" s="50"/>
      <c r="CF69" s="52"/>
      <c r="CG69" s="52"/>
      <c r="CH69" s="52"/>
      <c r="CI69" s="299"/>
      <c r="CJ69" s="279"/>
      <c r="CK69" s="282"/>
      <c r="CL69" s="283"/>
      <c r="CM69" s="299"/>
      <c r="CN69" s="299"/>
      <c r="CO69" s="299"/>
      <c r="CP69" s="299"/>
      <c r="CQ69" s="299"/>
      <c r="CR69" s="299"/>
      <c r="CS69" s="603" t="str">
        <f ca="1"/>
        <v/>
      </c>
      <c r="CT69" s="608" t="str">
        <f ca="1"/>
        <v/>
      </c>
      <c r="CU69" s="608" t="str">
        <f ca="1"/>
        <v/>
      </c>
      <c r="CV69" s="608" t="str">
        <f ca="1"/>
        <v/>
      </c>
      <c r="CW69" s="299"/>
      <c r="CX69" s="299"/>
      <c r="CY69" s="299"/>
      <c r="CZ69" s="299"/>
      <c r="DA69" s="299"/>
      <c r="DB69" s="299"/>
      <c r="DC69" s="299"/>
      <c r="DD69" s="300"/>
      <c r="DE69" s="206"/>
      <c r="DF69" s="206"/>
      <c r="DG69" s="206"/>
      <c r="DH69" s="206"/>
      <c r="DI69" s="206"/>
    </row>
    <row r="70" spans="6:113" x14ac:dyDescent="0.25">
      <c r="F70" s="50"/>
      <c r="G70" s="52"/>
      <c r="H70" s="52"/>
      <c r="I70" s="53"/>
      <c r="Q70" s="50"/>
      <c r="R70" s="225" t="s">
        <v>761</v>
      </c>
      <c r="S70" s="219" t="s">
        <v>721</v>
      </c>
      <c r="T70" s="53"/>
      <c r="V70" t="s">
        <v>452</v>
      </c>
      <c r="W70" t="str">
        <f>$A$1&amp;"YC"</f>
        <v>JPYYC</v>
      </c>
      <c r="AB70" s="50"/>
      <c r="AC70" s="225"/>
      <c r="AD70" s="226"/>
      <c r="AE70" s="53"/>
      <c r="AM70" s="50"/>
      <c r="AN70" s="225" t="s">
        <v>688</v>
      </c>
      <c r="AO70" s="219">
        <v>31</v>
      </c>
      <c r="AP70" s="53"/>
      <c r="AX70" s="50"/>
      <c r="AY70" s="225" t="s">
        <v>688</v>
      </c>
      <c r="AZ70" s="219">
        <v>31</v>
      </c>
      <c r="BA70" s="53"/>
      <c r="BI70" s="50"/>
      <c r="BJ70" s="85"/>
      <c r="BK70" s="85"/>
      <c r="BL70" s="53"/>
      <c r="BT70" s="50"/>
      <c r="BU70" s="225" t="s">
        <v>686</v>
      </c>
      <c r="BV70" s="240" t="s">
        <v>816</v>
      </c>
      <c r="BW70" s="53"/>
      <c r="CE70" s="50"/>
      <c r="CF70" s="52"/>
      <c r="CG70" s="52"/>
      <c r="CH70" s="52"/>
      <c r="CI70" s="299"/>
      <c r="CJ70" s="279"/>
      <c r="CK70" s="282"/>
      <c r="CL70" s="283"/>
      <c r="CM70" s="299"/>
      <c r="CN70" s="299"/>
      <c r="CO70" s="299"/>
      <c r="CP70" s="299"/>
      <c r="CQ70" s="299"/>
      <c r="CR70" s="299"/>
      <c r="CS70" s="603" t="str">
        <f ca="1"/>
        <v/>
      </c>
      <c r="CT70" s="608" t="str">
        <f ca="1"/>
        <v/>
      </c>
      <c r="CU70" s="608" t="str">
        <f ca="1"/>
        <v/>
      </c>
      <c r="CV70" s="608" t="str">
        <f ca="1"/>
        <v/>
      </c>
      <c r="CW70" s="299"/>
      <c r="CX70" s="299"/>
      <c r="CY70" s="299"/>
      <c r="CZ70" s="299"/>
      <c r="DA70" s="299"/>
      <c r="DB70" s="299"/>
      <c r="DC70" s="299"/>
      <c r="DD70" s="300"/>
      <c r="DE70" s="206"/>
      <c r="DF70" s="206"/>
      <c r="DG70" s="206"/>
      <c r="DH70" s="206"/>
      <c r="DI70" s="206"/>
    </row>
    <row r="71" spans="6:113" x14ac:dyDescent="0.25">
      <c r="F71" s="50"/>
      <c r="G71" s="52"/>
      <c r="H71" s="52"/>
      <c r="I71" s="53"/>
      <c r="Q71" s="50"/>
      <c r="R71" s="225" t="s">
        <v>762</v>
      </c>
      <c r="S71" s="219" t="str">
        <f>INDEX('STATIC DATA'!C40:AB40,1,MATCH($A$1,'STATIC DATA'!$C$4:$AB$4,0))</f>
        <v>LNB:TKB</v>
      </c>
      <c r="T71" s="53"/>
      <c r="V71" t="s">
        <v>453</v>
      </c>
      <c r="AB71" s="50"/>
      <c r="AC71" s="52"/>
      <c r="AD71" s="52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85"/>
      <c r="BK71" s="85"/>
      <c r="BL71" s="53"/>
      <c r="BT71" s="50"/>
      <c r="BU71" s="225" t="s">
        <v>689</v>
      </c>
      <c r="BV71" s="240" t="b">
        <v>1</v>
      </c>
      <c r="BW71" s="53"/>
      <c r="CE71" s="50"/>
      <c r="CF71" s="52"/>
      <c r="CG71" s="52"/>
      <c r="CH71" s="52"/>
      <c r="CI71" s="299"/>
      <c r="CJ71" s="279"/>
      <c r="CK71" s="282"/>
      <c r="CL71" s="283"/>
      <c r="CM71" s="299"/>
      <c r="CN71" s="299"/>
      <c r="CO71" s="299"/>
      <c r="CP71" s="299"/>
      <c r="CQ71" s="299"/>
      <c r="CR71" s="299"/>
      <c r="CS71" s="603" t="str">
        <f ca="1"/>
        <v/>
      </c>
      <c r="CT71" s="608" t="str">
        <f ca="1"/>
        <v/>
      </c>
      <c r="CU71" s="608" t="str">
        <f ca="1"/>
        <v/>
      </c>
      <c r="CV71" s="608" t="str">
        <f ca="1"/>
        <v/>
      </c>
      <c r="CW71" s="299"/>
      <c r="CX71" s="299"/>
      <c r="CY71" s="299"/>
      <c r="CZ71" s="299"/>
      <c r="DA71" s="299"/>
      <c r="DB71" s="299"/>
      <c r="DC71" s="299"/>
      <c r="DD71" s="300"/>
      <c r="DE71" s="206"/>
      <c r="DF71" s="206"/>
      <c r="DG71" s="206"/>
      <c r="DH71" s="206"/>
      <c r="DI71" s="206"/>
    </row>
    <row r="72" spans="6:113" x14ac:dyDescent="0.25">
      <c r="F72" s="50"/>
      <c r="G72" s="52"/>
      <c r="H72" s="52"/>
      <c r="I72" s="53"/>
      <c r="Q72" s="50"/>
      <c r="R72" s="225" t="s">
        <v>763</v>
      </c>
      <c r="S72" s="219" t="str">
        <f>INDEX('STATIC DATA'!C7:AB7,1,MATCH($A$1,'STATIC DATA'!$C$4:$AB$4,0))</f>
        <v>2D</v>
      </c>
      <c r="T72" s="53"/>
      <c r="AB72" s="50"/>
      <c r="AC72" s="52"/>
      <c r="AD72" s="52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85"/>
      <c r="BK72" s="85"/>
      <c r="BL72" s="53"/>
      <c r="BT72" s="50"/>
      <c r="BU72" s="225" t="s">
        <v>688</v>
      </c>
      <c r="BV72" s="257">
        <v>31</v>
      </c>
      <c r="BW72" s="53"/>
      <c r="CE72" s="50"/>
      <c r="CF72" s="52"/>
      <c r="CG72" s="52"/>
      <c r="CH72" s="52"/>
      <c r="CI72" s="299"/>
      <c r="CJ72" s="279"/>
      <c r="CK72" s="282"/>
      <c r="CL72" s="283"/>
      <c r="CM72" s="299"/>
      <c r="CN72" s="299"/>
      <c r="CO72" s="299"/>
      <c r="CP72" s="299"/>
      <c r="CQ72" s="299"/>
      <c r="CR72" s="299"/>
      <c r="CS72" s="603" t="str">
        <f ca="1"/>
        <v/>
      </c>
      <c r="CT72" s="608" t="str">
        <f ca="1"/>
        <v/>
      </c>
      <c r="CU72" s="608" t="str">
        <f ca="1"/>
        <v/>
      </c>
      <c r="CV72" s="608" t="str">
        <f ca="1"/>
        <v/>
      </c>
      <c r="CW72" s="299"/>
      <c r="CX72" s="299"/>
      <c r="CY72" s="299"/>
      <c r="CZ72" s="299"/>
      <c r="DA72" s="299"/>
      <c r="DB72" s="299"/>
      <c r="DC72" s="299"/>
      <c r="DD72" s="300"/>
      <c r="DE72" s="206"/>
      <c r="DF72" s="206"/>
      <c r="DG72" s="206"/>
      <c r="DH72" s="206"/>
      <c r="DI72" s="206"/>
    </row>
    <row r="73" spans="6:113" x14ac:dyDescent="0.25">
      <c r="F73" s="50"/>
      <c r="G73" s="52"/>
      <c r="H73" s="52"/>
      <c r="I73" s="53"/>
      <c r="Q73" s="50"/>
      <c r="R73" s="220" t="s">
        <v>764</v>
      </c>
      <c r="S73" s="238" t="s">
        <v>687</v>
      </c>
      <c r="T73" s="53"/>
      <c r="V73" s="2" t="s">
        <v>454</v>
      </c>
      <c r="AB73" s="50"/>
      <c r="AC73" s="52"/>
      <c r="AD73" s="52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85"/>
      <c r="BK73" s="85"/>
      <c r="BL73" s="53"/>
      <c r="BT73" s="50"/>
      <c r="BU73" s="234" t="s">
        <v>817</v>
      </c>
      <c r="BV73" s="258">
        <f>IF(INDEX('STATIC DATA'!C49:AB49,1,MATCH($A$1,'STATIC DATA'!C4:AB4,0))=4,10000,IF(INDEX('STATIC DATA'!C49:AB49,1,MATCH($A$1,'STATIC DATA'!C4:AB4,0))=3,1000,100))</f>
        <v>100</v>
      </c>
      <c r="BW73" s="53"/>
      <c r="CE73" s="50"/>
      <c r="CF73" s="52"/>
      <c r="CG73" s="52"/>
      <c r="CH73" s="52"/>
      <c r="CI73" s="299"/>
      <c r="CJ73" s="279"/>
      <c r="CK73" s="282"/>
      <c r="CL73" s="283"/>
      <c r="CM73" s="299"/>
      <c r="CN73" s="299"/>
      <c r="CO73" s="299"/>
      <c r="CP73" s="299"/>
      <c r="CQ73" s="299"/>
      <c r="CR73" s="299"/>
      <c r="CS73" s="603" t="str">
        <f ca="1"/>
        <v/>
      </c>
      <c r="CT73" s="608" t="str">
        <f ca="1"/>
        <v/>
      </c>
      <c r="CU73" s="608" t="str">
        <f ca="1"/>
        <v/>
      </c>
      <c r="CV73" s="608" t="str">
        <f ca="1"/>
        <v/>
      </c>
      <c r="CW73" s="299"/>
      <c r="CX73" s="299"/>
      <c r="CY73" s="299"/>
      <c r="CZ73" s="299"/>
      <c r="DA73" s="299"/>
      <c r="DB73" s="299"/>
      <c r="DC73" s="299"/>
      <c r="DD73" s="300"/>
      <c r="DE73" s="206"/>
      <c r="DF73" s="206"/>
      <c r="DG73" s="206"/>
      <c r="DH73" s="206"/>
      <c r="DI73" s="206"/>
    </row>
    <row r="74" spans="6:113" x14ac:dyDescent="0.25">
      <c r="F74" s="50"/>
      <c r="G74" s="52"/>
      <c r="H74" s="52"/>
      <c r="I74" s="53"/>
      <c r="Q74" s="50"/>
      <c r="R74" s="222" t="s">
        <v>765</v>
      </c>
      <c r="S74" s="216" t="str">
        <f>INDEX('STATIC DATA'!C40:AB40,1,MATCH($A$1,'STATIC DATA'!$C$4:$AB$4,0))</f>
        <v>LNB:TKB</v>
      </c>
      <c r="T74" s="53"/>
      <c r="V74" t="s">
        <v>442</v>
      </c>
      <c r="W74" s="647" t="str">
        <f t="array" aca="1" ref="W74:W77" ca="1">IF(ExistsJPY6M,_xll.meLWOCurveCalibrate(W68,W69,W65,W70),"LOAD DEPENDENCY")</f>
        <v>JPY_TENORBASIS_3M6M_CURVE@31:3</v>
      </c>
      <c r="AB74" s="50"/>
      <c r="AC74" s="52"/>
      <c r="AD74" s="52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85"/>
      <c r="BK74" s="85"/>
      <c r="BL74" s="53"/>
      <c r="BT74" s="50"/>
      <c r="BU74" s="234" t="s">
        <v>818</v>
      </c>
      <c r="BV74" s="259" t="b">
        <v>1</v>
      </c>
      <c r="BW74" s="53"/>
      <c r="CE74" s="50"/>
      <c r="CF74" s="52"/>
      <c r="CG74" s="52"/>
      <c r="CH74" s="52"/>
      <c r="CI74" s="299"/>
      <c r="CJ74" s="279"/>
      <c r="CK74" s="282"/>
      <c r="CL74" s="283"/>
      <c r="CM74" s="299"/>
      <c r="CN74" s="299"/>
      <c r="CO74" s="299"/>
      <c r="CP74" s="299"/>
      <c r="CQ74" s="299"/>
      <c r="CR74" s="299"/>
      <c r="CS74" s="603" t="str">
        <f ca="1"/>
        <v/>
      </c>
      <c r="CT74" s="608" t="str">
        <f ca="1"/>
        <v/>
      </c>
      <c r="CU74" s="608" t="str">
        <f ca="1"/>
        <v/>
      </c>
      <c r="CV74" s="608" t="str">
        <f ca="1"/>
        <v/>
      </c>
      <c r="CW74" s="299"/>
      <c r="CX74" s="299"/>
      <c r="CY74" s="299"/>
      <c r="CZ74" s="299"/>
      <c r="DA74" s="299"/>
      <c r="DB74" s="299"/>
      <c r="DC74" s="299"/>
      <c r="DD74" s="300"/>
      <c r="DE74" s="206"/>
      <c r="DF74" s="206"/>
      <c r="DG74" s="206"/>
      <c r="DH74" s="206"/>
      <c r="DI74" s="206"/>
    </row>
    <row r="75" spans="6:113" x14ac:dyDescent="0.25">
      <c r="F75" s="50"/>
      <c r="G75" s="52"/>
      <c r="H75" s="52"/>
      <c r="I75" s="53"/>
      <c r="Q75" s="50"/>
      <c r="R75" s="222" t="s">
        <v>766</v>
      </c>
      <c r="S75" s="216" t="str">
        <f>INDEX('STATIC DATA'!C55:AB55,1,MATCH($A$1,'STATIC DATA'!$C$4:$AB$4,0))</f>
        <v>ACT/360</v>
      </c>
      <c r="T75" s="53"/>
      <c r="V75" t="s">
        <v>455</v>
      </c>
      <c r="W75" s="206" t="str">
        <f ca="1"/>
        <v>JPYYC</v>
      </c>
      <c r="AB75" s="50"/>
      <c r="AC75" s="52"/>
      <c r="AD75" s="52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85"/>
      <c r="BK75" s="85"/>
      <c r="BL75" s="53"/>
      <c r="BT75" s="50"/>
      <c r="BU75" s="225" t="s">
        <v>679</v>
      </c>
      <c r="BV75" s="240" t="s">
        <v>729</v>
      </c>
      <c r="BW75" s="53"/>
      <c r="CE75" s="50"/>
      <c r="CF75" s="52"/>
      <c r="CG75" s="52"/>
      <c r="CH75" s="52"/>
      <c r="CI75" s="299"/>
      <c r="CJ75" s="264"/>
      <c r="CK75" s="265"/>
      <c r="CL75" s="266"/>
      <c r="CM75" s="299"/>
      <c r="CN75" s="299"/>
      <c r="CO75" s="299"/>
      <c r="CP75" s="299"/>
      <c r="CQ75" s="299"/>
      <c r="CR75" s="299"/>
      <c r="CS75" s="603" t="str">
        <f ca="1"/>
        <v/>
      </c>
      <c r="CT75" s="608" t="str">
        <f ca="1"/>
        <v/>
      </c>
      <c r="CU75" s="608" t="str">
        <f ca="1"/>
        <v/>
      </c>
      <c r="CV75" s="608" t="str">
        <f ca="1"/>
        <v/>
      </c>
      <c r="CW75" s="299"/>
      <c r="CX75" s="299"/>
      <c r="CY75" s="299"/>
      <c r="CZ75" s="299"/>
      <c r="DA75" s="299"/>
      <c r="DB75" s="299"/>
      <c r="DC75" s="299"/>
      <c r="DD75" s="300"/>
      <c r="DE75" s="206"/>
      <c r="DF75" s="206"/>
      <c r="DG75" s="206"/>
      <c r="DH75" s="206"/>
      <c r="DI75" s="206"/>
    </row>
    <row r="76" spans="6:113" x14ac:dyDescent="0.25">
      <c r="F76" s="50"/>
      <c r="G76" s="52"/>
      <c r="H76" s="52"/>
      <c r="I76" s="53"/>
      <c r="Q76" s="50"/>
      <c r="R76" s="222" t="s">
        <v>767</v>
      </c>
      <c r="S76" s="216" t="s">
        <v>1120</v>
      </c>
      <c r="T76" s="53"/>
      <c r="V76" t="s">
        <v>456</v>
      </c>
      <c r="W76" s="206" t="str">
        <f ca="1"/>
        <v>3M6MBasis:JPY3M</v>
      </c>
      <c r="AB76" s="50"/>
      <c r="AC76" s="52"/>
      <c r="AD76" s="52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85"/>
      <c r="BK76" s="85"/>
      <c r="BL76" s="53"/>
      <c r="BT76" s="50"/>
      <c r="BU76" s="234" t="s">
        <v>819</v>
      </c>
      <c r="BV76" s="259" t="b">
        <v>0</v>
      </c>
      <c r="BW76" s="53"/>
      <c r="CE76" s="50"/>
      <c r="CF76" s="52"/>
      <c r="CG76" s="52"/>
      <c r="CH76" s="52"/>
      <c r="CI76" s="299"/>
      <c r="CJ76" s="267"/>
      <c r="CK76" s="268"/>
      <c r="CL76" s="269"/>
      <c r="CM76" s="299"/>
      <c r="CN76" s="299"/>
      <c r="CO76" s="299"/>
      <c r="CP76" s="299"/>
      <c r="CQ76" s="299"/>
      <c r="CR76" s="299"/>
      <c r="CS76" s="603" t="str">
        <f ca="1"/>
        <v/>
      </c>
      <c r="CT76" s="608" t="str">
        <f ca="1"/>
        <v/>
      </c>
      <c r="CU76" s="608" t="str">
        <f ca="1"/>
        <v/>
      </c>
      <c r="CV76" s="608" t="str">
        <f ca="1"/>
        <v/>
      </c>
      <c r="CW76" s="299"/>
      <c r="CX76" s="299"/>
      <c r="CY76" s="299"/>
      <c r="CZ76" s="299"/>
      <c r="DA76" s="299"/>
      <c r="DB76" s="299"/>
      <c r="DC76" s="299"/>
      <c r="DD76" s="300"/>
      <c r="DE76" s="206"/>
      <c r="DF76" s="206"/>
      <c r="DG76" s="206"/>
      <c r="DH76" s="206"/>
      <c r="DI76" s="206"/>
    </row>
    <row r="77" spans="6:113" x14ac:dyDescent="0.25">
      <c r="F77" s="50"/>
      <c r="G77" s="52"/>
      <c r="H77" s="52"/>
      <c r="I77" s="53"/>
      <c r="Q77" s="50"/>
      <c r="R77" s="222" t="s">
        <v>768</v>
      </c>
      <c r="S77" s="239" t="s">
        <v>1120</v>
      </c>
      <c r="T77" s="53"/>
      <c r="V77" t="s">
        <v>664</v>
      </c>
      <c r="W77" s="206" t="str">
        <f ca="1"/>
        <v>0.018000 sec</v>
      </c>
      <c r="AB77" s="50"/>
      <c r="AC77" s="52"/>
      <c r="AD77" s="52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85"/>
      <c r="BV77" s="85"/>
      <c r="BW77" s="53"/>
      <c r="CE77" s="50"/>
      <c r="CF77" s="52"/>
      <c r="CG77" s="52"/>
      <c r="CH77" s="52"/>
      <c r="CI77" s="299"/>
      <c r="CJ77" s="299"/>
      <c r="CK77" s="299"/>
      <c r="CL77" s="299"/>
      <c r="CM77" s="299"/>
      <c r="CN77" s="299"/>
      <c r="CO77" s="299"/>
      <c r="CP77" s="299"/>
      <c r="CQ77" s="299"/>
      <c r="CR77" s="299"/>
      <c r="CS77" s="603" t="str">
        <f ca="1"/>
        <v/>
      </c>
      <c r="CT77" s="608" t="str">
        <f ca="1"/>
        <v/>
      </c>
      <c r="CU77" s="608" t="str">
        <f ca="1"/>
        <v/>
      </c>
      <c r="CV77" s="608" t="str">
        <f ca="1"/>
        <v/>
      </c>
      <c r="CW77" s="299"/>
      <c r="CX77" s="299"/>
      <c r="CY77" s="299"/>
      <c r="CZ77" s="299"/>
      <c r="DA77" s="299"/>
      <c r="DB77" s="299"/>
      <c r="DC77" s="299"/>
      <c r="DD77" s="300"/>
      <c r="DE77" s="206"/>
      <c r="DF77" s="206"/>
      <c r="DG77" s="206"/>
      <c r="DH77" s="206"/>
      <c r="DI77" s="206"/>
    </row>
    <row r="78" spans="6:113" x14ac:dyDescent="0.25">
      <c r="F78" s="50"/>
      <c r="G78" s="52"/>
      <c r="H78" s="52"/>
      <c r="I78" s="53"/>
      <c r="Q78" s="50"/>
      <c r="R78" s="222" t="s">
        <v>769</v>
      </c>
      <c r="S78" s="216" t="s">
        <v>687</v>
      </c>
      <c r="T78" s="53"/>
      <c r="AB78" s="50"/>
      <c r="AC78" s="52"/>
      <c r="AD78" s="52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85"/>
      <c r="BV78" s="85"/>
      <c r="BW78" s="53"/>
      <c r="CE78" s="50"/>
      <c r="CF78" s="52"/>
      <c r="CG78" s="52"/>
      <c r="CH78" s="52"/>
      <c r="CI78" s="299"/>
      <c r="CJ78" s="299"/>
      <c r="CK78" s="299"/>
      <c r="CL78" s="299"/>
      <c r="CM78" s="299"/>
      <c r="CN78" s="299"/>
      <c r="CO78" s="299"/>
      <c r="CP78" s="299"/>
      <c r="CQ78" s="299"/>
      <c r="CR78" s="299"/>
      <c r="CS78" s="603" t="str">
        <f ca="1"/>
        <v/>
      </c>
      <c r="CT78" s="608" t="str">
        <f ca="1"/>
        <v/>
      </c>
      <c r="CU78" s="608" t="str">
        <f ca="1"/>
        <v/>
      </c>
      <c r="CV78" s="608" t="str">
        <f ca="1"/>
        <v/>
      </c>
      <c r="CW78" s="299"/>
      <c r="CX78" s="299"/>
      <c r="CY78" s="299"/>
      <c r="CZ78" s="299"/>
      <c r="DA78" s="299"/>
      <c r="DB78" s="299"/>
      <c r="DC78" s="299"/>
      <c r="DD78" s="300"/>
      <c r="DE78" s="206"/>
      <c r="DF78" s="206"/>
      <c r="DG78" s="206"/>
      <c r="DH78" s="206"/>
      <c r="DI78" s="206"/>
    </row>
    <row r="79" spans="6:113" x14ac:dyDescent="0.25">
      <c r="F79" s="50"/>
      <c r="G79" s="52"/>
      <c r="H79" s="52"/>
      <c r="I79" s="53"/>
      <c r="Q79" s="50"/>
      <c r="R79" s="225" t="s">
        <v>770</v>
      </c>
      <c r="S79" s="219" t="str">
        <f>INDEX('STATIC DATA'!C7:AB7,1,MATCH($A$1,'STATIC DATA'!$C$4:$AB$4,0))</f>
        <v>2D</v>
      </c>
      <c r="T79" s="53"/>
      <c r="AB79" s="50"/>
      <c r="AC79" s="52"/>
      <c r="AD79" s="52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85"/>
      <c r="BK79" s="85"/>
      <c r="BL79" s="53"/>
      <c r="BT79" s="50"/>
      <c r="BU79" s="251"/>
      <c r="BV79" s="112"/>
      <c r="BW79" s="53"/>
      <c r="CE79" s="50"/>
      <c r="CF79" s="52"/>
      <c r="CG79" s="52"/>
      <c r="CH79" s="52"/>
      <c r="CI79" s="299"/>
      <c r="CJ79" s="299"/>
      <c r="CK79" s="299"/>
      <c r="CL79" s="299"/>
      <c r="CM79" s="299"/>
      <c r="CN79" s="299"/>
      <c r="CO79" s="299"/>
      <c r="CP79" s="299"/>
      <c r="CQ79" s="299"/>
      <c r="CR79" s="299"/>
      <c r="CS79" s="603" t="str">
        <f ca="1"/>
        <v/>
      </c>
      <c r="CT79" s="608" t="str">
        <f ca="1"/>
        <v/>
      </c>
      <c r="CU79" s="608" t="str">
        <f ca="1"/>
        <v/>
      </c>
      <c r="CV79" s="608" t="str">
        <f ca="1"/>
        <v/>
      </c>
      <c r="CW79" s="299"/>
      <c r="CX79" s="299"/>
      <c r="CY79" s="299"/>
      <c r="CZ79" s="299"/>
      <c r="DA79" s="299"/>
      <c r="DB79" s="299"/>
      <c r="DC79" s="299"/>
      <c r="DD79" s="300"/>
      <c r="DE79" s="206"/>
      <c r="DF79" s="206"/>
      <c r="DG79" s="206"/>
      <c r="DH79" s="206"/>
      <c r="DI79" s="206"/>
    </row>
    <row r="80" spans="6:113" x14ac:dyDescent="0.25">
      <c r="F80" s="50"/>
      <c r="G80" s="52"/>
      <c r="H80" s="52"/>
      <c r="I80" s="53"/>
      <c r="Q80" s="50"/>
      <c r="R80" s="234" t="s">
        <v>771</v>
      </c>
      <c r="S80" s="248" t="s">
        <v>714</v>
      </c>
      <c r="T80" s="53"/>
      <c r="AB80" s="50"/>
      <c r="AC80" s="52"/>
      <c r="AD80" s="52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85"/>
      <c r="BK80" s="85"/>
      <c r="BL80" s="53"/>
      <c r="BT80" s="50"/>
      <c r="BU80" s="251"/>
      <c r="BV80" s="112"/>
      <c r="BW80" s="53"/>
      <c r="CE80" s="50"/>
      <c r="CF80" s="52"/>
      <c r="CG80" s="52"/>
      <c r="CH80" s="52"/>
      <c r="CI80" s="299"/>
      <c r="CJ80" s="332"/>
      <c r="CK80" s="332"/>
      <c r="CL80" s="332"/>
      <c r="CM80" s="299"/>
      <c r="CN80" s="299"/>
      <c r="CO80" s="299"/>
      <c r="CP80" s="299"/>
      <c r="CQ80" s="299"/>
      <c r="CR80" s="299"/>
      <c r="CS80" s="603" t="str">
        <f ca="1"/>
        <v/>
      </c>
      <c r="CT80" s="608" t="str">
        <f ca="1"/>
        <v/>
      </c>
      <c r="CU80" s="608" t="str">
        <f ca="1"/>
        <v/>
      </c>
      <c r="CV80" s="608" t="str">
        <f ca="1"/>
        <v/>
      </c>
      <c r="CW80" s="299"/>
      <c r="CX80" s="299"/>
      <c r="CY80" s="299"/>
      <c r="CZ80" s="299"/>
      <c r="DA80" s="299"/>
      <c r="DB80" s="299"/>
      <c r="DC80" s="299"/>
      <c r="DD80" s="300"/>
      <c r="DE80" s="206"/>
      <c r="DF80" s="206"/>
      <c r="DG80" s="206"/>
      <c r="DH80" s="206"/>
      <c r="DI80" s="206"/>
    </row>
    <row r="81" spans="6:113" x14ac:dyDescent="0.25">
      <c r="F81" s="50"/>
      <c r="G81" s="52"/>
      <c r="H81" s="52"/>
      <c r="I81" s="53"/>
      <c r="Q81" s="50"/>
      <c r="R81" s="234" t="s">
        <v>772</v>
      </c>
      <c r="S81" s="242" t="s">
        <v>426</v>
      </c>
      <c r="T81" s="53"/>
      <c r="AB81" s="50"/>
      <c r="AC81" s="52"/>
      <c r="AD81" s="52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85"/>
      <c r="BK81" s="85"/>
      <c r="BL81" s="53"/>
      <c r="BT81" s="50"/>
      <c r="BU81" s="251"/>
      <c r="BV81" s="112"/>
      <c r="BW81" s="53"/>
      <c r="CE81" s="50"/>
      <c r="CF81" s="52"/>
      <c r="CG81" s="52"/>
      <c r="CH81" s="52"/>
      <c r="CI81" s="299"/>
      <c r="CJ81" s="332"/>
      <c r="CK81" s="332"/>
      <c r="CL81" s="332"/>
      <c r="CM81" s="299"/>
      <c r="CN81" s="299"/>
      <c r="CO81" s="299"/>
      <c r="CP81" s="299"/>
      <c r="CQ81" s="299"/>
      <c r="CR81" s="299"/>
      <c r="CS81" s="603" t="str">
        <f ca="1"/>
        <v/>
      </c>
      <c r="CT81" s="608" t="str">
        <f ca="1"/>
        <v/>
      </c>
      <c r="CU81" s="608" t="str">
        <f ca="1"/>
        <v/>
      </c>
      <c r="CV81" s="608" t="str">
        <f ca="1"/>
        <v/>
      </c>
      <c r="CW81" s="299"/>
      <c r="CX81" s="299"/>
      <c r="CY81" s="299"/>
      <c r="CZ81" s="299"/>
      <c r="DA81" s="299"/>
      <c r="DB81" s="299"/>
      <c r="DC81" s="299"/>
      <c r="DD81" s="300"/>
      <c r="DE81" s="206"/>
      <c r="DF81" s="206"/>
      <c r="DG81" s="206"/>
      <c r="DH81" s="206"/>
      <c r="DI81" s="206"/>
    </row>
    <row r="82" spans="6:113" x14ac:dyDescent="0.25">
      <c r="F82" s="50"/>
      <c r="G82" s="52"/>
      <c r="H82" s="52"/>
      <c r="I82" s="53"/>
      <c r="Q82" s="50"/>
      <c r="R82" s="245" t="s">
        <v>774</v>
      </c>
      <c r="S82" s="244" t="s">
        <v>49</v>
      </c>
      <c r="T82" s="53"/>
      <c r="AB82" s="50"/>
      <c r="AC82" s="52"/>
      <c r="AD82" s="52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85"/>
      <c r="BK82" s="85"/>
      <c r="BL82" s="53"/>
      <c r="BT82" s="50"/>
      <c r="BU82" s="251"/>
      <c r="BV82" s="112"/>
      <c r="BW82" s="53"/>
      <c r="CE82" s="50"/>
      <c r="CF82" s="52"/>
      <c r="CG82" s="52"/>
      <c r="CH82" s="52"/>
      <c r="CI82" s="299"/>
      <c r="CJ82" s="332"/>
      <c r="CK82" s="332"/>
      <c r="CL82" s="332"/>
      <c r="CM82" s="299"/>
      <c r="CN82" s="299"/>
      <c r="CO82" s="299"/>
      <c r="CP82" s="299"/>
      <c r="CQ82" s="299"/>
      <c r="CR82" s="299"/>
      <c r="CS82" s="603" t="str">
        <f ca="1"/>
        <v/>
      </c>
      <c r="CT82" s="608" t="str">
        <f ca="1"/>
        <v/>
      </c>
      <c r="CU82" s="608" t="str">
        <f ca="1"/>
        <v/>
      </c>
      <c r="CV82" s="608" t="str">
        <f ca="1"/>
        <v/>
      </c>
      <c r="CW82" s="299"/>
      <c r="CX82" s="299"/>
      <c r="CY82" s="299"/>
      <c r="CZ82" s="299"/>
      <c r="DA82" s="299"/>
      <c r="DB82" s="299"/>
      <c r="DC82" s="299"/>
      <c r="DD82" s="300"/>
      <c r="DE82" s="206"/>
      <c r="DF82" s="206"/>
      <c r="DG82" s="206"/>
      <c r="DH82" s="206"/>
      <c r="DI82" s="206"/>
    </row>
    <row r="83" spans="6:113" x14ac:dyDescent="0.25">
      <c r="F83" s="50"/>
      <c r="G83" s="52"/>
      <c r="H83" s="52"/>
      <c r="I83" s="53"/>
      <c r="Q83" s="50"/>
      <c r="R83" s="222" t="s">
        <v>775</v>
      </c>
      <c r="S83" s="216" t="str">
        <f>INDEX('STATIC DATA'!C55:AB55,1,MATCH($A$1,'STATIC DATA'!$C$4:$AB$4,0))</f>
        <v>ACT/360</v>
      </c>
      <c r="T83" s="53"/>
      <c r="AB83" s="50"/>
      <c r="AC83" s="52"/>
      <c r="AD83" s="52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85"/>
      <c r="BK83" s="85"/>
      <c r="BL83" s="53"/>
      <c r="BT83" s="50"/>
      <c r="BU83" s="251"/>
      <c r="BV83" s="112"/>
      <c r="BW83" s="53"/>
      <c r="CE83" s="50"/>
      <c r="CF83" s="52"/>
      <c r="CG83" s="52"/>
      <c r="CH83" s="52"/>
      <c r="CI83" s="299"/>
      <c r="CJ83" s="332"/>
      <c r="CK83" s="332"/>
      <c r="CL83" s="332"/>
      <c r="CM83" s="299"/>
      <c r="CN83" s="299"/>
      <c r="CO83" s="299"/>
      <c r="CP83" s="299"/>
      <c r="CQ83" s="299"/>
      <c r="CR83" s="299"/>
      <c r="CS83" s="603" t="str">
        <f ca="1"/>
        <v/>
      </c>
      <c r="CT83" s="608" t="str">
        <f ca="1"/>
        <v/>
      </c>
      <c r="CU83" s="608" t="str">
        <f ca="1"/>
        <v/>
      </c>
      <c r="CV83" s="608" t="str">
        <f ca="1"/>
        <v/>
      </c>
      <c r="CW83" s="299"/>
      <c r="CX83" s="299"/>
      <c r="CY83" s="299"/>
      <c r="CZ83" s="299"/>
      <c r="DA83" s="299"/>
      <c r="DB83" s="299"/>
      <c r="DC83" s="299"/>
      <c r="DD83" s="300"/>
      <c r="DE83" s="206"/>
      <c r="DF83" s="206"/>
      <c r="DG83" s="206"/>
      <c r="DH83" s="206"/>
      <c r="DI83" s="206"/>
    </row>
    <row r="84" spans="6:113" x14ac:dyDescent="0.25">
      <c r="F84" s="50"/>
      <c r="G84" s="52"/>
      <c r="H84" s="52"/>
      <c r="I84" s="53"/>
      <c r="Q84" s="50"/>
      <c r="R84" s="222" t="s">
        <v>776</v>
      </c>
      <c r="S84" s="216" t="str">
        <f>INDEX('STATIC DATA'!C39:AB39,1,MATCH($A$1,'STATIC DATA'!$C$4:$AB$4,0))</f>
        <v>LNB</v>
      </c>
      <c r="T84" s="53"/>
      <c r="AB84" s="50"/>
      <c r="AC84" s="52"/>
      <c r="AD84" s="52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85"/>
      <c r="BK84" s="85"/>
      <c r="BL84" s="53"/>
      <c r="BT84" s="50"/>
      <c r="BU84" s="251"/>
      <c r="BV84" s="112"/>
      <c r="BW84" s="53"/>
      <c r="CE84" s="50"/>
      <c r="CF84" s="52"/>
      <c r="CG84" s="52"/>
      <c r="CH84" s="52"/>
      <c r="CI84" s="299"/>
      <c r="CJ84" s="332"/>
      <c r="CK84" s="332"/>
      <c r="CL84" s="332"/>
      <c r="CM84" s="332"/>
      <c r="CN84" s="332"/>
      <c r="CO84" s="332"/>
      <c r="CP84" s="332"/>
      <c r="CQ84" s="299"/>
      <c r="CR84" s="299"/>
      <c r="CS84" s="603" t="str">
        <f ca="1"/>
        <v/>
      </c>
      <c r="CT84" s="608" t="str">
        <f ca="1"/>
        <v/>
      </c>
      <c r="CU84" s="608" t="str">
        <f ca="1"/>
        <v/>
      </c>
      <c r="CV84" s="608" t="str">
        <f ca="1"/>
        <v/>
      </c>
      <c r="CW84" s="299"/>
      <c r="CX84" s="299"/>
      <c r="CY84" s="299"/>
      <c r="CZ84" s="299"/>
      <c r="DA84" s="299"/>
      <c r="DB84" s="299"/>
      <c r="DC84" s="299"/>
      <c r="DD84" s="300"/>
      <c r="DE84" s="206"/>
      <c r="DF84" s="206"/>
      <c r="DG84" s="206"/>
      <c r="DH84" s="206"/>
      <c r="DI84" s="206"/>
    </row>
    <row r="85" spans="6:113" x14ac:dyDescent="0.25">
      <c r="F85" s="50"/>
      <c r="G85" s="52"/>
      <c r="H85" s="52"/>
      <c r="I85" s="53"/>
      <c r="Q85" s="50"/>
      <c r="R85" s="222" t="s">
        <v>777</v>
      </c>
      <c r="S85" s="216" t="s">
        <v>721</v>
      </c>
      <c r="T85" s="53"/>
      <c r="AB85" s="50"/>
      <c r="AC85" s="52"/>
      <c r="AD85" s="52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85"/>
      <c r="BK85" s="85"/>
      <c r="BL85" s="53"/>
      <c r="BT85" s="50"/>
      <c r="BU85" s="251"/>
      <c r="BV85" s="112"/>
      <c r="BW85" s="53"/>
      <c r="CE85" s="50"/>
      <c r="CF85" s="52"/>
      <c r="CG85" s="52"/>
      <c r="CH85" s="52"/>
      <c r="CI85" s="299"/>
      <c r="CJ85" s="332"/>
      <c r="CK85" s="332"/>
      <c r="CL85" s="332"/>
      <c r="CM85" s="332"/>
      <c r="CN85" s="332"/>
      <c r="CO85" s="332"/>
      <c r="CP85" s="332"/>
      <c r="CQ85" s="299"/>
      <c r="CR85" s="299"/>
      <c r="CS85" s="603" t="str">
        <f ca="1"/>
        <v/>
      </c>
      <c r="CT85" s="608" t="str">
        <f ca="1"/>
        <v/>
      </c>
      <c r="CU85" s="608" t="str">
        <f ca="1"/>
        <v/>
      </c>
      <c r="CV85" s="608" t="str">
        <f ca="1"/>
        <v/>
      </c>
      <c r="CW85" s="299"/>
      <c r="CX85" s="299"/>
      <c r="CY85" s="299"/>
      <c r="CZ85" s="299"/>
      <c r="DA85" s="299"/>
      <c r="DB85" s="299"/>
      <c r="DC85" s="299"/>
      <c r="DD85" s="300"/>
      <c r="DE85" s="206"/>
      <c r="DF85" s="206"/>
      <c r="DG85" s="206"/>
      <c r="DH85" s="206"/>
      <c r="DI85" s="206"/>
    </row>
    <row r="86" spans="6:113" x14ac:dyDescent="0.25">
      <c r="F86" s="50"/>
      <c r="G86" s="52"/>
      <c r="H86" s="52"/>
      <c r="I86" s="53"/>
      <c r="Q86" s="50"/>
      <c r="R86" s="222" t="s">
        <v>778</v>
      </c>
      <c r="S86" s="216" t="str">
        <f>INDEX('STATIC DATA'!C40:AB40,1,MATCH($A$1,'STATIC DATA'!$C$4:$AB$4,0))</f>
        <v>LNB:TKB</v>
      </c>
      <c r="T86" s="53"/>
      <c r="AB86" s="50"/>
      <c r="AC86" s="52"/>
      <c r="AD86" s="52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85"/>
      <c r="BK86" s="85"/>
      <c r="BL86" s="53"/>
      <c r="BT86" s="50"/>
      <c r="BU86" s="251"/>
      <c r="BV86" s="112"/>
      <c r="BW86" s="53"/>
      <c r="CE86" s="50"/>
      <c r="CF86" s="52"/>
      <c r="CG86" s="52"/>
      <c r="CH86" s="52"/>
      <c r="CI86" s="299"/>
      <c r="CJ86" s="332"/>
      <c r="CK86" s="332"/>
      <c r="CL86" s="332"/>
      <c r="CM86" s="332"/>
      <c r="CN86" s="332"/>
      <c r="CO86" s="332"/>
      <c r="CP86" s="332"/>
      <c r="CQ86" s="299"/>
      <c r="CR86" s="299"/>
      <c r="CS86" s="603" t="str">
        <f ca="1"/>
        <v/>
      </c>
      <c r="CT86" s="608" t="str">
        <f ca="1"/>
        <v/>
      </c>
      <c r="CU86" s="608" t="str">
        <f ca="1"/>
        <v/>
      </c>
      <c r="CV86" s="608" t="str">
        <f ca="1"/>
        <v/>
      </c>
      <c r="CW86" s="299"/>
      <c r="CX86" s="299"/>
      <c r="CY86" s="299"/>
      <c r="CZ86" s="299"/>
      <c r="DA86" s="299"/>
      <c r="DB86" s="299"/>
      <c r="DC86" s="299"/>
      <c r="DD86" s="300"/>
      <c r="DE86" s="206"/>
      <c r="DF86" s="206"/>
      <c r="DG86" s="206"/>
      <c r="DH86" s="206"/>
      <c r="DI86" s="206"/>
    </row>
    <row r="87" spans="6:113" x14ac:dyDescent="0.25">
      <c r="F87" s="50"/>
      <c r="G87" s="52"/>
      <c r="H87" s="52"/>
      <c r="I87" s="53"/>
      <c r="Q87" s="50"/>
      <c r="R87" s="222" t="s">
        <v>779</v>
      </c>
      <c r="S87" s="216" t="str">
        <f>INDEX('STATIC DATA'!C7:AB7,1,MATCH($A$1,'STATIC DATA'!$C$4:$AB$4,0))</f>
        <v>2D</v>
      </c>
      <c r="T87" s="53"/>
      <c r="AB87" s="50"/>
      <c r="AC87" s="52"/>
      <c r="AD87" s="52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85"/>
      <c r="BK87" s="85"/>
      <c r="BL87" s="53"/>
      <c r="BT87" s="50"/>
      <c r="BU87" s="251"/>
      <c r="BV87" s="112"/>
      <c r="BW87" s="53"/>
      <c r="CE87" s="50"/>
      <c r="CF87" s="52"/>
      <c r="CG87" s="52"/>
      <c r="CH87" s="52"/>
      <c r="CI87" s="299"/>
      <c r="CJ87" s="332"/>
      <c r="CK87" s="332"/>
      <c r="CL87" s="332"/>
      <c r="CM87" s="332"/>
      <c r="CN87" s="332"/>
      <c r="CO87" s="332"/>
      <c r="CP87" s="332"/>
      <c r="CQ87" s="299"/>
      <c r="CR87" s="299"/>
      <c r="CS87" s="603" t="str">
        <f ca="1"/>
        <v/>
      </c>
      <c r="CT87" s="608" t="str">
        <f ca="1"/>
        <v/>
      </c>
      <c r="CU87" s="608" t="str">
        <f ca="1"/>
        <v/>
      </c>
      <c r="CV87" s="608" t="str">
        <f ca="1"/>
        <v/>
      </c>
      <c r="CW87" s="299"/>
      <c r="CX87" s="299"/>
      <c r="CY87" s="299"/>
      <c r="CZ87" s="299"/>
      <c r="DA87" s="299"/>
      <c r="DB87" s="299"/>
      <c r="DC87" s="299"/>
      <c r="DD87" s="300"/>
      <c r="DE87" s="206"/>
      <c r="DF87" s="206"/>
      <c r="DG87" s="206"/>
      <c r="DH87" s="206"/>
      <c r="DI87" s="206"/>
    </row>
    <row r="88" spans="6:113" x14ac:dyDescent="0.25">
      <c r="F88" s="50"/>
      <c r="G88" s="52"/>
      <c r="H88" s="52"/>
      <c r="I88" s="53"/>
      <c r="Q88" s="50"/>
      <c r="R88" s="222" t="s">
        <v>780</v>
      </c>
      <c r="S88" s="216" t="s">
        <v>687</v>
      </c>
      <c r="T88" s="53"/>
      <c r="AB88" s="50"/>
      <c r="AC88" s="52"/>
      <c r="AD88" s="52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85"/>
      <c r="BK88" s="85"/>
      <c r="BL88" s="53"/>
      <c r="BT88" s="50"/>
      <c r="BU88" s="251"/>
      <c r="BV88" s="112"/>
      <c r="BW88" s="53"/>
      <c r="CE88" s="50"/>
      <c r="CF88" s="52"/>
      <c r="CG88" s="52"/>
      <c r="CH88" s="52"/>
      <c r="CI88" s="299"/>
      <c r="CJ88" s="332"/>
      <c r="CK88" s="332"/>
      <c r="CL88" s="332"/>
      <c r="CM88" s="332"/>
      <c r="CN88" s="332"/>
      <c r="CO88" s="332"/>
      <c r="CP88" s="332"/>
      <c r="CQ88" s="299"/>
      <c r="CR88" s="299"/>
      <c r="CS88" s="603" t="str">
        <f ca="1"/>
        <v/>
      </c>
      <c r="CT88" s="608" t="str">
        <f ca="1"/>
        <v/>
      </c>
      <c r="CU88" s="608" t="str">
        <f ca="1"/>
        <v/>
      </c>
      <c r="CV88" s="608" t="str">
        <f ca="1"/>
        <v/>
      </c>
      <c r="CW88" s="299"/>
      <c r="CX88" s="299"/>
      <c r="CY88" s="299"/>
      <c r="CZ88" s="299"/>
      <c r="DA88" s="299"/>
      <c r="DB88" s="299"/>
      <c r="DC88" s="299"/>
      <c r="DD88" s="300"/>
      <c r="DE88" s="206"/>
      <c r="DF88" s="206"/>
      <c r="DG88" s="206"/>
      <c r="DH88" s="206"/>
      <c r="DI88" s="206"/>
    </row>
    <row r="89" spans="6:113" x14ac:dyDescent="0.25">
      <c r="F89" s="50"/>
      <c r="G89" s="52"/>
      <c r="H89" s="52"/>
      <c r="I89" s="53"/>
      <c r="Q89" s="50"/>
      <c r="R89" s="233" t="s">
        <v>781</v>
      </c>
      <c r="S89" s="241" t="s">
        <v>791</v>
      </c>
      <c r="T89" s="53"/>
      <c r="AB89" s="50"/>
      <c r="AC89" s="52"/>
      <c r="AD89" s="52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85"/>
      <c r="BV89" s="85"/>
      <c r="BW89" s="53"/>
      <c r="CE89" s="50"/>
      <c r="CF89" s="52"/>
      <c r="CG89" s="52"/>
      <c r="CH89" s="52"/>
      <c r="CI89" s="299"/>
      <c r="CJ89" s="332"/>
      <c r="CK89" s="332"/>
      <c r="CL89" s="332"/>
      <c r="CM89" s="332"/>
      <c r="CN89" s="332"/>
      <c r="CO89" s="332"/>
      <c r="CP89" s="332"/>
      <c r="CQ89" s="299"/>
      <c r="CR89" s="299"/>
      <c r="CS89" s="603" t="str">
        <f ca="1"/>
        <v/>
      </c>
      <c r="CT89" s="608" t="str">
        <f ca="1"/>
        <v/>
      </c>
      <c r="CU89" s="608" t="str">
        <f ca="1"/>
        <v/>
      </c>
      <c r="CV89" s="608" t="str">
        <f ca="1"/>
        <v/>
      </c>
      <c r="CW89" s="299"/>
      <c r="CX89" s="299"/>
      <c r="CY89" s="299"/>
      <c r="CZ89" s="299"/>
      <c r="DA89" s="299"/>
      <c r="DB89" s="299"/>
      <c r="DC89" s="299"/>
      <c r="DD89" s="300"/>
      <c r="DE89" s="206"/>
      <c r="DF89" s="206"/>
      <c r="DG89" s="206"/>
      <c r="DH89" s="206"/>
      <c r="DI89" s="206"/>
    </row>
    <row r="90" spans="6:113" x14ac:dyDescent="0.25">
      <c r="F90" s="50"/>
      <c r="G90" s="52"/>
      <c r="H90" s="52"/>
      <c r="I90" s="53"/>
      <c r="Q90" s="50"/>
      <c r="R90" s="222" t="s">
        <v>783</v>
      </c>
      <c r="S90" s="216" t="s">
        <v>718</v>
      </c>
      <c r="T90" s="53"/>
      <c r="AB90" s="50"/>
      <c r="AC90" s="52"/>
      <c r="AD90" s="52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85"/>
      <c r="BV90" s="85"/>
      <c r="BW90" s="53"/>
      <c r="CE90" s="50"/>
      <c r="CF90" s="52"/>
      <c r="CG90" s="52"/>
      <c r="CH90" s="52"/>
      <c r="CI90" s="299"/>
      <c r="CJ90" s="332"/>
      <c r="CK90" s="332"/>
      <c r="CL90" s="332"/>
      <c r="CM90" s="332"/>
      <c r="CN90" s="332"/>
      <c r="CO90" s="332"/>
      <c r="CP90" s="332"/>
      <c r="CQ90" s="299"/>
      <c r="CR90" s="299"/>
      <c r="CS90" s="603" t="str">
        <f ca="1"/>
        <v/>
      </c>
      <c r="CT90" s="608" t="str">
        <f ca="1"/>
        <v/>
      </c>
      <c r="CU90" s="608" t="str">
        <f ca="1"/>
        <v/>
      </c>
      <c r="CV90" s="608" t="str">
        <f ca="1"/>
        <v/>
      </c>
      <c r="CW90" s="299"/>
      <c r="CX90" s="299"/>
      <c r="CY90" s="299"/>
      <c r="CZ90" s="299"/>
      <c r="DA90" s="299"/>
      <c r="DB90" s="299"/>
      <c r="DC90" s="299"/>
      <c r="DD90" s="300"/>
      <c r="DE90" s="206"/>
      <c r="DF90" s="206"/>
      <c r="DG90" s="206"/>
      <c r="DH90" s="206"/>
      <c r="DI90" s="206"/>
    </row>
    <row r="91" spans="6:113" x14ac:dyDescent="0.25">
      <c r="F91" s="50"/>
      <c r="G91" s="52"/>
      <c r="H91" s="52"/>
      <c r="I91" s="53"/>
      <c r="Q91" s="50"/>
      <c r="R91" s="222" t="s">
        <v>784</v>
      </c>
      <c r="S91" s="216" t="s">
        <v>1655</v>
      </c>
      <c r="T91" s="53"/>
      <c r="AB91" s="50"/>
      <c r="AC91" s="52"/>
      <c r="AD91" s="52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85"/>
      <c r="BV91" s="85"/>
      <c r="BW91" s="53"/>
      <c r="CE91" s="50"/>
      <c r="CF91" s="52"/>
      <c r="CG91" s="52"/>
      <c r="CH91" s="52"/>
      <c r="CI91" s="299"/>
      <c r="CJ91" s="332"/>
      <c r="CK91" s="332"/>
      <c r="CL91" s="332"/>
      <c r="CM91" s="332"/>
      <c r="CN91" s="332"/>
      <c r="CO91" s="332"/>
      <c r="CP91" s="332"/>
      <c r="CQ91" s="299"/>
      <c r="CR91" s="299"/>
      <c r="CS91" s="603" t="str">
        <f ca="1"/>
        <v/>
      </c>
      <c r="CT91" s="608" t="str">
        <f ca="1"/>
        <v/>
      </c>
      <c r="CU91" s="608" t="str">
        <f ca="1"/>
        <v/>
      </c>
      <c r="CV91" s="608" t="str">
        <f ca="1"/>
        <v/>
      </c>
      <c r="CW91" s="299"/>
      <c r="CX91" s="299"/>
      <c r="CY91" s="299"/>
      <c r="CZ91" s="299"/>
      <c r="DA91" s="299"/>
      <c r="DB91" s="299"/>
      <c r="DC91" s="299"/>
      <c r="DD91" s="300"/>
      <c r="DE91" s="206"/>
      <c r="DF91" s="206"/>
      <c r="DG91" s="206"/>
      <c r="DH91" s="206"/>
      <c r="DI91" s="206"/>
    </row>
    <row r="92" spans="6:113" x14ac:dyDescent="0.25">
      <c r="F92" s="50"/>
      <c r="G92" s="52"/>
      <c r="H92" s="52"/>
      <c r="I92" s="53"/>
      <c r="Q92" s="50"/>
      <c r="R92" s="222" t="s">
        <v>785</v>
      </c>
      <c r="S92" s="216" t="s">
        <v>718</v>
      </c>
      <c r="T92" s="53"/>
      <c r="AB92" s="50"/>
      <c r="AC92" s="52"/>
      <c r="AD92" s="52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85"/>
      <c r="BV92" s="85"/>
      <c r="BW92" s="53"/>
      <c r="CE92" s="50"/>
      <c r="CF92" s="52"/>
      <c r="CG92" s="52"/>
      <c r="CH92" s="52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603" t="str">
        <f ca="1"/>
        <v/>
      </c>
      <c r="CT92" s="608" t="str">
        <f ca="1"/>
        <v/>
      </c>
      <c r="CU92" s="608" t="str">
        <f ca="1"/>
        <v/>
      </c>
      <c r="CV92" s="608" t="str">
        <f ca="1"/>
        <v/>
      </c>
      <c r="CW92" s="299"/>
      <c r="CX92" s="299"/>
      <c r="CY92" s="299"/>
      <c r="CZ92" s="299"/>
      <c r="DA92" s="299"/>
      <c r="DB92" s="299"/>
      <c r="DC92" s="299"/>
      <c r="DD92" s="300"/>
      <c r="DE92" s="206"/>
      <c r="DF92" s="206"/>
      <c r="DG92" s="206"/>
      <c r="DH92" s="206"/>
      <c r="DI92" s="206"/>
    </row>
    <row r="93" spans="6:113" x14ac:dyDescent="0.25">
      <c r="F93" s="50"/>
      <c r="G93" s="52"/>
      <c r="H93" s="52"/>
      <c r="I93" s="53"/>
      <c r="Q93" s="50"/>
      <c r="R93" s="233" t="s">
        <v>786</v>
      </c>
      <c r="S93" s="246" t="s">
        <v>49</v>
      </c>
      <c r="T93" s="53"/>
      <c r="AB93" s="50"/>
      <c r="AC93" s="52"/>
      <c r="AD93" s="52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85"/>
      <c r="BV93" s="85"/>
      <c r="BW93" s="53"/>
      <c r="CE93" s="50"/>
      <c r="CF93" s="52"/>
      <c r="CG93" s="52"/>
      <c r="CH93" s="52"/>
      <c r="CI93" s="299"/>
      <c r="CJ93" s="299"/>
      <c r="CK93" s="299"/>
      <c r="CL93" s="299"/>
      <c r="CM93" s="299"/>
      <c r="CN93" s="299"/>
      <c r="CO93" s="299"/>
      <c r="CP93" s="299"/>
      <c r="CQ93" s="299"/>
      <c r="CR93" s="299"/>
      <c r="CS93" s="603" t="str">
        <f ca="1"/>
        <v/>
      </c>
      <c r="CT93" s="608" t="str">
        <f ca="1"/>
        <v/>
      </c>
      <c r="CU93" s="608" t="str">
        <f ca="1"/>
        <v/>
      </c>
      <c r="CV93" s="608" t="str">
        <f ca="1"/>
        <v/>
      </c>
      <c r="CW93" s="299"/>
      <c r="CX93" s="299"/>
      <c r="CY93" s="299"/>
      <c r="CZ93" s="299"/>
      <c r="DA93" s="299"/>
      <c r="DB93" s="299"/>
      <c r="DC93" s="299"/>
      <c r="DD93" s="300"/>
      <c r="DE93" s="206"/>
      <c r="DF93" s="206"/>
      <c r="DG93" s="206"/>
      <c r="DH93" s="206"/>
      <c r="DI93" s="206"/>
    </row>
    <row r="94" spans="6:113" x14ac:dyDescent="0.25">
      <c r="F94" s="50"/>
      <c r="G94" s="52"/>
      <c r="H94" s="52"/>
      <c r="I94" s="53"/>
      <c r="Q94" s="50"/>
      <c r="R94" s="222" t="s">
        <v>787</v>
      </c>
      <c r="S94" s="216" t="s">
        <v>720</v>
      </c>
      <c r="T94" s="53"/>
      <c r="AB94" s="50"/>
      <c r="AC94" s="52"/>
      <c r="AD94" s="52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85"/>
      <c r="BV94" s="85"/>
      <c r="BW94" s="53"/>
      <c r="CE94" s="50"/>
      <c r="CF94" s="52"/>
      <c r="CG94" s="52"/>
      <c r="CH94" s="52"/>
      <c r="CI94" s="299"/>
      <c r="CJ94" s="299"/>
      <c r="CK94" s="299"/>
      <c r="CL94" s="299"/>
      <c r="CM94" s="299"/>
      <c r="CN94" s="299"/>
      <c r="CO94" s="299"/>
      <c r="CP94" s="299"/>
      <c r="CQ94" s="298"/>
      <c r="CR94" s="298"/>
      <c r="CS94" s="605" t="str">
        <f ca="1"/>
        <v/>
      </c>
      <c r="CT94" s="609" t="str">
        <f ca="1"/>
        <v/>
      </c>
      <c r="CU94" s="609" t="str">
        <f ca="1"/>
        <v/>
      </c>
      <c r="CV94" s="609" t="str">
        <f ca="1"/>
        <v/>
      </c>
      <c r="CW94" s="298"/>
      <c r="CX94" s="298"/>
      <c r="CY94" s="298"/>
      <c r="CZ94" s="298"/>
      <c r="DA94" s="298"/>
      <c r="DB94" s="298"/>
      <c r="DC94" s="298"/>
      <c r="DD94" s="301"/>
      <c r="DE94" s="206"/>
      <c r="DF94" s="206"/>
      <c r="DG94" s="206"/>
      <c r="DH94" s="206"/>
      <c r="DI94" s="206"/>
    </row>
    <row r="95" spans="6:113" x14ac:dyDescent="0.25">
      <c r="F95" s="50"/>
      <c r="G95" s="52"/>
      <c r="H95" s="52"/>
      <c r="I95" s="53"/>
      <c r="Q95" s="50"/>
      <c r="R95" s="225" t="s">
        <v>697</v>
      </c>
      <c r="S95" s="240">
        <v>1.0000000000000003E-9</v>
      </c>
      <c r="T95" s="53"/>
      <c r="AB95" s="50"/>
      <c r="AC95" s="52"/>
      <c r="AD95" s="52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85"/>
      <c r="BV95" s="85"/>
      <c r="BW95" s="53"/>
      <c r="CE95" s="50"/>
      <c r="CF95" s="52"/>
      <c r="CG95" s="52"/>
      <c r="CH95" s="52"/>
      <c r="CI95" s="299"/>
      <c r="CJ95" s="299"/>
      <c r="CK95" s="299"/>
      <c r="CL95" s="299"/>
      <c r="CM95" s="299"/>
      <c r="CN95" s="299"/>
      <c r="CO95" s="299"/>
      <c r="CP95" s="299"/>
      <c r="CQ95" s="206"/>
      <c r="CR95" s="206"/>
      <c r="CS95" s="606" t="str">
        <f ca="1"/>
        <v/>
      </c>
      <c r="CT95" s="610" t="str">
        <f ca="1"/>
        <v/>
      </c>
      <c r="CU95" s="610" t="str">
        <f ca="1"/>
        <v/>
      </c>
      <c r="CV95" s="610" t="str">
        <f ca="1"/>
        <v/>
      </c>
      <c r="CW95" s="206"/>
      <c r="CX95" s="206"/>
      <c r="CY95" s="206"/>
      <c r="CZ95" s="206"/>
      <c r="DA95" s="206"/>
      <c r="DB95" s="206"/>
      <c r="DC95" s="206"/>
      <c r="DD95" s="206"/>
      <c r="DE95" s="206"/>
      <c r="DF95" s="206"/>
      <c r="DG95" s="206"/>
      <c r="DH95" s="206"/>
      <c r="DI95" s="206"/>
    </row>
    <row r="96" spans="6:113" x14ac:dyDescent="0.25">
      <c r="F96" s="50"/>
      <c r="G96" s="52"/>
      <c r="H96" s="52"/>
      <c r="I96" s="53"/>
      <c r="Q96" s="50"/>
      <c r="R96" s="225" t="s">
        <v>698</v>
      </c>
      <c r="S96" s="219">
        <v>1000</v>
      </c>
      <c r="T96" s="53"/>
      <c r="AB96" s="50"/>
      <c r="AC96" s="52"/>
      <c r="AD96" s="52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85"/>
      <c r="BV96" s="85"/>
      <c r="BW96" s="53"/>
      <c r="CE96" s="50"/>
      <c r="CF96" s="52"/>
      <c r="CG96" s="52"/>
      <c r="CH96" s="52"/>
      <c r="CI96" s="299"/>
      <c r="CJ96" s="299"/>
      <c r="CK96" s="299"/>
      <c r="CL96" s="299"/>
      <c r="CM96" s="299"/>
      <c r="CN96" s="299"/>
      <c r="CO96" s="299"/>
      <c r="CP96" s="299"/>
      <c r="CQ96" s="206"/>
      <c r="CR96" s="206"/>
      <c r="CS96" s="606" t="str">
        <f ca="1"/>
        <v/>
      </c>
      <c r="CT96" s="610" t="str">
        <f ca="1"/>
        <v/>
      </c>
      <c r="CU96" s="610" t="str">
        <f ca="1"/>
        <v/>
      </c>
      <c r="CV96" s="610" t="str">
        <f ca="1"/>
        <v/>
      </c>
      <c r="CW96" s="206"/>
      <c r="CX96" s="206"/>
      <c r="CY96" s="206"/>
      <c r="CZ96" s="206"/>
      <c r="DA96" s="206"/>
      <c r="DB96" s="206"/>
      <c r="DC96" s="206"/>
      <c r="DD96" s="206"/>
      <c r="DE96" s="206"/>
      <c r="DF96" s="206"/>
      <c r="DG96" s="206"/>
      <c r="DH96" s="206"/>
      <c r="DI96" s="206"/>
    </row>
    <row r="97" spans="6:120" x14ac:dyDescent="0.25">
      <c r="F97" s="50"/>
      <c r="G97" s="52"/>
      <c r="H97" s="52"/>
      <c r="I97" s="53"/>
      <c r="Q97" s="50"/>
      <c r="R97" s="225" t="s">
        <v>788</v>
      </c>
      <c r="S97" s="219" t="s">
        <v>720</v>
      </c>
      <c r="T97" s="53"/>
      <c r="AB97" s="50"/>
      <c r="AC97" s="52"/>
      <c r="AD97" s="52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85"/>
      <c r="BK97" s="85"/>
      <c r="BL97" s="53"/>
      <c r="BT97" s="50"/>
      <c r="BU97" s="52"/>
      <c r="BV97" s="52"/>
      <c r="BW97" s="53"/>
      <c r="CE97" s="50"/>
      <c r="CF97" s="52"/>
      <c r="CG97" s="52"/>
      <c r="CH97" s="52"/>
      <c r="CI97" s="299"/>
      <c r="CJ97" s="299"/>
      <c r="CK97" s="299"/>
      <c r="CL97" s="299"/>
      <c r="CM97" s="299"/>
      <c r="CN97" s="299"/>
      <c r="CO97" s="299"/>
      <c r="CP97" s="299"/>
      <c r="CS97" s="601" t="str">
        <f ca="1"/>
        <v/>
      </c>
      <c r="CT97" s="600" t="str">
        <f ca="1"/>
        <v/>
      </c>
      <c r="CU97" s="600" t="str">
        <f ca="1"/>
        <v/>
      </c>
      <c r="CV97" s="600" t="str">
        <f ca="1"/>
        <v/>
      </c>
    </row>
    <row r="98" spans="6:120" x14ac:dyDescent="0.25">
      <c r="F98" s="75"/>
      <c r="G98" s="76"/>
      <c r="H98" s="76"/>
      <c r="I98" s="77"/>
      <c r="Q98" s="50"/>
      <c r="R98" s="225" t="s">
        <v>789</v>
      </c>
      <c r="S98" s="219" t="s">
        <v>718</v>
      </c>
      <c r="T98" s="53"/>
      <c r="AB98" s="75"/>
      <c r="AC98" s="76"/>
      <c r="AD98" s="76"/>
      <c r="AE98" s="77"/>
      <c r="AM98" s="50"/>
      <c r="AN98" s="85"/>
      <c r="AO98" s="85"/>
      <c r="AP98" s="53"/>
      <c r="AX98" s="50"/>
      <c r="AY98" s="85"/>
      <c r="AZ98" s="85"/>
      <c r="BA98" s="53"/>
      <c r="BI98" s="75"/>
      <c r="BJ98" s="76"/>
      <c r="BK98" s="76"/>
      <c r="BL98" s="77"/>
      <c r="BT98" s="75"/>
      <c r="BU98" s="76"/>
      <c r="BV98" s="76"/>
      <c r="BW98" s="77"/>
      <c r="CE98" s="75"/>
      <c r="CF98" s="52"/>
      <c r="CG98" s="52"/>
      <c r="CH98" s="52"/>
      <c r="CI98" s="299"/>
      <c r="CJ98" s="299"/>
      <c r="CK98" s="299"/>
      <c r="CL98" s="299"/>
      <c r="CM98" s="299"/>
      <c r="CN98" s="299"/>
      <c r="CO98" s="299"/>
      <c r="CP98" s="299"/>
      <c r="CS98" s="601" t="str">
        <f ca="1"/>
        <v/>
      </c>
      <c r="CT98" s="600" t="str">
        <f ca="1"/>
        <v/>
      </c>
      <c r="CU98" s="600" t="str">
        <f ca="1"/>
        <v/>
      </c>
      <c r="CV98" s="600" t="str">
        <f ca="1"/>
        <v/>
      </c>
    </row>
    <row r="99" spans="6:120" x14ac:dyDescent="0.25">
      <c r="Q99" s="50"/>
      <c r="R99" s="225" t="s">
        <v>688</v>
      </c>
      <c r="S99" s="219">
        <v>31</v>
      </c>
      <c r="T99" s="53"/>
      <c r="AM99" s="50"/>
      <c r="AN99" s="85"/>
      <c r="AO99" s="85"/>
      <c r="AP99" s="53"/>
      <c r="AX99" s="50"/>
      <c r="AY99" s="85"/>
      <c r="AZ99" s="85"/>
      <c r="BA99" s="53"/>
      <c r="CE99" s="206"/>
      <c r="CF99" s="298"/>
      <c r="CG99" s="298"/>
      <c r="CH99" s="298"/>
      <c r="CI99" s="299"/>
      <c r="CJ99" s="299"/>
      <c r="CK99" s="299"/>
      <c r="CL99" s="299"/>
      <c r="CM99" s="299"/>
      <c r="CN99" s="299"/>
      <c r="CO99" s="299"/>
      <c r="CP99" s="299"/>
      <c r="CS99" s="601" t="str">
        <f ca="1"/>
        <v/>
      </c>
      <c r="CT99" s="600" t="str">
        <f ca="1"/>
        <v/>
      </c>
      <c r="CU99" s="600" t="str">
        <f ca="1"/>
        <v/>
      </c>
      <c r="CV99" s="600" t="str">
        <f ca="1"/>
        <v/>
      </c>
      <c r="DJ99" s="206"/>
      <c r="DK99" s="206"/>
      <c r="DL99" s="206"/>
      <c r="DM99" s="206"/>
      <c r="DN99" s="206"/>
      <c r="DO99" s="206"/>
      <c r="DP99" s="206"/>
    </row>
    <row r="100" spans="6:120" x14ac:dyDescent="0.25">
      <c r="Q100" s="50"/>
      <c r="T100" s="53"/>
      <c r="AM100" s="75"/>
      <c r="AN100" s="76"/>
      <c r="AO100" s="76"/>
      <c r="AP100" s="77"/>
      <c r="AX100" s="75"/>
      <c r="AY100" s="76"/>
      <c r="AZ100" s="76"/>
      <c r="BA100" s="77"/>
      <c r="CE100" s="206"/>
      <c r="CF100" s="206"/>
      <c r="CG100" s="206"/>
      <c r="CH100" s="206"/>
      <c r="CJ100" s="299"/>
      <c r="CK100" s="299"/>
      <c r="CL100" s="299"/>
      <c r="CM100" s="299"/>
      <c r="CN100" s="299"/>
      <c r="CO100" s="299"/>
      <c r="CP100" s="299"/>
      <c r="CS100" s="601" t="str">
        <f ca="1"/>
        <v/>
      </c>
      <c r="CT100" s="600" t="str">
        <f ca="1"/>
        <v/>
      </c>
      <c r="CU100" s="600" t="str">
        <f ca="1"/>
        <v/>
      </c>
      <c r="CV100" s="600" t="str">
        <f ca="1"/>
        <v/>
      </c>
      <c r="DJ100" s="206"/>
      <c r="DK100" s="206"/>
      <c r="DL100" s="206"/>
      <c r="DM100" s="206"/>
      <c r="DN100" s="206"/>
      <c r="DO100" s="206"/>
      <c r="DP100" s="206"/>
    </row>
    <row r="101" spans="6:120" x14ac:dyDescent="0.25">
      <c r="Q101" s="50"/>
      <c r="T101" s="53"/>
      <c r="CE101" s="206"/>
      <c r="CF101" s="206"/>
      <c r="CG101" s="206"/>
      <c r="CH101" s="206"/>
      <c r="CJ101" s="299"/>
      <c r="CK101" s="299"/>
      <c r="CL101" s="299"/>
      <c r="CM101" s="299"/>
      <c r="CN101" s="299"/>
      <c r="CO101" s="299"/>
      <c r="CP101" s="299"/>
      <c r="CS101" s="601" t="str">
        <f ca="1"/>
        <v/>
      </c>
      <c r="CT101" s="600" t="str">
        <f ca="1"/>
        <v/>
      </c>
      <c r="CU101" s="600" t="str">
        <f ca="1"/>
        <v/>
      </c>
      <c r="CV101" s="600" t="str">
        <f ca="1"/>
        <v/>
      </c>
      <c r="DJ101" s="206"/>
      <c r="DK101" s="206"/>
      <c r="DL101" s="206"/>
      <c r="DM101" s="206"/>
      <c r="DN101" s="206"/>
      <c r="DO101" s="206"/>
      <c r="DP101" s="206"/>
    </row>
    <row r="102" spans="6:120" x14ac:dyDescent="0.25">
      <c r="Q102" s="50"/>
      <c r="T102" s="53"/>
      <c r="CE102" s="206"/>
      <c r="CF102" s="206"/>
      <c r="CG102" s="206"/>
      <c r="CH102" s="206"/>
      <c r="CJ102" s="299"/>
      <c r="CK102" s="299"/>
      <c r="CL102" s="299"/>
      <c r="CM102" s="299"/>
      <c r="CN102" s="299"/>
      <c r="CO102" s="299"/>
      <c r="CP102" s="299"/>
      <c r="CS102" s="601" t="str">
        <f ca="1"/>
        <v/>
      </c>
      <c r="CT102" s="600" t="str">
        <f ca="1"/>
        <v/>
      </c>
      <c r="CU102" s="600" t="str">
        <f ca="1"/>
        <v/>
      </c>
      <c r="CV102" s="600" t="str">
        <f ca="1"/>
        <v/>
      </c>
      <c r="DJ102" s="206"/>
      <c r="DK102" s="206"/>
      <c r="DL102" s="206"/>
      <c r="DM102" s="206"/>
      <c r="DN102" s="206"/>
      <c r="DO102" s="206"/>
      <c r="DP102" s="206"/>
    </row>
    <row r="103" spans="6:120" x14ac:dyDescent="0.25">
      <c r="Q103" s="50"/>
      <c r="T103" s="53"/>
      <c r="CE103" s="206"/>
      <c r="CF103" s="206"/>
      <c r="CG103" s="206"/>
      <c r="CH103" s="206"/>
      <c r="CJ103" s="299"/>
      <c r="CK103" s="299"/>
      <c r="CL103" s="299"/>
      <c r="CM103" s="299"/>
      <c r="CN103" s="299"/>
      <c r="CO103" s="299"/>
      <c r="CP103" s="299"/>
      <c r="CS103" s="601" t="str">
        <f ca="1"/>
        <v/>
      </c>
      <c r="CT103" s="600" t="str">
        <f ca="1"/>
        <v/>
      </c>
      <c r="CU103" s="600" t="str">
        <f ca="1"/>
        <v/>
      </c>
      <c r="CV103" s="600" t="str">
        <f ca="1"/>
        <v/>
      </c>
      <c r="DJ103" s="206"/>
      <c r="DK103" s="206"/>
      <c r="DL103" s="206"/>
      <c r="DM103" s="206"/>
      <c r="DN103" s="206"/>
      <c r="DO103" s="206"/>
      <c r="DP103" s="206"/>
    </row>
    <row r="104" spans="6:120" x14ac:dyDescent="0.25">
      <c r="Q104" s="50"/>
      <c r="T104" s="53"/>
      <c r="CE104" s="206"/>
      <c r="CF104" s="206"/>
      <c r="CG104" s="206"/>
      <c r="CH104" s="206"/>
      <c r="CJ104" s="299"/>
      <c r="CK104" s="299"/>
      <c r="CL104" s="299"/>
      <c r="CM104" s="299"/>
      <c r="CN104" s="299"/>
      <c r="CO104" s="299"/>
      <c r="CP104" s="299"/>
      <c r="DJ104" s="206"/>
      <c r="DK104" s="206"/>
      <c r="DL104" s="206"/>
      <c r="DM104" s="206"/>
      <c r="DN104" s="206"/>
      <c r="DO104" s="206"/>
      <c r="DP104" s="206"/>
    </row>
    <row r="105" spans="6:120" x14ac:dyDescent="0.25">
      <c r="Q105" s="50"/>
      <c r="T105" s="53"/>
      <c r="CE105" s="206"/>
      <c r="CF105" s="206"/>
      <c r="CG105" s="206"/>
      <c r="CH105" s="206"/>
      <c r="CJ105" s="299"/>
      <c r="CK105" s="299"/>
      <c r="CL105" s="299"/>
      <c r="CM105" s="299"/>
      <c r="CN105" s="299"/>
      <c r="CO105" s="299"/>
      <c r="CP105" s="299"/>
      <c r="DJ105" s="206"/>
      <c r="DK105" s="206"/>
      <c r="DL105" s="206"/>
      <c r="DM105" s="206"/>
      <c r="DN105" s="206"/>
      <c r="DO105" s="206"/>
      <c r="DP105" s="206"/>
    </row>
    <row r="106" spans="6:120" x14ac:dyDescent="0.25">
      <c r="Q106" s="50"/>
      <c r="T106" s="53"/>
      <c r="CE106" s="206"/>
      <c r="CF106" s="206"/>
      <c r="CG106" s="206"/>
      <c r="CH106" s="206"/>
      <c r="CJ106" s="299"/>
      <c r="CK106" s="299"/>
      <c r="CL106" s="299"/>
      <c r="CM106" s="299"/>
      <c r="CN106" s="299"/>
      <c r="CO106" s="299"/>
      <c r="CP106" s="299"/>
      <c r="DJ106" s="206"/>
      <c r="DK106" s="206"/>
      <c r="DL106" s="206"/>
      <c r="DM106" s="206"/>
      <c r="DN106" s="206"/>
      <c r="DO106" s="206"/>
      <c r="DP106" s="206"/>
    </row>
    <row r="107" spans="6:120" x14ac:dyDescent="0.25">
      <c r="Q107" s="50"/>
      <c r="T107" s="53"/>
      <c r="CE107" s="206"/>
      <c r="CF107" s="206"/>
      <c r="CG107" s="206"/>
      <c r="CH107" s="206"/>
      <c r="CJ107" s="299"/>
      <c r="CK107" s="299"/>
      <c r="CL107" s="299"/>
      <c r="CM107" s="299"/>
      <c r="CN107" s="299"/>
      <c r="CO107" s="299"/>
      <c r="CP107" s="299"/>
      <c r="DJ107" s="206"/>
      <c r="DK107" s="206"/>
      <c r="DL107" s="206"/>
      <c r="DM107" s="206"/>
      <c r="DN107" s="206"/>
      <c r="DO107" s="206"/>
      <c r="DP107" s="206"/>
    </row>
    <row r="108" spans="6:120" x14ac:dyDescent="0.25">
      <c r="Q108" s="50"/>
      <c r="T108" s="53"/>
      <c r="CE108" s="206"/>
      <c r="CF108" s="206"/>
      <c r="CG108" s="206"/>
      <c r="CH108" s="206"/>
      <c r="CJ108" s="299"/>
      <c r="CK108" s="299"/>
      <c r="CL108" s="299"/>
      <c r="CM108" s="299"/>
      <c r="CN108" s="299"/>
      <c r="CO108" s="299"/>
      <c r="CP108" s="299"/>
      <c r="DJ108" s="206"/>
      <c r="DK108" s="206"/>
      <c r="DL108" s="206"/>
      <c r="DM108" s="206"/>
      <c r="DN108" s="206"/>
      <c r="DO108" s="206"/>
      <c r="DP108" s="206"/>
    </row>
    <row r="109" spans="6:120" x14ac:dyDescent="0.25">
      <c r="Q109" s="50"/>
      <c r="T109" s="53"/>
      <c r="CE109" s="206"/>
      <c r="CF109" s="206"/>
      <c r="CG109" s="206"/>
      <c r="CH109" s="206"/>
      <c r="CJ109" s="299"/>
      <c r="CK109" s="299"/>
      <c r="CL109" s="299"/>
      <c r="CM109" s="299"/>
      <c r="CN109" s="299"/>
      <c r="CO109" s="299"/>
      <c r="CP109" s="299"/>
      <c r="DJ109" s="206"/>
      <c r="DK109" s="206"/>
      <c r="DL109" s="206"/>
      <c r="DM109" s="206"/>
      <c r="DN109" s="206"/>
      <c r="DO109" s="206"/>
      <c r="DP109" s="206"/>
    </row>
    <row r="110" spans="6:120" x14ac:dyDescent="0.25">
      <c r="Q110" s="50"/>
      <c r="T110" s="53"/>
      <c r="CE110" s="206"/>
      <c r="CF110" s="206"/>
      <c r="CG110" s="206"/>
      <c r="CH110" s="206"/>
      <c r="CJ110" s="299"/>
      <c r="CK110" s="299"/>
      <c r="CL110" s="299"/>
      <c r="CM110" s="299"/>
      <c r="CN110" s="299"/>
      <c r="CO110" s="299"/>
      <c r="CP110" s="299"/>
      <c r="DJ110" s="206"/>
      <c r="DK110" s="206"/>
      <c r="DL110" s="206"/>
      <c r="DM110" s="206"/>
      <c r="DN110" s="206"/>
      <c r="DO110" s="206"/>
      <c r="DP110" s="206"/>
    </row>
    <row r="111" spans="6:120" x14ac:dyDescent="0.25">
      <c r="Q111" s="50"/>
      <c r="T111" s="53"/>
      <c r="CE111" s="206"/>
      <c r="CF111" s="206"/>
      <c r="CG111" s="206"/>
      <c r="CH111" s="206"/>
      <c r="CJ111" s="299"/>
      <c r="CK111" s="299"/>
      <c r="CL111" s="299"/>
      <c r="CM111" s="299"/>
      <c r="CN111" s="299"/>
      <c r="CO111" s="299"/>
      <c r="CP111" s="299"/>
      <c r="DJ111" s="206"/>
      <c r="DK111" s="206"/>
      <c r="DL111" s="206"/>
      <c r="DM111" s="206"/>
      <c r="DN111" s="206"/>
      <c r="DO111" s="206"/>
      <c r="DP111" s="206"/>
    </row>
    <row r="112" spans="6:120" x14ac:dyDescent="0.25">
      <c r="Q112" s="50"/>
      <c r="T112" s="53"/>
      <c r="CE112" s="206"/>
      <c r="CF112" s="206"/>
      <c r="CG112" s="206"/>
      <c r="CH112" s="206"/>
      <c r="CJ112" s="299"/>
      <c r="CK112" s="299"/>
      <c r="CL112" s="299"/>
      <c r="CM112" s="299"/>
      <c r="CN112" s="299"/>
      <c r="CO112" s="299"/>
      <c r="CP112" s="299"/>
      <c r="DJ112" s="206"/>
      <c r="DK112" s="206"/>
      <c r="DL112" s="206"/>
      <c r="DM112" s="206"/>
      <c r="DN112" s="206"/>
      <c r="DO112" s="206"/>
      <c r="DP112" s="206"/>
    </row>
    <row r="113" spans="17:120" x14ac:dyDescent="0.25">
      <c r="Q113" s="50"/>
      <c r="T113" s="53"/>
      <c r="CE113" s="206"/>
      <c r="CF113" s="206"/>
      <c r="CG113" s="206"/>
      <c r="CH113" s="206"/>
      <c r="CJ113" s="299"/>
      <c r="CK113" s="299"/>
      <c r="CL113" s="299"/>
      <c r="CM113" s="299"/>
      <c r="CN113" s="299"/>
      <c r="CO113" s="299"/>
      <c r="CP113" s="299"/>
      <c r="DJ113" s="206"/>
      <c r="DK113" s="206"/>
      <c r="DL113" s="206"/>
      <c r="DM113" s="206"/>
      <c r="DN113" s="206"/>
      <c r="DO113" s="206"/>
      <c r="DP113" s="206"/>
    </row>
    <row r="114" spans="17:120" x14ac:dyDescent="0.25">
      <c r="Q114" s="50"/>
      <c r="T114" s="53"/>
      <c r="CE114" s="206"/>
      <c r="CF114" s="206"/>
      <c r="CG114" s="206"/>
      <c r="CH114" s="206"/>
      <c r="CJ114" s="299"/>
      <c r="CK114" s="299"/>
      <c r="CL114" s="299"/>
      <c r="CM114" s="299"/>
      <c r="CN114" s="299"/>
      <c r="CO114" s="299"/>
      <c r="CP114" s="299"/>
      <c r="DJ114" s="206"/>
      <c r="DK114" s="206"/>
      <c r="DL114" s="206"/>
      <c r="DM114" s="206"/>
      <c r="DN114" s="206"/>
      <c r="DO114" s="206"/>
      <c r="DP114" s="206"/>
    </row>
    <row r="115" spans="17:120" x14ac:dyDescent="0.25">
      <c r="Q115" s="50"/>
      <c r="T115" s="53"/>
      <c r="CE115" s="206"/>
      <c r="CF115" s="206"/>
      <c r="CG115" s="206"/>
      <c r="CH115" s="206"/>
      <c r="CJ115" s="299"/>
      <c r="CK115" s="299"/>
      <c r="CL115" s="299"/>
      <c r="CM115" s="299"/>
      <c r="CN115" s="299"/>
      <c r="CO115" s="299"/>
      <c r="CP115" s="299"/>
      <c r="DJ115" s="206"/>
      <c r="DK115" s="206"/>
      <c r="DL115" s="206"/>
      <c r="DM115" s="206"/>
      <c r="DN115" s="206"/>
      <c r="DO115" s="206"/>
      <c r="DP115" s="206"/>
    </row>
    <row r="116" spans="17:120" x14ac:dyDescent="0.25">
      <c r="Q116" s="50"/>
      <c r="T116" s="53"/>
      <c r="CE116" s="206"/>
      <c r="CF116" s="206"/>
      <c r="CG116" s="206"/>
      <c r="CH116" s="206"/>
      <c r="CJ116" s="299"/>
      <c r="CK116" s="299"/>
      <c r="CL116" s="299"/>
      <c r="CM116" s="299"/>
      <c r="CN116" s="299"/>
      <c r="CO116" s="299"/>
      <c r="CP116" s="299"/>
      <c r="DJ116" s="206"/>
      <c r="DK116" s="206"/>
      <c r="DL116" s="206"/>
      <c r="DM116" s="206"/>
      <c r="DN116" s="206"/>
      <c r="DO116" s="206"/>
      <c r="DP116" s="206"/>
    </row>
    <row r="117" spans="17:120" x14ac:dyDescent="0.25">
      <c r="Q117" s="50"/>
      <c r="T117" s="53"/>
      <c r="CE117" s="206"/>
      <c r="CF117" s="206"/>
      <c r="CG117" s="206"/>
      <c r="CH117" s="206"/>
      <c r="CJ117" s="299"/>
      <c r="CK117" s="299"/>
      <c r="CL117" s="299"/>
      <c r="CM117" s="299"/>
      <c r="CN117" s="299"/>
      <c r="CO117" s="299"/>
      <c r="CP117" s="299"/>
      <c r="DJ117" s="206"/>
      <c r="DK117" s="206"/>
      <c r="DL117" s="206"/>
      <c r="DM117" s="206"/>
      <c r="DN117" s="206"/>
      <c r="DO117" s="206"/>
      <c r="DP117" s="206"/>
    </row>
    <row r="118" spans="17:120" x14ac:dyDescent="0.25">
      <c r="Q118" s="75"/>
      <c r="T118" s="77"/>
      <c r="CE118" s="206"/>
      <c r="CF118" s="206"/>
      <c r="CG118" s="206"/>
      <c r="CH118" s="206"/>
      <c r="CJ118" s="299"/>
      <c r="CK118" s="299"/>
      <c r="CL118" s="299"/>
      <c r="CM118" s="299"/>
      <c r="CN118" s="299"/>
      <c r="CO118" s="299"/>
      <c r="CP118" s="299"/>
      <c r="DJ118" s="206"/>
      <c r="DK118" s="206"/>
      <c r="DL118" s="206"/>
      <c r="DM118" s="206"/>
      <c r="DN118" s="206"/>
      <c r="DO118" s="206"/>
      <c r="DP118" s="206"/>
    </row>
    <row r="119" spans="17:120" x14ac:dyDescent="0.25">
      <c r="CE119" s="206"/>
      <c r="CF119" s="206"/>
      <c r="CG119" s="206"/>
      <c r="CH119" s="206"/>
      <c r="CJ119" s="299"/>
      <c r="CK119" s="299"/>
      <c r="CL119" s="299"/>
      <c r="CM119" s="299"/>
      <c r="CN119" s="299"/>
      <c r="CO119" s="299"/>
      <c r="CP119" s="299"/>
      <c r="DJ119" s="206"/>
      <c r="DK119" s="206"/>
      <c r="DL119" s="206"/>
      <c r="DM119" s="206"/>
      <c r="DN119" s="206"/>
      <c r="DO119" s="206"/>
      <c r="DP119" s="206"/>
    </row>
    <row r="120" spans="17:120" x14ac:dyDescent="0.25">
      <c r="CE120" s="206"/>
      <c r="CF120" s="206"/>
      <c r="CG120" s="206"/>
      <c r="CH120" s="206"/>
      <c r="CJ120" s="299"/>
      <c r="CK120" s="299"/>
      <c r="CL120" s="299"/>
      <c r="CM120" s="299"/>
      <c r="CN120" s="299"/>
      <c r="CO120" s="299"/>
      <c r="CP120" s="299"/>
      <c r="DJ120" s="206"/>
      <c r="DK120" s="206"/>
      <c r="DL120" s="206"/>
      <c r="DM120" s="206"/>
      <c r="DN120" s="206"/>
      <c r="DO120" s="206"/>
      <c r="DP120" s="206"/>
    </row>
    <row r="121" spans="17:120" x14ac:dyDescent="0.25">
      <c r="CE121" s="206"/>
      <c r="CF121" s="206"/>
      <c r="CG121" s="206"/>
      <c r="CH121" s="206"/>
      <c r="CJ121" s="299"/>
      <c r="CK121" s="299"/>
      <c r="CL121" s="299"/>
      <c r="CM121" s="299"/>
      <c r="CN121" s="299"/>
      <c r="CO121" s="299"/>
      <c r="CP121" s="299"/>
      <c r="DJ121" s="206"/>
      <c r="DK121" s="206"/>
      <c r="DL121" s="206"/>
      <c r="DM121" s="206"/>
      <c r="DN121" s="206"/>
      <c r="DO121" s="206"/>
      <c r="DP121" s="206"/>
    </row>
    <row r="122" spans="17:120" x14ac:dyDescent="0.25">
      <c r="CE122" s="206"/>
      <c r="CF122" s="206"/>
      <c r="CG122" s="206"/>
      <c r="CH122" s="206"/>
      <c r="CJ122" s="299"/>
      <c r="CK122" s="299"/>
      <c r="CL122" s="299"/>
      <c r="CM122" s="299"/>
      <c r="CN122" s="299"/>
      <c r="CO122" s="299"/>
      <c r="CP122" s="299"/>
      <c r="DJ122" s="206"/>
      <c r="DK122" s="206"/>
      <c r="DL122" s="206"/>
      <c r="DM122" s="206"/>
      <c r="DN122" s="206"/>
      <c r="DO122" s="206"/>
      <c r="DP122" s="206"/>
    </row>
    <row r="123" spans="17:120" x14ac:dyDescent="0.25">
      <c r="CE123" s="206"/>
      <c r="CF123" s="206"/>
      <c r="CG123" s="206"/>
      <c r="CH123" s="206"/>
      <c r="CJ123" s="299"/>
      <c r="CK123" s="299"/>
      <c r="CL123" s="299"/>
      <c r="CM123" s="299"/>
      <c r="CN123" s="299"/>
      <c r="CO123" s="299"/>
      <c r="CP123" s="299"/>
      <c r="DJ123" s="206"/>
      <c r="DK123" s="206"/>
      <c r="DL123" s="206"/>
      <c r="DM123" s="206"/>
      <c r="DN123" s="206"/>
      <c r="DO123" s="206"/>
      <c r="DP123" s="206"/>
    </row>
    <row r="124" spans="17:120" x14ac:dyDescent="0.25">
      <c r="CE124" s="206"/>
      <c r="CF124" s="206"/>
      <c r="CG124" s="206"/>
      <c r="CH124" s="206"/>
      <c r="CJ124" s="299"/>
      <c r="CK124" s="299"/>
      <c r="CL124" s="299"/>
      <c r="CM124" s="299"/>
      <c r="CN124" s="299"/>
      <c r="CO124" s="299"/>
      <c r="CP124" s="299"/>
      <c r="DJ124" s="206"/>
      <c r="DK124" s="206"/>
      <c r="DL124" s="206"/>
      <c r="DM124" s="206"/>
      <c r="DN124" s="206"/>
      <c r="DO124" s="206"/>
      <c r="DP124" s="206"/>
    </row>
    <row r="125" spans="17:120" x14ac:dyDescent="0.25">
      <c r="CE125" s="206"/>
      <c r="CF125" s="206"/>
      <c r="CG125" s="206"/>
      <c r="CH125" s="206"/>
      <c r="CJ125" s="298"/>
      <c r="CK125" s="298"/>
      <c r="CL125" s="298"/>
      <c r="CM125" s="298"/>
      <c r="CN125" s="298"/>
      <c r="CO125" s="298"/>
      <c r="CP125" s="298"/>
      <c r="DJ125" s="206"/>
      <c r="DK125" s="206"/>
      <c r="DL125" s="206"/>
      <c r="DM125" s="206"/>
      <c r="DN125" s="206"/>
      <c r="DO125" s="206"/>
      <c r="DP125" s="206"/>
    </row>
    <row r="126" spans="17:120" x14ac:dyDescent="0.25">
      <c r="CE126" s="206"/>
      <c r="CF126" s="206"/>
      <c r="CG126" s="206"/>
      <c r="CH126" s="206"/>
      <c r="CJ126" s="206"/>
      <c r="CK126" s="206"/>
      <c r="CL126" s="206"/>
      <c r="CM126" s="206"/>
      <c r="CN126" s="206"/>
      <c r="CO126" s="206"/>
      <c r="CP126" s="206"/>
      <c r="DJ126" s="206"/>
      <c r="DK126" s="206"/>
      <c r="DL126" s="206"/>
      <c r="DM126" s="206"/>
      <c r="DN126" s="206"/>
      <c r="DO126" s="206"/>
      <c r="DP126" s="206"/>
    </row>
    <row r="127" spans="17:120" x14ac:dyDescent="0.25">
      <c r="CE127" s="206"/>
      <c r="CF127" s="206"/>
      <c r="CG127" s="206"/>
      <c r="CH127" s="206"/>
      <c r="CJ127" s="206"/>
      <c r="CK127" s="206"/>
      <c r="CL127" s="206"/>
      <c r="CM127" s="206"/>
      <c r="CN127" s="206"/>
      <c r="CO127" s="206"/>
      <c r="CP127" s="206"/>
      <c r="DJ127" s="206"/>
      <c r="DK127" s="206"/>
      <c r="DL127" s="206"/>
      <c r="DM127" s="206"/>
      <c r="DN127" s="206"/>
      <c r="DO127" s="206"/>
      <c r="DP127" s="206"/>
    </row>
  </sheetData>
  <dataValidations count="2">
    <dataValidation type="list" allowBlank="1" showInputMessage="1" showErrorMessage="1" sqref="H6 S6 AO6 BK6 AZ6 BV6 AD6">
      <formula1>"TRUE,FALSE"</formula1>
    </dataValidation>
    <dataValidation type="list" allowBlank="1" showInputMessage="1" showErrorMessage="1" sqref="CG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CU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13.85546875" customWidth="1"/>
    <col min="23" max="24" width="10.7109375" customWidth="1"/>
    <col min="25" max="25" width="10.7109375" style="5" customWidth="1"/>
    <col min="26" max="26" width="10.7109375" customWidth="1"/>
    <col min="28" max="28" width="9.140625" hidden="1" customWidth="1" outlineLevel="1"/>
    <col min="29" max="29" width="30.7109375" hidden="1" customWidth="1" outlineLevel="1"/>
    <col min="30" max="30" width="40.7109375" style="209" hidden="1" customWidth="1" outlineLevel="1"/>
    <col min="31" max="31" width="9.140625" hidden="1" customWidth="1" outlineLevel="1"/>
    <col min="32" max="32" width="9.140625" collapsed="1"/>
    <col min="33" max="33" width="25.7109375" bestFit="1" customWidth="1"/>
    <col min="34" max="34" width="34" bestFit="1" customWidth="1"/>
    <col min="35" max="37" width="10.7109375" customWidth="1"/>
    <col min="39" max="39" width="9.140625" customWidth="1" outlineLevel="2"/>
    <col min="40" max="40" width="30.7109375" customWidth="1" outlineLevel="2"/>
    <col min="41" max="41" width="40.7109375" customWidth="1" outlineLevel="2"/>
    <col min="42" max="42" width="9.140625" customWidth="1" outlineLevel="2"/>
    <col min="43" max="43" width="11" customWidth="1" outlineLevel="2"/>
    <col min="44" max="44" width="14.28515625" customWidth="1" outlineLevel="2"/>
    <col min="45" max="48" width="10.7109375" customWidth="1" outlineLevel="2"/>
    <col min="50" max="50" width="9.140625" hidden="1" customWidth="1" outlineLevel="2"/>
    <col min="51" max="51" width="30.7109375" hidden="1" customWidth="1" outlineLevel="2"/>
    <col min="52" max="52" width="40.7109375" hidden="1" customWidth="1" outlineLevel="2"/>
    <col min="53" max="54" width="9.140625" hidden="1" customWidth="1" outlineLevel="2"/>
    <col min="55" max="55" width="14.28515625" hidden="1" customWidth="1" outlineLevel="2"/>
    <col min="56" max="56" width="11" hidden="1" customWidth="1" outlineLevel="2"/>
    <col min="57" max="59" width="10.7109375" hidden="1" customWidth="1" outlineLevel="2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14.42578125" customWidth="1"/>
    <col min="67" max="67" width="42.42578125" bestFit="1" customWidth="1"/>
    <col min="68" max="70" width="10.7109375" customWidth="1"/>
    <col min="72" max="72" width="9.140625" hidden="1" customWidth="1" outlineLevel="1"/>
    <col min="73" max="73" width="28.5703125" hidden="1" customWidth="1" outlineLevel="1"/>
    <col min="74" max="74" width="20.7109375" hidden="1" customWidth="1" outlineLevel="1"/>
    <col min="75" max="75" width="9.140625" hidden="1" customWidth="1" outlineLevel="1"/>
    <col min="76" max="76" width="9.140625" style="206" customWidth="1" collapsed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20.7109375" customWidth="1"/>
    <col min="82" max="82" width="42.85546875" customWidth="1" outlineLevel="1"/>
    <col min="83" max="85" width="20.7109375" customWidth="1" outlineLevel="1"/>
    <col min="86" max="86" width="9.140625" customWidth="1" outlineLevel="1"/>
    <col min="87" max="88" width="20.7109375" customWidth="1" outlineLevel="1"/>
    <col min="89" max="89" width="38.28515625" customWidth="1" outlineLevel="1"/>
    <col min="90" max="91" width="20.7109375" customWidth="1" outlineLevel="1"/>
    <col min="92" max="92" width="20.7109375" customWidth="1"/>
  </cols>
  <sheetData>
    <row r="1" spans="1:92" x14ac:dyDescent="0.25">
      <c r="A1" s="2" t="s">
        <v>147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G1" s="206"/>
      <c r="CH1" s="299"/>
      <c r="CM1" s="299"/>
      <c r="CN1" s="299"/>
    </row>
    <row r="2" spans="1:92" x14ac:dyDescent="0.25">
      <c r="F2" s="237" t="s">
        <v>712</v>
      </c>
      <c r="K2" s="2" t="str">
        <f>A1&amp;"_OIS"</f>
        <v>AED_OIS</v>
      </c>
      <c r="L2" s="5"/>
      <c r="M2" s="5"/>
      <c r="N2" s="5"/>
      <c r="O2" s="5"/>
      <c r="Q2" s="237"/>
      <c r="V2" s="2" t="str">
        <f>A1&amp;"_SWAP_3M"</f>
        <v>AED_SWAP_3M</v>
      </c>
      <c r="W2" s="5"/>
      <c r="X2" s="5"/>
      <c r="Z2" s="5"/>
      <c r="AB2" s="237"/>
      <c r="AG2" s="2" t="str">
        <f>A1&amp;"_BASIS_6M"</f>
        <v>AED_BASIS_6M</v>
      </c>
      <c r="AH2" s="5"/>
      <c r="AI2" s="5"/>
      <c r="AJ2" s="5"/>
      <c r="AK2" s="5"/>
      <c r="AR2" t="str">
        <f>A1&amp;"_BASIS_12M"</f>
        <v>AED_BASIS_12M</v>
      </c>
      <c r="BC2" t="str">
        <f>A1&amp;"_BASIS_1M"</f>
        <v>AED_BASIS_1M</v>
      </c>
      <c r="BN2" s="2" t="str">
        <f>A1&amp;"_XCCYBASIS"</f>
        <v>AED_XCCYBASIS</v>
      </c>
      <c r="BO2" s="5"/>
      <c r="BP2" s="5"/>
      <c r="BQ2" s="5"/>
      <c r="BR2" s="5"/>
      <c r="CG2" s="307"/>
      <c r="CH2" s="299"/>
      <c r="CM2" s="332"/>
      <c r="CN2" s="332"/>
    </row>
    <row r="3" spans="1:92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G3" s="286"/>
      <c r="CH3" s="299"/>
      <c r="CI3" s="45"/>
      <c r="CJ3" s="48"/>
      <c r="CK3" s="48"/>
      <c r="CL3" s="49"/>
      <c r="CM3" s="316"/>
      <c r="CN3" s="316"/>
    </row>
    <row r="4" spans="1:92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F4">
        <v>0</v>
      </c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G4" s="317"/>
      <c r="CH4" s="299"/>
      <c r="CI4" s="50"/>
      <c r="CJ4" s="81"/>
      <c r="CK4" s="228"/>
      <c r="CL4" s="53"/>
      <c r="CM4" s="316"/>
      <c r="CN4" s="316"/>
    </row>
    <row r="5" spans="1:92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1616</v>
      </c>
      <c r="CE5" s="228"/>
      <c r="CF5" s="53"/>
      <c r="CG5" s="322"/>
      <c r="CH5" s="299"/>
      <c r="CI5" s="50"/>
      <c r="CJ5" s="54" t="s">
        <v>1617</v>
      </c>
      <c r="CK5" s="228"/>
      <c r="CL5" s="53"/>
      <c r="CM5" s="316"/>
      <c r="CN5" s="316"/>
    </row>
    <row r="6" spans="1:92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0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G6" s="317"/>
      <c r="CH6" s="299"/>
      <c r="CI6" s="50"/>
      <c r="CJ6" s="51" t="s">
        <v>743</v>
      </c>
      <c r="CK6" s="210" t="b">
        <v>1</v>
      </c>
      <c r="CL6" s="53"/>
      <c r="CM6" s="316"/>
      <c r="CN6" s="316"/>
    </row>
    <row r="7" spans="1:92" x14ac:dyDescent="0.25">
      <c r="F7" s="50"/>
      <c r="G7" s="59" t="s">
        <v>711</v>
      </c>
      <c r="H7" s="211" t="str">
        <f>$A$1&amp;"_OIS"</f>
        <v>AED_OIS</v>
      </c>
      <c r="I7" s="53"/>
      <c r="K7" t="s">
        <v>298</v>
      </c>
      <c r="L7" s="358">
        <f>O7+N7/10000</f>
        <v>1.225E-3</v>
      </c>
      <c r="M7" s="5" t="b">
        <v>1</v>
      </c>
      <c r="N7" s="5">
        <f>$N$4</f>
        <v>0</v>
      </c>
      <c r="O7" s="368">
        <f>Z7</f>
        <v>1.225E-3</v>
      </c>
      <c r="Q7" s="50"/>
      <c r="R7" s="59" t="s">
        <v>711</v>
      </c>
      <c r="S7" s="211" t="str">
        <f>$A$1&amp;"_SWAP_"&amp;"3M"</f>
        <v>AED_SWAP_3M</v>
      </c>
      <c r="T7" s="53"/>
      <c r="V7" t="s">
        <v>298</v>
      </c>
      <c r="W7" s="367">
        <f t="shared" ref="W7:W24" si="0">Z7+Y7/10000</f>
        <v>1.225E-3</v>
      </c>
      <c r="X7" s="5" t="b">
        <v>0</v>
      </c>
      <c r="Y7" s="5">
        <f t="shared" ref="Y7:Y24" si="1">$Y$4</f>
        <v>0</v>
      </c>
      <c r="Z7" s="368">
        <f>AED_DATA!U7</f>
        <v>1.225E-3</v>
      </c>
      <c r="AA7" s="203"/>
      <c r="AB7" s="50"/>
      <c r="AC7" s="59" t="s">
        <v>711</v>
      </c>
      <c r="AD7" s="211" t="str">
        <f>$A$1&amp;"_BASIS_3M6M"</f>
        <v>AED_BASIS_3M6M</v>
      </c>
      <c r="AE7" s="53"/>
      <c r="AG7" t="s">
        <v>47</v>
      </c>
      <c r="AH7" s="358">
        <f>AK7+AJ7/10000</f>
        <v>1.4E-3</v>
      </c>
      <c r="AI7" s="5" t="b">
        <v>1</v>
      </c>
      <c r="AJ7" s="5">
        <f>$AJ$4</f>
        <v>0</v>
      </c>
      <c r="AK7" s="357">
        <f>AED_DATA!Z7</f>
        <v>1.4E-3</v>
      </c>
      <c r="AL7" s="207"/>
      <c r="AM7" s="50"/>
      <c r="AN7" s="59" t="s">
        <v>711</v>
      </c>
      <c r="AO7" s="211" t="str">
        <f>A1&amp;"_BASIS_3M12M"</f>
        <v>AED_BASIS_3M12M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AED_BASIS_1X3</v>
      </c>
      <c r="BA7" s="53"/>
      <c r="BC7" t="s">
        <v>298</v>
      </c>
      <c r="BD7" s="204">
        <f>BG7</f>
        <v>1.225E-5</v>
      </c>
      <c r="BE7" t="b">
        <v>1</v>
      </c>
      <c r="BG7" s="204">
        <f>AED_DATA!AE7</f>
        <v>1.225E-5</v>
      </c>
      <c r="BI7" s="50"/>
      <c r="BJ7" s="59" t="s">
        <v>711</v>
      </c>
      <c r="BK7" s="211" t="str">
        <f>$A$1&amp;"_XCCY"</f>
        <v>AED_XCCY</v>
      </c>
      <c r="BL7" s="53"/>
      <c r="BN7" t="s">
        <v>2</v>
      </c>
      <c r="BO7" s="5" t="str">
        <f>$A$1</f>
        <v>AED</v>
      </c>
      <c r="BP7" s="5">
        <f>FX!J2</f>
        <v>8.8129000000000008</v>
      </c>
      <c r="BQ7" s="5"/>
      <c r="BR7" s="357"/>
      <c r="BT7" s="50"/>
      <c r="BU7" s="270" t="s">
        <v>830</v>
      </c>
      <c r="BV7" s="271" t="str">
        <f>"FX_CURVE_"&amp;"USD"&amp;$A$1</f>
        <v>FX_CURVE_USDAED</v>
      </c>
      <c r="BW7" s="52"/>
      <c r="BX7" s="299"/>
      <c r="BY7" t="s">
        <v>836</v>
      </c>
      <c r="BZ7" s="296">
        <f>AED_DATA!AW7</f>
        <v>3.6728999999999998</v>
      </c>
      <c r="CA7" s="296">
        <f>AED_DATA!AX7</f>
        <v>3.673</v>
      </c>
      <c r="CC7" s="50"/>
      <c r="CD7" s="59" t="s">
        <v>711</v>
      </c>
      <c r="CE7" s="211" t="str">
        <f>$A$1&amp;"_EURCSA"</f>
        <v>AED_EURCSA</v>
      </c>
      <c r="CF7" s="53"/>
      <c r="CG7" s="317"/>
      <c r="CH7" s="299"/>
      <c r="CI7" s="50"/>
      <c r="CJ7" s="59" t="s">
        <v>711</v>
      </c>
      <c r="CK7" s="211" t="str">
        <f>$A$1&amp;"_JPYCSA"</f>
        <v>AED_JPYCSA</v>
      </c>
      <c r="CL7" s="53"/>
      <c r="CM7" s="316"/>
      <c r="CN7" s="316"/>
    </row>
    <row r="8" spans="1:92" x14ac:dyDescent="0.25">
      <c r="F8" s="50"/>
      <c r="G8" s="72" t="s">
        <v>670</v>
      </c>
      <c r="H8" s="35" t="str">
        <f>IF(H$6,_xll.meLWOCurveGeneratorCreate(H$7,"CURVEPROPERTIES",G12:H18,"OIS",G23:H37),"Disabled")</f>
        <v>AED_OIS@423:6</v>
      </c>
      <c r="I8" s="53" t="s">
        <v>424</v>
      </c>
      <c r="K8" t="s">
        <v>300</v>
      </c>
      <c r="L8" s="358">
        <f t="shared" ref="L8:L17" si="2">O8+N8/10000</f>
        <v>2.7518E-3</v>
      </c>
      <c r="M8" s="5" t="b">
        <v>1</v>
      </c>
      <c r="N8" s="5">
        <f t="shared" ref="N8:N17" si="3">$N$4</f>
        <v>0</v>
      </c>
      <c r="O8" s="368">
        <f>Z8</f>
        <v>2.7518E-3</v>
      </c>
      <c r="Q8" s="50"/>
      <c r="R8" s="72" t="s">
        <v>670</v>
      </c>
      <c r="S8" s="35" t="str">
        <f>IF(S$6,_xll.meLWOCurveGeneratorCreate(S$7,"CURVEPROPERTIES",R12:S25,"MONEYMARKET",R28:S30,"LIBORFIXINGS",R33:S37,"FRAS",R40:S45,"FUTURES",R48:S54,"SWAPS",R57:S70),"Disabled")</f>
        <v>AED_SWAP_3M@420:6</v>
      </c>
      <c r="T8" s="53" t="s">
        <v>424</v>
      </c>
      <c r="V8" t="s">
        <v>300</v>
      </c>
      <c r="W8" s="367">
        <f t="shared" si="0"/>
        <v>2.7518E-3</v>
      </c>
      <c r="X8" s="5" t="b">
        <v>0</v>
      </c>
      <c r="Y8" s="5">
        <f t="shared" si="1"/>
        <v>0</v>
      </c>
      <c r="Z8" s="368">
        <f>AED_DATA!U8</f>
        <v>2.7518E-3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AED_BASIS_3M6M@422:6</v>
      </c>
      <c r="AE8" s="53" t="s">
        <v>424</v>
      </c>
      <c r="AG8" t="s">
        <v>308</v>
      </c>
      <c r="AH8" s="358">
        <f t="shared" ref="AH8:AH13" si="4">AK8+AJ8/10000</f>
        <v>1.4E-3</v>
      </c>
      <c r="AI8" s="5" t="b">
        <v>1</v>
      </c>
      <c r="AJ8" s="5">
        <f t="shared" ref="AJ8:AJ13" si="5">$AJ$4</f>
        <v>0</v>
      </c>
      <c r="AK8" s="357">
        <f>AED_DATA!Z8</f>
        <v>1.4E-3</v>
      </c>
      <c r="AL8" s="207"/>
      <c r="AM8" s="50"/>
      <c r="AN8" s="72" t="s">
        <v>670</v>
      </c>
      <c r="AO8" s="35" t="str">
        <f>IF(AO$6,_xll.meLWOCurveGeneratorCreate(AO$7,AN11,AN12:AO21,AN26,AN27:AO68),"Disabled")</f>
        <v>AED_BASIS_3M12M@424:6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Disabled</v>
      </c>
      <c r="BA8" s="53" t="s">
        <v>424</v>
      </c>
      <c r="BC8" t="s">
        <v>300</v>
      </c>
      <c r="BD8" s="204">
        <f>BG8</f>
        <v>2.7518E-3</v>
      </c>
      <c r="BE8" t="b">
        <v>1</v>
      </c>
      <c r="BG8" s="204">
        <f>AED_DATA!AE8</f>
        <v>2.7518E-3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AED_XCCY@421:6</v>
      </c>
      <c r="BL8" s="53" t="s">
        <v>424</v>
      </c>
      <c r="BN8" t="s">
        <v>298</v>
      </c>
      <c r="BO8" s="362">
        <f>AED_DATA!AZ8</f>
        <v>0</v>
      </c>
      <c r="BP8" s="5" t="b">
        <v>1</v>
      </c>
      <c r="BQ8" s="5">
        <f>$BQ$4</f>
        <v>0</v>
      </c>
      <c r="BR8" s="362">
        <f>AED_DATA!AZ8</f>
        <v>0</v>
      </c>
      <c r="BT8" s="50"/>
      <c r="BU8" t="s">
        <v>670</v>
      </c>
      <c r="BV8" s="263" t="str">
        <f>IF(BV6,_xll.meLWOCurveGeneratorCreate(BV7,"CURVEPROPERTIES",BU12:BV15,"FXFWDS",BU20:BV25),"DISABLED")</f>
        <v>FX_CURVE_USDAED@425:6</v>
      </c>
      <c r="BW8" s="52"/>
      <c r="BX8" s="299"/>
      <c r="BY8" t="s">
        <v>298</v>
      </c>
      <c r="BZ8" s="297">
        <f>AED_DATA!AW8</f>
        <v>-0.2</v>
      </c>
      <c r="CA8" s="297">
        <f>AED_DATA!AX8</f>
        <v>0.2</v>
      </c>
      <c r="CC8" s="50"/>
      <c r="CD8" s="72" t="s">
        <v>670</v>
      </c>
      <c r="CE8" s="35" t="str">
        <f>IF(CE$6,_xll.meLWOCurveGeneratorCreate(CE$7,"CURVEPROPERTIES",CD12:CE20,"FWDFXCONST",CD27:CE31),"Disabled")</f>
        <v>AED_EURCSA@419:6</v>
      </c>
      <c r="CF8" s="53" t="s">
        <v>424</v>
      </c>
      <c r="CG8" s="317"/>
      <c r="CH8" s="303"/>
      <c r="CI8" s="50"/>
      <c r="CJ8" s="72" t="s">
        <v>670</v>
      </c>
      <c r="CK8" s="35" t="str">
        <f>IF(CK$6,_xll.meLWOCurveGeneratorCreate(CK$7,"CURVEPROPERTIES",CJ12:CK20,"FWDFXCONST",CJ27:CK31),"Disabled")</f>
        <v>AED_JPYCSA@418:6</v>
      </c>
      <c r="CL8" s="53" t="s">
        <v>424</v>
      </c>
      <c r="CM8" s="316"/>
      <c r="CN8" s="316"/>
    </row>
    <row r="9" spans="1:92" x14ac:dyDescent="0.25">
      <c r="F9" s="50"/>
      <c r="G9" s="289"/>
      <c r="H9" s="289"/>
      <c r="I9" s="53" t="s">
        <v>424</v>
      </c>
      <c r="K9" t="s">
        <v>49</v>
      </c>
      <c r="L9" s="358">
        <f t="shared" si="2"/>
        <v>3.6249999999999998E-3</v>
      </c>
      <c r="M9" s="5" t="b">
        <v>1</v>
      </c>
      <c r="N9" s="5">
        <f t="shared" si="3"/>
        <v>0</v>
      </c>
      <c r="O9" s="368">
        <f>Z9</f>
        <v>3.6249999999999998E-3</v>
      </c>
      <c r="Q9" s="50"/>
      <c r="R9" s="52"/>
      <c r="S9" s="52"/>
      <c r="T9" s="53"/>
      <c r="V9" t="s">
        <v>49</v>
      </c>
      <c r="W9" s="367">
        <f t="shared" si="0"/>
        <v>3.6249999999999998E-3</v>
      </c>
      <c r="X9" s="5" t="b">
        <v>1</v>
      </c>
      <c r="Y9" s="5">
        <f t="shared" si="1"/>
        <v>0</v>
      </c>
      <c r="Z9" s="368">
        <f>AED_DATA!U9</f>
        <v>3.6249999999999998E-3</v>
      </c>
      <c r="AA9" s="203"/>
      <c r="AB9" s="50"/>
      <c r="AC9" s="52"/>
      <c r="AD9" s="52"/>
      <c r="AE9" s="53"/>
      <c r="AG9" t="s">
        <v>316</v>
      </c>
      <c r="AH9" s="358">
        <f t="shared" si="4"/>
        <v>1.4E-3</v>
      </c>
      <c r="AI9" s="5" t="b">
        <v>1</v>
      </c>
      <c r="AJ9" s="5">
        <f t="shared" si="5"/>
        <v>0</v>
      </c>
      <c r="AK9" s="357">
        <f>AED_DATA!Z9</f>
        <v>1.4E-3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s="25" t="s">
        <v>47</v>
      </c>
      <c r="BD9" s="208">
        <f>BG9+BF9/10000</f>
        <v>1.5E-3</v>
      </c>
      <c r="BE9" t="b">
        <v>1</v>
      </c>
      <c r="BF9">
        <f>$BF$4</f>
        <v>0</v>
      </c>
      <c r="BG9" s="204">
        <f>AED_DATA!AE9</f>
        <v>1.5E-3</v>
      </c>
      <c r="BI9" s="50"/>
      <c r="BJ9" s="52"/>
      <c r="BK9" s="52"/>
      <c r="BL9" s="53"/>
      <c r="BN9" t="s">
        <v>506</v>
      </c>
      <c r="BO9" s="362">
        <f t="shared" ref="BO9:BO20" si="6">BR9+BQ9</f>
        <v>-0.3</v>
      </c>
      <c r="BP9" s="5" t="b">
        <v>1</v>
      </c>
      <c r="BQ9" s="5">
        <f t="shared" ref="BQ9:BQ22" si="7">$BQ$4</f>
        <v>0</v>
      </c>
      <c r="BR9" s="362">
        <f>AED_DATA!AZ9</f>
        <v>-0.3</v>
      </c>
      <c r="BT9" s="50"/>
      <c r="BU9" s="57"/>
      <c r="BV9" s="57"/>
      <c r="BW9" s="52"/>
      <c r="BX9" s="299"/>
      <c r="BY9" t="s">
        <v>506</v>
      </c>
      <c r="BZ9" s="297">
        <f>AED_DATA!AW9</f>
        <v>-0.5</v>
      </c>
      <c r="CA9" s="297">
        <f>AED_DATA!AX9</f>
        <v>-0.1</v>
      </c>
      <c r="CC9" s="50"/>
      <c r="CD9" s="52"/>
      <c r="CE9" s="52"/>
      <c r="CF9" s="53"/>
      <c r="CG9" s="317"/>
      <c r="CH9" s="299"/>
      <c r="CI9" s="50"/>
      <c r="CJ9" s="52"/>
      <c r="CK9" s="52"/>
      <c r="CL9" s="53"/>
      <c r="CM9" s="316"/>
      <c r="CN9" s="316"/>
    </row>
    <row r="10" spans="1:92" x14ac:dyDescent="0.25">
      <c r="F10" s="50"/>
      <c r="G10" s="289"/>
      <c r="H10" s="289"/>
      <c r="I10" s="53"/>
      <c r="K10" t="s">
        <v>47</v>
      </c>
      <c r="L10" s="358">
        <f t="shared" si="2"/>
        <v>5.6799999999999993E-3</v>
      </c>
      <c r="M10" s="5" t="b">
        <v>1</v>
      </c>
      <c r="N10" s="5">
        <f t="shared" si="3"/>
        <v>0</v>
      </c>
      <c r="O10" s="368">
        <f>Z17</f>
        <v>5.6799999999999993E-3</v>
      </c>
      <c r="Q10" s="50"/>
      <c r="R10" s="52"/>
      <c r="S10" s="52"/>
      <c r="T10" s="53"/>
      <c r="V10" t="s">
        <v>46</v>
      </c>
      <c r="W10" s="367">
        <f t="shared" si="0"/>
        <v>6.7694000000000001E-3</v>
      </c>
      <c r="X10" s="5" t="b">
        <v>0</v>
      </c>
      <c r="Y10" s="5">
        <f t="shared" si="1"/>
        <v>0</v>
      </c>
      <c r="Z10" s="368">
        <f>AED_DATA!U10</f>
        <v>6.7694000000000001E-3</v>
      </c>
      <c r="AA10" s="203"/>
      <c r="AB10" s="50"/>
      <c r="AC10" s="52"/>
      <c r="AD10" s="52"/>
      <c r="AE10" s="53"/>
      <c r="AG10" t="s">
        <v>324</v>
      </c>
      <c r="AH10" s="358">
        <f t="shared" si="4"/>
        <v>1.4E-3</v>
      </c>
      <c r="AI10" s="5" t="b">
        <v>1</v>
      </c>
      <c r="AJ10" s="5">
        <f t="shared" si="5"/>
        <v>0</v>
      </c>
      <c r="AK10" s="357">
        <f>AED_DATA!Z10</f>
        <v>1.4E-3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s="25" t="s">
        <v>308</v>
      </c>
      <c r="BD10" s="208">
        <f t="shared" ref="BD10:BD15" si="8">BG10+BF10/10000</f>
        <v>1.6000000000000001E-3</v>
      </c>
      <c r="BE10" t="b">
        <v>1</v>
      </c>
      <c r="BF10">
        <f t="shared" ref="BF10:BF15" si="9">$BF$4</f>
        <v>0</v>
      </c>
      <c r="BG10" s="204">
        <f>AED_DATA!AE10</f>
        <v>1.6000000000000001E-3</v>
      </c>
      <c r="BI10" s="50"/>
      <c r="BJ10" s="52"/>
      <c r="BK10" s="52"/>
      <c r="BL10" s="53"/>
      <c r="BN10" t="s">
        <v>305</v>
      </c>
      <c r="BO10" s="362">
        <f t="shared" si="6"/>
        <v>0.25</v>
      </c>
      <c r="BP10" s="5" t="b">
        <v>1</v>
      </c>
      <c r="BQ10" s="5">
        <f t="shared" si="7"/>
        <v>0</v>
      </c>
      <c r="BR10" s="362">
        <f>AED_DATA!AZ10</f>
        <v>0.25</v>
      </c>
      <c r="BT10" s="50"/>
      <c r="BU10" s="57"/>
      <c r="BV10" s="57"/>
      <c r="BW10" s="52"/>
      <c r="BX10" s="299"/>
      <c r="BY10" t="s">
        <v>305</v>
      </c>
      <c r="BZ10" s="297">
        <f>AED_DATA!AW10</f>
        <v>-0.25</v>
      </c>
      <c r="CA10" s="297">
        <f>AED_DATA!AX10</f>
        <v>0.75</v>
      </c>
      <c r="CC10" s="50"/>
      <c r="CD10" s="52"/>
      <c r="CE10" s="52"/>
      <c r="CF10" s="53"/>
      <c r="CG10" s="317"/>
      <c r="CH10" s="299"/>
      <c r="CI10" s="50"/>
      <c r="CJ10" s="52"/>
      <c r="CK10" s="52"/>
      <c r="CL10" s="53"/>
      <c r="CM10" s="316"/>
      <c r="CN10" s="316"/>
    </row>
    <row r="11" spans="1:92" x14ac:dyDescent="0.25">
      <c r="F11" s="50"/>
      <c r="G11" s="54" t="s">
        <v>671</v>
      </c>
      <c r="H11" s="52"/>
      <c r="I11" s="53"/>
      <c r="K11" t="s">
        <v>308</v>
      </c>
      <c r="L11" s="358">
        <f t="shared" si="2"/>
        <v>6.9599999999999992E-3</v>
      </c>
      <c r="M11" s="5" t="b">
        <v>1</v>
      </c>
      <c r="N11" s="5">
        <f t="shared" si="3"/>
        <v>0</v>
      </c>
      <c r="O11" s="368">
        <f t="shared" ref="O11:O17" si="10">Z18</f>
        <v>6.9599999999999992E-3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8.1536999999999998E-3</v>
      </c>
      <c r="X11" s="5" t="b">
        <v>0</v>
      </c>
      <c r="Y11" s="5">
        <f t="shared" si="1"/>
        <v>0</v>
      </c>
      <c r="Z11" s="368">
        <f>AED_DATA!U11</f>
        <v>8.1536999999999998E-3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1.6000000000000001E-3</v>
      </c>
      <c r="AI11" s="5" t="b">
        <v>1</v>
      </c>
      <c r="AJ11" s="5">
        <f t="shared" si="5"/>
        <v>0</v>
      </c>
      <c r="AK11" s="357">
        <f>AED_DATA!Z11</f>
        <v>1.6000000000000001E-3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s="25" t="s">
        <v>316</v>
      </c>
      <c r="BD11" s="208">
        <f t="shared" si="8"/>
        <v>1.6999999999999999E-3</v>
      </c>
      <c r="BE11" t="b">
        <v>1</v>
      </c>
      <c r="BF11">
        <f t="shared" si="9"/>
        <v>0</v>
      </c>
      <c r="BG11" s="204">
        <f>AED_DATA!AE11</f>
        <v>1.6999999999999999E-3</v>
      </c>
      <c r="BI11" s="50"/>
      <c r="BJ11" s="54" t="s">
        <v>671</v>
      </c>
      <c r="BK11" s="85"/>
      <c r="BL11" s="53"/>
      <c r="BN11" t="s">
        <v>300</v>
      </c>
      <c r="BO11" s="362">
        <f t="shared" si="6"/>
        <v>1</v>
      </c>
      <c r="BP11" s="5" t="b">
        <v>1</v>
      </c>
      <c r="BQ11" s="5">
        <f t="shared" si="7"/>
        <v>0</v>
      </c>
      <c r="BR11" s="362">
        <f>AED_DATA!AZ11</f>
        <v>1</v>
      </c>
      <c r="BT11" s="50"/>
      <c r="BU11" s="56" t="s">
        <v>671</v>
      </c>
      <c r="BV11" s="272" t="s">
        <v>825</v>
      </c>
      <c r="BW11" s="52"/>
      <c r="BX11" s="299"/>
      <c r="BY11" t="s">
        <v>300</v>
      </c>
      <c r="BZ11" s="297">
        <f>AED_DATA!AW11</f>
        <v>-1</v>
      </c>
      <c r="CA11" s="297">
        <f>AED_DATA!AX11</f>
        <v>3</v>
      </c>
      <c r="CC11" s="50"/>
      <c r="CD11" s="54" t="s">
        <v>671</v>
      </c>
      <c r="CE11" s="85"/>
      <c r="CF11" s="53"/>
      <c r="CG11" s="317"/>
      <c r="CH11" s="299"/>
      <c r="CI11" s="50"/>
      <c r="CJ11" s="54" t="s">
        <v>671</v>
      </c>
      <c r="CK11" s="85"/>
      <c r="CL11" s="53"/>
      <c r="CM11" s="316"/>
      <c r="CN11" s="316"/>
    </row>
    <row r="12" spans="1:92" x14ac:dyDescent="0.25">
      <c r="F12" s="50"/>
      <c r="G12" s="212" t="s">
        <v>435</v>
      </c>
      <c r="H12" s="213" t="s">
        <v>426</v>
      </c>
      <c r="I12" s="53"/>
      <c r="K12" t="s">
        <v>316</v>
      </c>
      <c r="L12" s="358">
        <f t="shared" si="2"/>
        <v>8.8800000000000007E-3</v>
      </c>
      <c r="M12" s="5" t="b">
        <v>1</v>
      </c>
      <c r="N12" s="5">
        <f t="shared" si="3"/>
        <v>0</v>
      </c>
      <c r="O12" s="368">
        <f t="shared" si="10"/>
        <v>8.8800000000000007E-3</v>
      </c>
      <c r="Q12" s="50"/>
      <c r="R12" s="220" t="s">
        <v>435</v>
      </c>
      <c r="S12" s="221" t="s">
        <v>463</v>
      </c>
      <c r="T12" s="53"/>
      <c r="V12" t="s">
        <v>494</v>
      </c>
      <c r="W12" s="367">
        <f t="shared" si="0"/>
        <v>4.1999999999999997E-3</v>
      </c>
      <c r="X12" s="5" t="b">
        <v>1</v>
      </c>
      <c r="Y12" s="5">
        <f t="shared" si="1"/>
        <v>0</v>
      </c>
      <c r="Z12" s="368">
        <f>AED_DATA!U12</f>
        <v>4.1999999999999997E-3</v>
      </c>
      <c r="AA12" s="203"/>
      <c r="AB12" s="50"/>
      <c r="AC12" s="220" t="s">
        <v>434</v>
      </c>
      <c r="AD12" s="238" t="str">
        <f>$A$1</f>
        <v>AED</v>
      </c>
      <c r="AE12" s="53"/>
      <c r="AG12" t="s">
        <v>342</v>
      </c>
      <c r="AH12" s="358">
        <f t="shared" si="4"/>
        <v>1.6000000000000001E-3</v>
      </c>
      <c r="AI12" s="5" t="b">
        <v>1</v>
      </c>
      <c r="AJ12" s="5">
        <f t="shared" si="5"/>
        <v>0</v>
      </c>
      <c r="AK12" s="357">
        <f>AED_DATA!Z12</f>
        <v>1.6000000000000001E-3</v>
      </c>
      <c r="AL12" s="207"/>
      <c r="AM12" s="50"/>
      <c r="AN12" s="220" t="s">
        <v>434</v>
      </c>
      <c r="AO12" s="238" t="str">
        <f>$A$1</f>
        <v>AED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AED</v>
      </c>
      <c r="BA12" s="53"/>
      <c r="BC12" s="25" t="s">
        <v>324</v>
      </c>
      <c r="BD12" s="208">
        <f t="shared" si="8"/>
        <v>1.8E-3</v>
      </c>
      <c r="BE12" t="b">
        <v>1</v>
      </c>
      <c r="BF12">
        <f t="shared" si="9"/>
        <v>0</v>
      </c>
      <c r="BG12" s="204">
        <f>AED_DATA!AE12</f>
        <v>1.8E-3</v>
      </c>
      <c r="BI12" s="50"/>
      <c r="BJ12" s="220" t="s">
        <v>435</v>
      </c>
      <c r="BK12" s="238" t="s">
        <v>669</v>
      </c>
      <c r="BL12" s="53"/>
      <c r="BN12" t="s">
        <v>335</v>
      </c>
      <c r="BO12" s="362">
        <f t="shared" si="6"/>
        <v>2.5</v>
      </c>
      <c r="BP12" s="5" t="b">
        <v>1</v>
      </c>
      <c r="BQ12" s="5">
        <f t="shared" si="7"/>
        <v>0</v>
      </c>
      <c r="BR12" s="362">
        <f>AED_DATA!AZ12</f>
        <v>2.5</v>
      </c>
      <c r="BT12" s="50"/>
      <c r="BU12" s="238" t="s">
        <v>434</v>
      </c>
      <c r="BV12" s="238" t="s">
        <v>950</v>
      </c>
      <c r="BW12" s="52"/>
      <c r="BX12" s="299"/>
      <c r="BY12" t="s">
        <v>335</v>
      </c>
      <c r="BZ12" s="297">
        <f>AED_DATA!AW12</f>
        <v>0.5</v>
      </c>
      <c r="CA12" s="297">
        <f>AED_DATA!AX12</f>
        <v>4.5</v>
      </c>
      <c r="CC12" s="50"/>
      <c r="CD12" s="220" t="s">
        <v>435</v>
      </c>
      <c r="CE12" s="238" t="s">
        <v>1084</v>
      </c>
      <c r="CF12" s="53"/>
      <c r="CG12" s="317"/>
      <c r="CH12" s="303"/>
      <c r="CI12" s="50"/>
      <c r="CJ12" s="220" t="s">
        <v>435</v>
      </c>
      <c r="CK12" s="238" t="s">
        <v>1084</v>
      </c>
      <c r="CL12" s="53"/>
      <c r="CM12" s="316"/>
      <c r="CN12" s="316"/>
    </row>
    <row r="13" spans="1:92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324</v>
      </c>
      <c r="L13" s="358">
        <f t="shared" si="2"/>
        <v>1.0329999999999999E-2</v>
      </c>
      <c r="M13" s="5" t="b">
        <v>1</v>
      </c>
      <c r="N13" s="5">
        <f t="shared" si="3"/>
        <v>0</v>
      </c>
      <c r="O13" s="368">
        <f t="shared" si="10"/>
        <v>1.0329999999999999E-2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495</v>
      </c>
      <c r="W13" s="367">
        <f t="shared" si="0"/>
        <v>5.1999999999999998E-3</v>
      </c>
      <c r="X13" s="5" t="b">
        <v>1</v>
      </c>
      <c r="Y13" s="5">
        <f t="shared" si="1"/>
        <v>0</v>
      </c>
      <c r="Z13" s="368">
        <f>AED_DATA!U13</f>
        <v>5.1999999999999998E-3</v>
      </c>
      <c r="AA13" s="203"/>
      <c r="AB13" s="50"/>
      <c r="AC13" s="222" t="s">
        <v>435</v>
      </c>
      <c r="AD13" s="216" t="s">
        <v>468</v>
      </c>
      <c r="AE13" s="53"/>
      <c r="AG13" t="s">
        <v>349</v>
      </c>
      <c r="AH13" s="358">
        <f t="shared" si="4"/>
        <v>1.6000000000000001E-3</v>
      </c>
      <c r="AI13" s="5" t="b">
        <v>1</v>
      </c>
      <c r="AJ13" s="5">
        <f t="shared" si="5"/>
        <v>0</v>
      </c>
      <c r="AK13" s="357">
        <f>AED_DATA!Z13</f>
        <v>1.6000000000000001E-3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s="25" t="s">
        <v>331</v>
      </c>
      <c r="BD13" s="208">
        <f t="shared" si="8"/>
        <v>1.9E-3</v>
      </c>
      <c r="BE13" t="b">
        <v>1</v>
      </c>
      <c r="BF13">
        <f t="shared" si="9"/>
        <v>0</v>
      </c>
      <c r="BG13" s="204">
        <f>AED_DATA!AE13</f>
        <v>1.9E-3</v>
      </c>
      <c r="BI13" s="50"/>
      <c r="BJ13" s="222" t="s">
        <v>438</v>
      </c>
      <c r="BK13" s="216" t="s">
        <v>458</v>
      </c>
      <c r="BL13" s="53"/>
      <c r="BN13" t="s">
        <v>49</v>
      </c>
      <c r="BO13" s="362">
        <f t="shared" si="6"/>
        <v>5</v>
      </c>
      <c r="BP13" s="5" t="b">
        <v>1</v>
      </c>
      <c r="BQ13" s="5">
        <f t="shared" si="7"/>
        <v>0</v>
      </c>
      <c r="BR13" s="362">
        <f>AED_DATA!AZ13</f>
        <v>5</v>
      </c>
      <c r="BT13" s="50"/>
      <c r="BU13" s="216" t="s">
        <v>724</v>
      </c>
      <c r="BV13" s="216" t="s">
        <v>1587</v>
      </c>
      <c r="BW13" s="52"/>
      <c r="BX13" s="299"/>
      <c r="BY13" t="s">
        <v>49</v>
      </c>
      <c r="BZ13" s="297">
        <f>AED_DATA!AW13</f>
        <v>2</v>
      </c>
      <c r="CA13" s="297">
        <f>AED_DATA!AX13</f>
        <v>8</v>
      </c>
      <c r="CC13" s="50"/>
      <c r="CD13" s="222" t="s">
        <v>438</v>
      </c>
      <c r="CE13" s="216" t="s">
        <v>439</v>
      </c>
      <c r="CF13" s="53"/>
      <c r="CG13" s="317"/>
      <c r="CH13" s="313"/>
      <c r="CI13" s="50"/>
      <c r="CJ13" s="222" t="s">
        <v>438</v>
      </c>
      <c r="CK13" s="216" t="s">
        <v>439</v>
      </c>
      <c r="CL13" s="53"/>
      <c r="CM13" s="316"/>
      <c r="CN13" s="316"/>
    </row>
    <row r="14" spans="1:92" x14ac:dyDescent="0.25">
      <c r="F14" s="50"/>
      <c r="G14" s="214" t="s">
        <v>672</v>
      </c>
      <c r="H14" s="215" t="s">
        <v>426</v>
      </c>
      <c r="I14" s="53"/>
      <c r="K14" t="s">
        <v>331</v>
      </c>
      <c r="L14" s="358">
        <f t="shared" si="2"/>
        <v>1.1890000000000001E-2</v>
      </c>
      <c r="M14" s="5" t="b">
        <v>1</v>
      </c>
      <c r="N14" s="5">
        <f t="shared" si="3"/>
        <v>0</v>
      </c>
      <c r="O14" s="368">
        <f t="shared" si="10"/>
        <v>1.1890000000000001E-2</v>
      </c>
      <c r="Q14" s="50"/>
      <c r="R14" s="222" t="s">
        <v>672</v>
      </c>
      <c r="S14" s="223" t="s">
        <v>714</v>
      </c>
      <c r="T14" s="53"/>
      <c r="V14" t="s">
        <v>496</v>
      </c>
      <c r="W14" s="367">
        <f t="shared" si="0"/>
        <v>6.1999999999999998E-3</v>
      </c>
      <c r="X14" s="5" t="b">
        <v>1</v>
      </c>
      <c r="Y14" s="5">
        <f t="shared" si="1"/>
        <v>0</v>
      </c>
      <c r="Z14" s="368">
        <f>AED_DATA!U14</f>
        <v>6.1999999999999998E-3</v>
      </c>
      <c r="AA14" s="203"/>
      <c r="AB14" s="50"/>
      <c r="AC14" s="222" t="s">
        <v>438</v>
      </c>
      <c r="AD14" s="216" t="s">
        <v>459</v>
      </c>
      <c r="AE14" s="53"/>
      <c r="AH14" s="358"/>
      <c r="AI14" s="5"/>
      <c r="AJ14" s="5"/>
      <c r="AK14" s="357"/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s="25" t="s">
        <v>342</v>
      </c>
      <c r="BD14" s="208">
        <f t="shared" si="8"/>
        <v>1.9E-3</v>
      </c>
      <c r="BE14" t="b">
        <v>1</v>
      </c>
      <c r="BF14">
        <f t="shared" si="9"/>
        <v>0</v>
      </c>
      <c r="BG14" s="204">
        <f>AED_DATA!AE14</f>
        <v>1.9E-3</v>
      </c>
      <c r="BI14" s="50"/>
      <c r="BJ14" s="222" t="s">
        <v>672</v>
      </c>
      <c r="BK14" s="216" t="s">
        <v>803</v>
      </c>
      <c r="BL14" s="53"/>
      <c r="BN14" t="s">
        <v>46</v>
      </c>
      <c r="BO14" s="362">
        <f t="shared" si="6"/>
        <v>11</v>
      </c>
      <c r="BP14" s="5" t="b">
        <v>1</v>
      </c>
      <c r="BQ14" s="5">
        <f t="shared" si="7"/>
        <v>0</v>
      </c>
      <c r="BR14" s="362">
        <f>AED_DATA!AZ14</f>
        <v>11</v>
      </c>
      <c r="BT14" s="50"/>
      <c r="BU14" s="216" t="s">
        <v>435</v>
      </c>
      <c r="BV14" s="216" t="s">
        <v>820</v>
      </c>
      <c r="BW14" s="52"/>
      <c r="BX14" s="299"/>
      <c r="BY14" t="s">
        <v>46</v>
      </c>
      <c r="BZ14" s="297">
        <f>AED_DATA!AW14</f>
        <v>7</v>
      </c>
      <c r="CA14" s="297">
        <f>AED_DATA!AX14</f>
        <v>15</v>
      </c>
      <c r="CC14" s="50"/>
      <c r="CD14" s="222" t="s">
        <v>672</v>
      </c>
      <c r="CE14" s="216" t="s">
        <v>1092</v>
      </c>
      <c r="CF14" s="53"/>
      <c r="CG14" s="317"/>
      <c r="CH14" s="299"/>
      <c r="CI14" s="50"/>
      <c r="CJ14" s="222" t="s">
        <v>672</v>
      </c>
      <c r="CK14" s="216" t="s">
        <v>1127</v>
      </c>
      <c r="CL14" s="53"/>
      <c r="CM14" s="316"/>
      <c r="CN14" s="316"/>
    </row>
    <row r="15" spans="1:92" x14ac:dyDescent="0.25">
      <c r="F15" s="50"/>
      <c r="G15" s="235" t="s">
        <v>673</v>
      </c>
      <c r="H15" s="236" t="str">
        <f>H14&amp;":"&amp;$A$1&amp;H12</f>
        <v>OIS:AEDOIS</v>
      </c>
      <c r="I15" s="53" t="s">
        <v>424</v>
      </c>
      <c r="K15" t="s">
        <v>339</v>
      </c>
      <c r="L15" s="358">
        <f>O15+N15/10000</f>
        <v>1.32E-2</v>
      </c>
      <c r="M15" s="5" t="b">
        <v>1</v>
      </c>
      <c r="N15" s="5">
        <f t="shared" si="3"/>
        <v>0</v>
      </c>
      <c r="O15" s="368">
        <f t="shared" si="10"/>
        <v>1.32E-2</v>
      </c>
      <c r="Q15" s="50"/>
      <c r="R15" s="233" t="s">
        <v>673</v>
      </c>
      <c r="S15" s="230" t="str">
        <f>"STD:"&amp;$A$1&amp;"3M"</f>
        <v>STD:AED3M</v>
      </c>
      <c r="T15" s="53"/>
      <c r="V15" t="s">
        <v>497</v>
      </c>
      <c r="W15" s="367">
        <f t="shared" si="0"/>
        <v>6.1999999999999998E-3</v>
      </c>
      <c r="X15" s="5" t="b">
        <v>1</v>
      </c>
      <c r="Y15" s="5">
        <f t="shared" si="1"/>
        <v>0</v>
      </c>
      <c r="Z15" s="368">
        <f>AED_DATA!U15</f>
        <v>6.1999999999999998E-3</v>
      </c>
      <c r="AA15" s="203"/>
      <c r="AB15" s="50"/>
      <c r="AC15" s="222" t="s">
        <v>672</v>
      </c>
      <c r="AD15" s="216" t="s">
        <v>745</v>
      </c>
      <c r="AE15" s="53"/>
      <c r="AH15" s="358"/>
      <c r="AI15" s="5"/>
      <c r="AJ15" s="5"/>
      <c r="AK15" s="357"/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s="25" t="s">
        <v>349</v>
      </c>
      <c r="BD15" s="208">
        <f t="shared" si="8"/>
        <v>1.9E-3</v>
      </c>
      <c r="BE15" t="b">
        <v>1</v>
      </c>
      <c r="BF15">
        <f t="shared" si="9"/>
        <v>0</v>
      </c>
      <c r="BG15" s="204">
        <f>AED_DATA!AE15</f>
        <v>1.9E-3</v>
      </c>
      <c r="BI15" s="50"/>
      <c r="BJ15" s="222" t="s">
        <v>673</v>
      </c>
      <c r="BK15" s="216" t="s">
        <v>947</v>
      </c>
      <c r="BL15" s="53"/>
      <c r="BN15" t="s">
        <v>376</v>
      </c>
      <c r="BO15" s="362">
        <f t="shared" si="6"/>
        <v>21</v>
      </c>
      <c r="BP15" s="5" t="b">
        <v>1</v>
      </c>
      <c r="BQ15" s="5">
        <f t="shared" si="7"/>
        <v>0</v>
      </c>
      <c r="BR15" s="362">
        <f>AED_DATA!AZ15</f>
        <v>21</v>
      </c>
      <c r="BT15" s="50"/>
      <c r="BU15" s="219" t="s">
        <v>826</v>
      </c>
      <c r="BV15" s="219" t="s">
        <v>828</v>
      </c>
      <c r="BW15" s="52"/>
      <c r="BX15" s="299"/>
      <c r="BY15" t="s">
        <v>376</v>
      </c>
      <c r="BZ15" s="297">
        <f>AED_DATA!AW15</f>
        <v>16</v>
      </c>
      <c r="CA15" s="297">
        <f>AED_DATA!AX15</f>
        <v>26</v>
      </c>
      <c r="CC15" s="50"/>
      <c r="CD15" s="222" t="s">
        <v>673</v>
      </c>
      <c r="CE15" s="216" t="s">
        <v>1619</v>
      </c>
      <c r="CF15" s="53"/>
      <c r="CG15" s="317"/>
      <c r="CH15" s="299"/>
      <c r="CI15" s="50"/>
      <c r="CJ15" s="222" t="s">
        <v>673</v>
      </c>
      <c r="CK15" s="216" t="s">
        <v>1618</v>
      </c>
      <c r="CL15" s="53"/>
      <c r="CM15" s="316"/>
      <c r="CN15" s="316"/>
    </row>
    <row r="16" spans="1:92" x14ac:dyDescent="0.25">
      <c r="F16" s="50"/>
      <c r="G16" s="214" t="s">
        <v>434</v>
      </c>
      <c r="H16" s="216" t="str">
        <f>$A$1</f>
        <v>AED</v>
      </c>
      <c r="I16" s="53"/>
      <c r="K16" t="s">
        <v>342</v>
      </c>
      <c r="L16" s="358">
        <f t="shared" si="2"/>
        <v>1.455E-2</v>
      </c>
      <c r="M16" s="5" t="b">
        <v>1</v>
      </c>
      <c r="N16" s="5">
        <f t="shared" si="3"/>
        <v>0</v>
      </c>
      <c r="O16" s="368">
        <f t="shared" si="10"/>
        <v>1.455E-2</v>
      </c>
      <c r="Q16" s="50"/>
      <c r="R16" s="222" t="s">
        <v>434</v>
      </c>
      <c r="S16" s="223" t="str">
        <f>$A$1</f>
        <v>AED</v>
      </c>
      <c r="T16" s="53"/>
      <c r="V16" t="s">
        <v>498</v>
      </c>
      <c r="W16" s="367">
        <f t="shared" si="0"/>
        <v>6.9999999999999993E-3</v>
      </c>
      <c r="X16" s="5" t="b">
        <v>1</v>
      </c>
      <c r="Y16" s="5">
        <f t="shared" si="1"/>
        <v>0</v>
      </c>
      <c r="Z16" s="368">
        <f>AED_DATA!U16</f>
        <v>6.9999999999999993E-3</v>
      </c>
      <c r="AA16" s="203"/>
      <c r="AB16" s="50"/>
      <c r="AC16" s="233" t="s">
        <v>673</v>
      </c>
      <c r="AD16" s="230" t="s">
        <v>1063</v>
      </c>
      <c r="AE16" s="53"/>
      <c r="AH16" s="358"/>
      <c r="AI16" s="5"/>
      <c r="AJ16" s="5"/>
      <c r="AK16" s="357"/>
      <c r="AL16" s="207"/>
      <c r="AM16" s="50"/>
      <c r="AN16" s="233" t="s">
        <v>673</v>
      </c>
      <c r="AO16" s="230" t="str">
        <f>"3M12MBasis:"&amp;$A$1&amp;"12M"</f>
        <v>3M12MBasis:AED12M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"1M3MBasis:"&amp;A1&amp;"1M"</f>
        <v>1M3MBasis:AED1M</v>
      </c>
      <c r="BA16" s="53"/>
      <c r="BI16" s="50"/>
      <c r="BJ16" s="233" t="s">
        <v>434</v>
      </c>
      <c r="BK16" s="230" t="str">
        <f>$A$1</f>
        <v>AED</v>
      </c>
      <c r="BL16" s="53"/>
      <c r="BN16" t="s">
        <v>322</v>
      </c>
      <c r="BO16" s="362">
        <f t="shared" si="6"/>
        <v>35</v>
      </c>
      <c r="BP16" s="5" t="b">
        <v>1</v>
      </c>
      <c r="BQ16" s="5">
        <f t="shared" si="7"/>
        <v>0</v>
      </c>
      <c r="BR16" s="362">
        <f>AED_DATA!AZ16</f>
        <v>35</v>
      </c>
      <c r="BT16" s="50"/>
      <c r="BU16" s="57"/>
      <c r="BV16" s="57"/>
      <c r="BW16" s="52"/>
      <c r="BX16" s="299"/>
      <c r="BY16" t="s">
        <v>322</v>
      </c>
      <c r="BZ16" s="297">
        <f>AED_DATA!AW16</f>
        <v>30</v>
      </c>
      <c r="CA16" s="297">
        <f>AED_DATA!AX16</f>
        <v>40</v>
      </c>
      <c r="CC16" s="50"/>
      <c r="CD16" s="233" t="s">
        <v>434</v>
      </c>
      <c r="CE16" s="230" t="s">
        <v>147</v>
      </c>
      <c r="CF16" s="53"/>
      <c r="CG16" s="317"/>
      <c r="CH16" s="299"/>
      <c r="CI16" s="50"/>
      <c r="CJ16" s="233" t="s">
        <v>434</v>
      </c>
      <c r="CK16" s="230" t="s">
        <v>147</v>
      </c>
      <c r="CL16" s="53"/>
      <c r="CM16" s="316"/>
      <c r="CN16" s="316"/>
    </row>
    <row r="17" spans="6:92" x14ac:dyDescent="0.25">
      <c r="F17" s="50"/>
      <c r="G17" s="217" t="s">
        <v>674</v>
      </c>
      <c r="H17" s="216" t="s">
        <v>675</v>
      </c>
      <c r="I17" s="53"/>
      <c r="K17" t="s">
        <v>349</v>
      </c>
      <c r="L17" s="358">
        <f t="shared" si="2"/>
        <v>1.864E-2</v>
      </c>
      <c r="M17" s="5" t="b">
        <v>1</v>
      </c>
      <c r="N17" s="5">
        <f t="shared" si="3"/>
        <v>0</v>
      </c>
      <c r="O17" s="368">
        <f t="shared" si="10"/>
        <v>1.864E-2</v>
      </c>
      <c r="Q17" s="50"/>
      <c r="R17" s="222" t="s">
        <v>674</v>
      </c>
      <c r="S17" s="223" t="s">
        <v>715</v>
      </c>
      <c r="T17" s="53"/>
      <c r="V17" t="s">
        <v>47</v>
      </c>
      <c r="W17" s="367">
        <f t="shared" si="0"/>
        <v>5.6799999999999993E-3</v>
      </c>
      <c r="X17" s="5" t="b">
        <v>1</v>
      </c>
      <c r="Y17" s="5">
        <f t="shared" si="1"/>
        <v>0</v>
      </c>
      <c r="Z17" s="368">
        <f>AED_DATA!U17</f>
        <v>5.6799999999999993E-3</v>
      </c>
      <c r="AA17" s="203"/>
      <c r="AB17" s="50"/>
      <c r="AC17" s="222" t="s">
        <v>674</v>
      </c>
      <c r="AD17" s="216" t="s">
        <v>675</v>
      </c>
      <c r="AE17" s="53"/>
      <c r="AH17" s="358"/>
      <c r="AI17" s="5"/>
      <c r="AJ17" s="5"/>
      <c r="AK17" s="357"/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I17" s="50"/>
      <c r="BJ17" s="222" t="s">
        <v>674</v>
      </c>
      <c r="BK17" s="216" t="s">
        <v>675</v>
      </c>
      <c r="BL17" s="53"/>
      <c r="BN17" t="s">
        <v>308</v>
      </c>
      <c r="BO17" s="362">
        <f t="shared" si="6"/>
        <v>160</v>
      </c>
      <c r="BP17" s="5" t="b">
        <v>1</v>
      </c>
      <c r="BQ17" s="5">
        <f t="shared" si="7"/>
        <v>0</v>
      </c>
      <c r="BR17" s="362">
        <f>AED_DATA!AZ17</f>
        <v>160</v>
      </c>
      <c r="BT17" s="50"/>
      <c r="BU17" s="57"/>
      <c r="BV17" s="57"/>
      <c r="BW17" s="52"/>
      <c r="BX17" s="299"/>
      <c r="BY17" t="s">
        <v>308</v>
      </c>
      <c r="BZ17" s="297">
        <f>AED_DATA!AW17</f>
        <v>140</v>
      </c>
      <c r="CA17" s="297">
        <f>AED_DATA!AX17</f>
        <v>180</v>
      </c>
      <c r="CC17" s="50"/>
      <c r="CD17" s="222" t="s">
        <v>674</v>
      </c>
      <c r="CE17" s="216" t="s">
        <v>675</v>
      </c>
      <c r="CF17" s="53"/>
      <c r="CG17" s="317"/>
      <c r="CH17" s="299"/>
      <c r="CI17" s="50"/>
      <c r="CJ17" s="222" t="s">
        <v>674</v>
      </c>
      <c r="CK17" s="216" t="s">
        <v>675</v>
      </c>
      <c r="CL17" s="53"/>
      <c r="CM17" s="316"/>
      <c r="CN17" s="316"/>
    </row>
    <row r="18" spans="6:92" x14ac:dyDescent="0.25">
      <c r="F18" s="50"/>
      <c r="G18" s="214" t="s">
        <v>676</v>
      </c>
      <c r="H18" s="216" t="s">
        <v>675</v>
      </c>
      <c r="I18" s="53"/>
      <c r="L18" s="358"/>
      <c r="M18" s="5"/>
      <c r="N18" s="5"/>
      <c r="O18" s="5"/>
      <c r="Q18" s="50"/>
      <c r="R18" s="222" t="s">
        <v>676</v>
      </c>
      <c r="S18" s="223" t="s">
        <v>715</v>
      </c>
      <c r="T18" s="53"/>
      <c r="V18" t="s">
        <v>308</v>
      </c>
      <c r="W18" s="367">
        <f t="shared" si="0"/>
        <v>6.9599999999999992E-3</v>
      </c>
      <c r="X18" s="5" t="b">
        <v>1</v>
      </c>
      <c r="Y18" s="5">
        <f t="shared" si="1"/>
        <v>0</v>
      </c>
      <c r="Z18" s="368">
        <f>AED_DATA!U18</f>
        <v>6.9599999999999992E-3</v>
      </c>
      <c r="AA18" s="203"/>
      <c r="AB18" s="50"/>
      <c r="AC18" s="222" t="s">
        <v>676</v>
      </c>
      <c r="AD18" s="216" t="s">
        <v>675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I18" s="50"/>
      <c r="BJ18" s="222" t="s">
        <v>676</v>
      </c>
      <c r="BK18" s="216" t="s">
        <v>675</v>
      </c>
      <c r="BL18" s="53"/>
      <c r="BN18" s="339" t="s">
        <v>316</v>
      </c>
      <c r="BO18" s="362">
        <f t="shared" si="6"/>
        <v>300</v>
      </c>
      <c r="BP18" s="364" t="b">
        <v>1</v>
      </c>
      <c r="BQ18" s="5">
        <f t="shared" si="7"/>
        <v>0</v>
      </c>
      <c r="BR18" s="362">
        <f>AED_DATA!AZ18</f>
        <v>300</v>
      </c>
      <c r="BT18" s="50"/>
      <c r="BU18" s="57"/>
      <c r="BV18" s="57"/>
      <c r="BW18" s="52"/>
      <c r="BX18" s="299"/>
      <c r="BY18" s="339" t="s">
        <v>316</v>
      </c>
      <c r="BZ18" s="297">
        <f>AED_DATA!AW18</f>
        <v>250</v>
      </c>
      <c r="CA18" s="297">
        <f>AED_DATA!AX18</f>
        <v>350</v>
      </c>
      <c r="CC18" s="50"/>
      <c r="CD18" s="222" t="s">
        <v>676</v>
      </c>
      <c r="CE18" s="216" t="s">
        <v>675</v>
      </c>
      <c r="CF18" s="53"/>
      <c r="CG18" s="317"/>
      <c r="CH18" s="299"/>
      <c r="CI18" s="50"/>
      <c r="CJ18" s="222" t="s">
        <v>676</v>
      </c>
      <c r="CK18" s="216" t="s">
        <v>675</v>
      </c>
      <c r="CL18" s="53"/>
      <c r="CM18" s="316"/>
      <c r="CN18" s="316"/>
    </row>
    <row r="19" spans="6:92" x14ac:dyDescent="0.25">
      <c r="F19" s="50"/>
      <c r="G19" s="214"/>
      <c r="H19" s="216"/>
      <c r="I19" s="53"/>
      <c r="L19" s="358"/>
      <c r="M19" s="5"/>
      <c r="N19" s="5"/>
      <c r="O19" s="5"/>
      <c r="Q19" s="50"/>
      <c r="R19" s="222" t="s">
        <v>716</v>
      </c>
      <c r="S19" s="223" t="s">
        <v>715</v>
      </c>
      <c r="T19" s="53"/>
      <c r="V19" t="s">
        <v>316</v>
      </c>
      <c r="W19" s="367">
        <f t="shared" si="0"/>
        <v>8.8800000000000007E-3</v>
      </c>
      <c r="X19" s="5" t="b">
        <v>1</v>
      </c>
      <c r="Y19" s="5">
        <f t="shared" si="1"/>
        <v>0</v>
      </c>
      <c r="Z19" s="368">
        <f>AED_DATA!U19</f>
        <v>8.8800000000000007E-3</v>
      </c>
      <c r="AA19" s="203"/>
      <c r="AB19" s="50"/>
      <c r="AC19" s="222" t="s">
        <v>746</v>
      </c>
      <c r="AD19" s="216" t="s">
        <v>675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I19" s="50"/>
      <c r="BJ19" s="222" t="s">
        <v>746</v>
      </c>
      <c r="BK19" s="216" t="s">
        <v>675</v>
      </c>
      <c r="BL19" s="53"/>
      <c r="BN19" t="s">
        <v>324</v>
      </c>
      <c r="BO19" s="362">
        <f t="shared" si="6"/>
        <v>480</v>
      </c>
      <c r="BP19" s="5" t="b">
        <v>1</v>
      </c>
      <c r="BQ19" s="5">
        <f t="shared" si="7"/>
        <v>0</v>
      </c>
      <c r="BR19" s="362">
        <f>AED_DATA!AZ19</f>
        <v>480</v>
      </c>
      <c r="BT19" s="50"/>
      <c r="BU19" s="56" t="s">
        <v>814</v>
      </c>
      <c r="BV19" s="57"/>
      <c r="BW19" s="262"/>
      <c r="BX19" s="303"/>
      <c r="BY19" t="s">
        <v>324</v>
      </c>
      <c r="BZ19" s="297">
        <f>AED_DATA!AW19</f>
        <v>405</v>
      </c>
      <c r="CA19" s="297">
        <f>AED_DATA!AX19</f>
        <v>555</v>
      </c>
      <c r="CC19" s="50"/>
      <c r="CD19" s="222" t="s">
        <v>746</v>
      </c>
      <c r="CE19" s="216" t="s">
        <v>675</v>
      </c>
      <c r="CF19" s="53"/>
      <c r="CG19" s="317"/>
      <c r="CH19" s="299"/>
      <c r="CI19" s="50"/>
      <c r="CJ19" s="222" t="s">
        <v>746</v>
      </c>
      <c r="CK19" s="216" t="s">
        <v>675</v>
      </c>
      <c r="CL19" s="53"/>
      <c r="CM19" s="316"/>
      <c r="CN19" s="316"/>
    </row>
    <row r="20" spans="6:92" x14ac:dyDescent="0.25">
      <c r="F20" s="50"/>
      <c r="G20" s="218"/>
      <c r="H20" s="219"/>
      <c r="I20" s="53"/>
      <c r="L20" s="5"/>
      <c r="M20" s="5"/>
      <c r="N20" s="5"/>
      <c r="O20" s="5"/>
      <c r="Q20" s="50"/>
      <c r="R20" s="233" t="s">
        <v>717</v>
      </c>
      <c r="S20" s="230" t="s">
        <v>718</v>
      </c>
      <c r="T20" s="53"/>
      <c r="V20" t="s">
        <v>324</v>
      </c>
      <c r="W20" s="367">
        <f t="shared" si="0"/>
        <v>1.0329999999999999E-2</v>
      </c>
      <c r="X20" s="5" t="b">
        <v>1</v>
      </c>
      <c r="Y20" s="5">
        <f t="shared" si="1"/>
        <v>0</v>
      </c>
      <c r="Z20" s="368">
        <f>AED_DATA!U20</f>
        <v>1.0329999999999999E-2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I20" s="50"/>
      <c r="BJ20" s="222" t="s">
        <v>747</v>
      </c>
      <c r="BK20" s="216" t="b">
        <v>0</v>
      </c>
      <c r="BL20" s="53"/>
      <c r="BN20" t="s">
        <v>331</v>
      </c>
      <c r="BO20" s="362">
        <f t="shared" si="6"/>
        <v>685</v>
      </c>
      <c r="BP20" s="5" t="b">
        <v>1</v>
      </c>
      <c r="BQ20" s="5">
        <f t="shared" si="7"/>
        <v>0</v>
      </c>
      <c r="BR20" s="362">
        <f>AED_DATA!AZ20</f>
        <v>685</v>
      </c>
      <c r="BT20" s="50"/>
      <c r="BU20" s="147" t="s">
        <v>704</v>
      </c>
      <c r="BV20" s="221" t="str">
        <f>INDEX('STATIC DATA'!C30:AB30,1,MATCH($A$1,'STATIC DATA'!$C$4:$AB$4,0))</f>
        <v>AEB:NYB</v>
      </c>
      <c r="BW20" s="52"/>
      <c r="BX20" s="299"/>
      <c r="BY20" t="s">
        <v>331</v>
      </c>
      <c r="BZ20" s="297">
        <f>AED_DATA!AW20</f>
        <v>585</v>
      </c>
      <c r="CA20" s="297">
        <f>AED_DATA!AX20</f>
        <v>785</v>
      </c>
      <c r="CC20" s="50"/>
      <c r="CD20" s="222" t="s">
        <v>748</v>
      </c>
      <c r="CE20" s="216" t="s">
        <v>426</v>
      </c>
      <c r="CF20" s="53"/>
      <c r="CG20" s="317"/>
      <c r="CH20" s="299"/>
      <c r="CI20" s="50"/>
      <c r="CJ20" s="222" t="s">
        <v>748</v>
      </c>
      <c r="CK20" s="216" t="s">
        <v>426</v>
      </c>
      <c r="CL20" s="53"/>
      <c r="CM20" s="316"/>
      <c r="CN20" s="316"/>
    </row>
    <row r="21" spans="6:92" x14ac:dyDescent="0.25">
      <c r="F21" s="50"/>
      <c r="G21" s="52"/>
      <c r="H21" s="52"/>
      <c r="I21" s="53"/>
      <c r="L21" s="5"/>
      <c r="M21" s="5"/>
      <c r="N21" s="5"/>
      <c r="O21" s="5"/>
      <c r="Q21" s="50"/>
      <c r="R21" s="233" t="s">
        <v>719</v>
      </c>
      <c r="S21" s="230" t="s">
        <v>720</v>
      </c>
      <c r="T21" s="53"/>
      <c r="V21" t="s">
        <v>331</v>
      </c>
      <c r="W21" s="367">
        <f t="shared" si="0"/>
        <v>1.1890000000000001E-2</v>
      </c>
      <c r="X21" s="5" t="b">
        <v>1</v>
      </c>
      <c r="Y21" s="5">
        <f t="shared" si="1"/>
        <v>0</v>
      </c>
      <c r="Z21" s="368">
        <f>AED_DATA!U21</f>
        <v>1.1890000000000001E-2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I21" s="50"/>
      <c r="BJ21" s="234" t="s">
        <v>717</v>
      </c>
      <c r="BK21" s="232" t="b">
        <v>0</v>
      </c>
      <c r="BL21" s="53"/>
      <c r="BN21" t="s">
        <v>342</v>
      </c>
      <c r="BO21" s="357">
        <f>BR21+($BQ$21/10000)</f>
        <v>-6.1749000000000005E-3</v>
      </c>
      <c r="BP21" s="5" t="b">
        <v>1</v>
      </c>
      <c r="BQ21" s="5">
        <f t="shared" si="7"/>
        <v>0</v>
      </c>
      <c r="BR21" s="358">
        <f>AED_DATA!AR12/10000</f>
        <v>-6.1749000000000005E-3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Z21" s="297"/>
      <c r="CA21" s="297"/>
      <c r="CG21" s="317"/>
      <c r="CH21" s="299"/>
      <c r="CM21" s="316"/>
      <c r="CN21" s="316"/>
    </row>
    <row r="22" spans="6:92" x14ac:dyDescent="0.25">
      <c r="F22" s="50"/>
      <c r="G22" s="54" t="s">
        <v>426</v>
      </c>
      <c r="H22" s="52"/>
      <c r="I22" s="53"/>
      <c r="L22" s="5"/>
      <c r="M22" s="5"/>
      <c r="N22" s="5"/>
      <c r="O22" s="5"/>
      <c r="Q22" s="50"/>
      <c r="R22" s="222" t="s">
        <v>706</v>
      </c>
      <c r="S22" s="223" t="s">
        <v>721</v>
      </c>
      <c r="T22" s="53"/>
      <c r="V22" t="s">
        <v>339</v>
      </c>
      <c r="W22" s="367">
        <f t="shared" si="0"/>
        <v>1.32E-2</v>
      </c>
      <c r="X22" s="5" t="b">
        <v>1</v>
      </c>
      <c r="Y22" s="5">
        <f t="shared" si="1"/>
        <v>0</v>
      </c>
      <c r="Z22" s="368">
        <f>AED_DATA!U22</f>
        <v>1.32E-2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I22" s="50"/>
      <c r="BJ22" s="222" t="s">
        <v>805</v>
      </c>
      <c r="BK22" s="216" t="b">
        <v>0</v>
      </c>
      <c r="BL22" s="53"/>
      <c r="BN22" t="s">
        <v>349</v>
      </c>
      <c r="BO22" s="357">
        <f>BR22+($BQ$21/10000)</f>
        <v>-8.3900999999999993E-3</v>
      </c>
      <c r="BP22" s="5" t="b">
        <v>1</v>
      </c>
      <c r="BQ22" s="5">
        <f t="shared" si="7"/>
        <v>0</v>
      </c>
      <c r="BR22" s="358">
        <f>AED_DATA!AR13/10000</f>
        <v>-8.3900999999999993E-3</v>
      </c>
      <c r="BT22" s="50"/>
      <c r="BU22" s="149" t="s">
        <v>707</v>
      </c>
      <c r="BV22" s="223" t="s">
        <v>687</v>
      </c>
      <c r="BW22" s="52"/>
      <c r="BX22" s="299"/>
      <c r="BZ22" s="297"/>
      <c r="CA22" s="297"/>
      <c r="CG22" s="317"/>
      <c r="CH22" s="299"/>
      <c r="CM22" s="316"/>
      <c r="CN22" s="316"/>
    </row>
    <row r="23" spans="6:92" x14ac:dyDescent="0.25">
      <c r="F23" s="50"/>
      <c r="G23" s="220" t="s">
        <v>677</v>
      </c>
      <c r="H23" s="221" t="str">
        <f>INDEX('STATIC DATA'!C43:AB43,1,MATCH($A$1,'STATIC DATA'!$C$4:$AB$4,0))</f>
        <v>AEB</v>
      </c>
      <c r="I23" s="53"/>
      <c r="L23" s="5"/>
      <c r="M23" s="5"/>
      <c r="N23" s="5"/>
      <c r="O23" s="5"/>
      <c r="Q23" s="50"/>
      <c r="R23" s="222" t="s">
        <v>722</v>
      </c>
      <c r="S23" s="223" t="s">
        <v>718</v>
      </c>
      <c r="T23" s="53"/>
      <c r="V23" t="s">
        <v>342</v>
      </c>
      <c r="W23" s="367">
        <f t="shared" si="0"/>
        <v>1.455E-2</v>
      </c>
      <c r="X23" s="5" t="b">
        <v>1</v>
      </c>
      <c r="Y23" s="5">
        <f t="shared" si="1"/>
        <v>0</v>
      </c>
      <c r="Z23" s="368">
        <f>AED_DATA!U23</f>
        <v>1.455E-2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I23" s="50"/>
      <c r="BJ23" s="234" t="s">
        <v>806</v>
      </c>
      <c r="BK23" s="232" t="b">
        <v>1</v>
      </c>
      <c r="BL23" s="53"/>
      <c r="BO23" s="362"/>
      <c r="BP23" s="5"/>
      <c r="BQ23" s="5"/>
      <c r="BR23" s="362"/>
      <c r="BT23" s="50"/>
      <c r="BU23" s="149" t="s">
        <v>689</v>
      </c>
      <c r="BV23" s="223" t="b">
        <v>1</v>
      </c>
      <c r="BW23" s="52"/>
      <c r="BX23" s="299"/>
      <c r="BZ23" s="297"/>
      <c r="CA23" s="297"/>
      <c r="CG23" s="317"/>
      <c r="CH23" s="299"/>
      <c r="CM23" s="316"/>
      <c r="CN23" s="316"/>
    </row>
    <row r="24" spans="6:92" x14ac:dyDescent="0.25">
      <c r="F24" s="50"/>
      <c r="G24" s="222" t="s">
        <v>678</v>
      </c>
      <c r="H24" s="223" t="str">
        <f>INDEX('STATIC DATA'!C59:AB59,1,MATCH($A$1,'STATIC DATA'!C4:AB4,0))</f>
        <v>ACT/360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V24" t="s">
        <v>349</v>
      </c>
      <c r="W24" s="367">
        <f t="shared" si="0"/>
        <v>1.864E-2</v>
      </c>
      <c r="X24" s="5" t="b">
        <v>1</v>
      </c>
      <c r="Y24" s="5">
        <f t="shared" si="1"/>
        <v>0</v>
      </c>
      <c r="Z24" s="368">
        <f>AED_DATA!U24</f>
        <v>1.864E-2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s="2"/>
      <c r="BO24" s="386"/>
      <c r="BP24" s="4"/>
      <c r="BQ24" s="5"/>
      <c r="BR24" s="357"/>
      <c r="BT24" s="50"/>
      <c r="BU24" s="149" t="s">
        <v>688</v>
      </c>
      <c r="BV24" s="223">
        <v>31</v>
      </c>
      <c r="BW24" s="52"/>
      <c r="BX24" s="299"/>
      <c r="CG24" s="317"/>
      <c r="CH24" s="299"/>
      <c r="CM24" s="316"/>
      <c r="CN24" s="316"/>
    </row>
    <row r="25" spans="6:92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L25" s="5"/>
      <c r="M25" s="5"/>
      <c r="N25" s="5"/>
      <c r="O25" s="5"/>
      <c r="Q25" s="50"/>
      <c r="R25" s="234" t="s">
        <v>724</v>
      </c>
      <c r="S25" s="232" t="s">
        <v>426</v>
      </c>
      <c r="T25" s="53"/>
      <c r="W25" s="367"/>
      <c r="X25" s="5"/>
      <c r="Z25" s="368"/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O25" s="358"/>
      <c r="BP25" s="5"/>
      <c r="BQ25" s="5"/>
      <c r="BR25" s="357"/>
      <c r="BT25" s="50"/>
      <c r="BU25" s="151" t="s">
        <v>819</v>
      </c>
      <c r="BV25" s="226" t="b">
        <v>0</v>
      </c>
      <c r="BW25" s="52"/>
      <c r="BX25" s="299"/>
      <c r="CG25" s="317"/>
      <c r="CH25" s="299"/>
      <c r="CM25" s="316"/>
      <c r="CN25" s="316"/>
    </row>
    <row r="26" spans="6:92" x14ac:dyDescent="0.25">
      <c r="F26" s="50"/>
      <c r="G26" s="222" t="s">
        <v>681</v>
      </c>
      <c r="H26" s="223" t="s">
        <v>682</v>
      </c>
      <c r="I26" s="53"/>
      <c r="L26" s="5"/>
      <c r="M26" s="5"/>
      <c r="N26" s="5"/>
      <c r="O26" s="5"/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807</v>
      </c>
      <c r="BK26" s="85"/>
      <c r="BL26" s="53"/>
      <c r="BO26" s="358"/>
      <c r="BP26" s="5"/>
      <c r="BQ26" s="5"/>
      <c r="BR26" s="357"/>
      <c r="BT26" s="50"/>
      <c r="BU26" s="52"/>
      <c r="BV26" s="52"/>
      <c r="BW26" s="52"/>
      <c r="BX26" s="299"/>
      <c r="CD26" s="442" t="s">
        <v>1084</v>
      </c>
      <c r="CE26" t="s">
        <v>713</v>
      </c>
      <c r="CG26" s="317"/>
      <c r="CH26" s="299"/>
      <c r="CJ26" s="442" t="s">
        <v>1084</v>
      </c>
      <c r="CK26" t="s">
        <v>713</v>
      </c>
      <c r="CM26" s="316"/>
      <c r="CN26" s="316"/>
    </row>
    <row r="27" spans="6:92" x14ac:dyDescent="0.25">
      <c r="F27" s="50"/>
      <c r="G27" s="222" t="s">
        <v>683</v>
      </c>
      <c r="H27" s="223" t="str">
        <f>INDEX('STATIC DATA'!C15:AB15,1,MATCH($A$1,'STATIC DATA'!C4:AB4,0))</f>
        <v>2D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45" t="s">
        <v>749</v>
      </c>
      <c r="BK27" s="243" t="s">
        <v>803</v>
      </c>
      <c r="BL27" s="53"/>
      <c r="BO27" s="358"/>
      <c r="BP27" s="5"/>
      <c r="BQ27" s="5"/>
      <c r="BR27" s="357"/>
      <c r="BT27" s="50"/>
      <c r="BU27" s="52"/>
      <c r="BV27" s="52"/>
      <c r="BW27" s="52"/>
      <c r="BX27" s="299"/>
      <c r="CD27" s="57" t="s">
        <v>1085</v>
      </c>
      <c r="CE27" s="57" t="s">
        <v>1093</v>
      </c>
      <c r="CG27" s="317"/>
      <c r="CH27" s="299"/>
      <c r="CJ27" s="57" t="s">
        <v>1085</v>
      </c>
      <c r="CK27" s="57" t="s">
        <v>1128</v>
      </c>
      <c r="CM27" s="316"/>
      <c r="CN27" s="316"/>
    </row>
    <row r="28" spans="6:92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AEB</v>
      </c>
      <c r="T28" s="53"/>
      <c r="W28" s="367"/>
      <c r="X28" s="5"/>
      <c r="Z28" s="368"/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b">
        <v>0</v>
      </c>
      <c r="BA28" s="53"/>
      <c r="BI28" s="50"/>
      <c r="BJ28" s="233" t="s">
        <v>750</v>
      </c>
      <c r="BK28" s="230" t="b">
        <v>0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CD28" s="57" t="s">
        <v>1086</v>
      </c>
      <c r="CE28" s="57" t="s">
        <v>1089</v>
      </c>
      <c r="CG28" s="329"/>
      <c r="CH28" s="299"/>
      <c r="CJ28" s="57" t="s">
        <v>1086</v>
      </c>
      <c r="CK28" s="57" t="s">
        <v>1129</v>
      </c>
      <c r="CM28" s="316"/>
      <c r="CN28" s="316"/>
    </row>
    <row r="29" spans="6:92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ACT/360</v>
      </c>
      <c r="T29" s="53"/>
      <c r="W29" s="367"/>
      <c r="X29" s="5"/>
      <c r="Z29" s="368"/>
      <c r="AA29" s="203"/>
      <c r="AB29" s="50"/>
      <c r="AC29" s="222" t="s">
        <v>751</v>
      </c>
      <c r="AD29" s="216" t="str">
        <f>INDEX('STATIC DATA'!C39:AB39,1,MATCH($A$1,'STATIC DATA'!$C$4:$AB$4,0))</f>
        <v>AEB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DATA'!C39:AB39,1,MATCH($A$1,'STATIC DATA'!$C$4:$AB$4,0))</f>
        <v>AEB</v>
      </c>
      <c r="AP29" s="53"/>
      <c r="AX29" s="50"/>
      <c r="AY29" s="222" t="s">
        <v>751</v>
      </c>
      <c r="AZ29" s="216" t="str">
        <f>INDEX('STATIC DATA'!C39:AB39,1,MATCH($A$1,'STATIC DATA'!$C$4:$AB$4,0))</f>
        <v>AEB</v>
      </c>
      <c r="BA29" s="53"/>
      <c r="BI29" s="50"/>
      <c r="BJ29" s="222" t="s">
        <v>751</v>
      </c>
      <c r="BK29" s="216" t="str">
        <f>INDEX('STATIC DATA'!C30:AB30,1,MATCH($A$1,'STATIC DATA'!$C$4:$AB$4,0))</f>
        <v>AEB:NYB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CD29" s="57" t="s">
        <v>1087</v>
      </c>
      <c r="CE29" s="57" t="s">
        <v>1620</v>
      </c>
      <c r="CG29" s="299"/>
      <c r="CH29" s="299"/>
      <c r="CJ29" s="57" t="s">
        <v>1087</v>
      </c>
      <c r="CK29" s="57" t="s">
        <v>1620</v>
      </c>
      <c r="CM29" s="316"/>
      <c r="CN29" s="316"/>
    </row>
    <row r="30" spans="6:92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222" t="s">
        <v>752</v>
      </c>
      <c r="AD30" s="216" t="str">
        <f>INDEX('STATIC DATA'!C55:AB55,1,MATCH($A$1,'STATIC DATA'!C4:AB4,0))</f>
        <v>ACT/360</v>
      </c>
      <c r="AE30" s="53"/>
      <c r="AH30" s="5"/>
      <c r="AI30" s="5"/>
      <c r="AJ30" s="5"/>
      <c r="AK30" s="5"/>
      <c r="AM30" s="50"/>
      <c r="AN30" s="222" t="s">
        <v>752</v>
      </c>
      <c r="AO30" s="216" t="str">
        <f>INDEX('STATIC DATA'!C55:AB55,1,MATCH($A$1,'STATIC DATA'!C4:AB4,0))</f>
        <v>ACT/360</v>
      </c>
      <c r="AP30" s="53"/>
      <c r="AX30" s="50"/>
      <c r="AY30" s="222" t="s">
        <v>752</v>
      </c>
      <c r="AZ30" s="216" t="str">
        <f>INDEX('STATIC DATA'!C55:AB55,1,MATCH($A$1,'STATIC DATA'!C4:AB4,0))</f>
        <v>ACT/360</v>
      </c>
      <c r="BA30" s="53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O30" s="358"/>
      <c r="BP30" s="5"/>
      <c r="BQ30" s="5"/>
      <c r="BR30" s="357"/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1620</v>
      </c>
      <c r="CG30" s="299"/>
      <c r="CH30" s="299"/>
      <c r="CJ30" s="57" t="s">
        <v>1088</v>
      </c>
      <c r="CK30" s="443" t="s">
        <v>1620</v>
      </c>
      <c r="CM30" s="316"/>
      <c r="CN30" s="316"/>
    </row>
    <row r="31" spans="6:92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753</v>
      </c>
      <c r="BK31" s="219" t="s">
        <v>458</v>
      </c>
      <c r="BL31" s="249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G31" s="299"/>
      <c r="CH31" s="299"/>
      <c r="CJ31" s="57" t="s">
        <v>781</v>
      </c>
      <c r="CK31" s="290" t="s">
        <v>810</v>
      </c>
      <c r="CM31" s="316"/>
      <c r="CN31" s="316"/>
    </row>
    <row r="32" spans="6:92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754</v>
      </c>
      <c r="BK32" s="216" t="s">
        <v>687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206"/>
      <c r="CA32" s="299"/>
      <c r="CB32" s="299"/>
      <c r="CG32" s="299"/>
      <c r="CH32" s="299"/>
      <c r="CM32" s="316"/>
      <c r="CN32" s="316"/>
    </row>
    <row r="33" spans="6:92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AEB</v>
      </c>
      <c r="T33" s="53"/>
      <c r="W33" s="5"/>
      <c r="X33" s="5"/>
      <c r="Z33" s="5"/>
      <c r="AB33" s="50"/>
      <c r="AC33" s="222" t="s">
        <v>755</v>
      </c>
      <c r="AD33" s="216" t="str">
        <f>INDEX('STATIC DATA'!C7:AB7,1,MATCH($A$1,'STATIC DATA'!C4:AB4,0))</f>
        <v>2D</v>
      </c>
      <c r="AE33" s="53"/>
      <c r="AM33" s="50"/>
      <c r="AN33" s="222" t="s">
        <v>755</v>
      </c>
      <c r="AO33" s="216" t="str">
        <f>INDEX('STATIC DATA'!C7:AB7,1,MATCH($A$1,'STATIC DATA'!C4:AB4,0))</f>
        <v>2D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22" t="s">
        <v>755</v>
      </c>
      <c r="BK33" s="216" t="str">
        <f>INDEX('STATIC DATA'!N29:AL29,1,MATCH($A$1,'STATIC DATA'!N4:AL4,0))</f>
        <v>2D</v>
      </c>
      <c r="BL33" s="53"/>
      <c r="BO33" s="5"/>
      <c r="BP33" s="5">
        <v>0</v>
      </c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G33" s="299"/>
      <c r="CH33" s="299"/>
      <c r="CM33" s="316"/>
      <c r="CN33" s="316"/>
    </row>
    <row r="34" spans="6:92" x14ac:dyDescent="0.25">
      <c r="F34" s="50"/>
      <c r="G34" s="222" t="s">
        <v>697</v>
      </c>
      <c r="H34" s="224">
        <v>1E-8</v>
      </c>
      <c r="I34" s="53"/>
      <c r="Q34" s="50"/>
      <c r="R34" s="222" t="s">
        <v>678</v>
      </c>
      <c r="S34" s="223" t="str">
        <f>INDEX('STATIC DATA'!C55:AB55,1,MATCH($A$1,'STATIC DATA'!C4:AB4,0))</f>
        <v>ACT/360</v>
      </c>
      <c r="T34" s="53"/>
      <c r="W34" s="5"/>
      <c r="X34" s="5"/>
      <c r="Z34" s="5"/>
      <c r="AB34" s="50"/>
      <c r="AC34" s="245" t="s">
        <v>756</v>
      </c>
      <c r="AD34" s="247" t="s">
        <v>946</v>
      </c>
      <c r="AE34" s="249" t="s">
        <v>801</v>
      </c>
      <c r="AM34" s="50"/>
      <c r="AN34" s="234" t="s">
        <v>756</v>
      </c>
      <c r="AO34" s="247" t="str">
        <f>$A$1&amp;"3M"</f>
        <v>AED3M</v>
      </c>
      <c r="AP34" s="249" t="s">
        <v>801</v>
      </c>
      <c r="AX34" s="50"/>
      <c r="AY34" s="245" t="s">
        <v>756</v>
      </c>
      <c r="AZ34" s="244" t="str">
        <f>"AGAINST:"&amp;$A$1&amp;"3M"</f>
        <v>AGAINST:AED3M</v>
      </c>
      <c r="BA34" s="53"/>
      <c r="BI34" s="50"/>
      <c r="BJ34" s="234" t="s">
        <v>757</v>
      </c>
      <c r="BK34" s="260" t="s">
        <v>773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G34" s="299"/>
      <c r="CH34" s="299"/>
      <c r="CM34" s="316"/>
      <c r="CN34" s="316"/>
    </row>
    <row r="35" spans="6:92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">
        <v>714</v>
      </c>
      <c r="AP35" s="53"/>
      <c r="AX35" s="50"/>
      <c r="AY35" s="233" t="s">
        <v>757</v>
      </c>
      <c r="AZ35" s="244" t="str">
        <f>"AGAINST:OIS"</f>
        <v>AGAINST:OIS</v>
      </c>
      <c r="BA35" s="53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G35" s="299"/>
      <c r="CH35" s="299"/>
      <c r="CM35" s="299"/>
      <c r="CN35" s="299"/>
    </row>
    <row r="36" spans="6:92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DATA'!C7:AB7,1,MATCH($A$1,'STATIC DATA'!C4:AB4,0))</f>
        <v>2D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G36" s="299"/>
      <c r="CH36" s="299"/>
      <c r="CM36" s="299"/>
      <c r="CN36" s="299"/>
    </row>
    <row r="37" spans="6:92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ACT/360</v>
      </c>
      <c r="AE37" s="53"/>
      <c r="AG37" s="2" t="s">
        <v>662</v>
      </c>
      <c r="AM37" s="50"/>
      <c r="AN37" s="222" t="s">
        <v>759</v>
      </c>
      <c r="AO37" s="216" t="str">
        <f>INDEX('STATIC DATA'!C55:AB55,1,MATCH($A$1,'STATIC DATA'!C4:AB4,0))</f>
        <v>ACT/360</v>
      </c>
      <c r="AP37" s="53"/>
      <c r="AX37" s="50"/>
      <c r="AY37" s="222" t="s">
        <v>759</v>
      </c>
      <c r="AZ37" s="216" t="str">
        <f>INDEX('STATIC DATA'!C55:AB55,1,MATCH($A$1,'STATIC DATA'!C4:AB4,0))</f>
        <v>ACT/360</v>
      </c>
      <c r="BA37" s="53"/>
      <c r="BC37" s="2" t="s">
        <v>662</v>
      </c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G37" s="299"/>
      <c r="CH37" s="299"/>
      <c r="CJ37" s="2" t="s">
        <v>662</v>
      </c>
      <c r="CM37" s="299"/>
      <c r="CN37" s="299"/>
    </row>
    <row r="38" spans="6:92" x14ac:dyDescent="0.25">
      <c r="F38" s="50"/>
      <c r="G38" s="222"/>
      <c r="H38" s="223"/>
      <c r="I38" s="53"/>
      <c r="K38" t="s">
        <v>434</v>
      </c>
      <c r="L38" t="str">
        <f>$A$1</f>
        <v>AED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AED</v>
      </c>
      <c r="AB38" s="50"/>
      <c r="AC38" s="222" t="s">
        <v>760</v>
      </c>
      <c r="AD38" s="216" t="str">
        <f>INDEX('STATIC DATA'!C39:AB39,1,MATCH($A$1,'STATIC DATA'!$C$4:$AB$4,0))</f>
        <v>AEB</v>
      </c>
      <c r="AE38" s="53"/>
      <c r="AG38" t="s">
        <v>434</v>
      </c>
      <c r="AH38" t="str">
        <f>$A$1</f>
        <v>AED</v>
      </c>
      <c r="AM38" s="50"/>
      <c r="AN38" s="222" t="s">
        <v>760</v>
      </c>
      <c r="AO38" s="216" t="str">
        <f>INDEX('STATIC DATA'!C39:AB39,1,MATCH($A$1,'STATIC DATA'!$C$4:$AB$4,0))</f>
        <v>AEB</v>
      </c>
      <c r="AP38" s="53"/>
      <c r="AX38" s="50"/>
      <c r="AY38" s="222" t="s">
        <v>760</v>
      </c>
      <c r="AZ38" s="216" t="str">
        <f>INDEX('STATIC DATA'!C39:AB39,1,MATCH($A$1,'STATIC DATA'!$C$4:$AB$4,0))</f>
        <v>AEB</v>
      </c>
      <c r="BA38" s="53"/>
      <c r="BC38" t="s">
        <v>434</v>
      </c>
      <c r="BD38" t="s">
        <v>147</v>
      </c>
      <c r="BI38" s="50"/>
      <c r="BJ38" s="222" t="s">
        <v>760</v>
      </c>
      <c r="BK38" s="216" t="str">
        <f>INDEX('STATIC DATA'!C30:AB30,1,MATCH($A$1,'STATIC DATA'!$C$4:$AB$4,0))</f>
        <v>AEB:NYB</v>
      </c>
      <c r="BL38" s="53"/>
      <c r="BN38" t="s">
        <v>434</v>
      </c>
      <c r="BO38" t="str">
        <f>$A$1</f>
        <v>AED</v>
      </c>
      <c r="BT38" s="50"/>
      <c r="BU38" s="55"/>
      <c r="BV38" s="55"/>
      <c r="BW38" s="55"/>
      <c r="BX38" s="332"/>
      <c r="BY38" s="147" t="s">
        <v>434</v>
      </c>
      <c r="BZ38" s="238" t="s">
        <v>950</v>
      </c>
      <c r="CA38" s="305"/>
      <c r="CB38" s="299"/>
      <c r="CD38" t="s">
        <v>434</v>
      </c>
      <c r="CE38" t="str">
        <f>$A$1</f>
        <v>AED</v>
      </c>
      <c r="CG38" s="299"/>
      <c r="CH38" s="299"/>
      <c r="CJ38" t="s">
        <v>434</v>
      </c>
      <c r="CK38" t="str">
        <f>$A$1</f>
        <v>AED</v>
      </c>
      <c r="CM38" s="299"/>
      <c r="CN38" s="299"/>
    </row>
    <row r="39" spans="6:92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C39" t="s">
        <v>435</v>
      </c>
      <c r="BD39" t="s">
        <v>468</v>
      </c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G39" s="299"/>
      <c r="CH39" s="299"/>
      <c r="CJ39" t="s">
        <v>435</v>
      </c>
      <c r="CK39" t="s">
        <v>1084</v>
      </c>
      <c r="CM39" s="299"/>
      <c r="CN39" s="299"/>
    </row>
    <row r="40" spans="6:92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AEB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AEB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DATA'!C39:AB39,1,MATCH($A$1,'STATIC DATA'!$C$4:$AB$4,0))</f>
        <v>AEB</v>
      </c>
      <c r="AP40" s="53"/>
      <c r="AX40" s="50"/>
      <c r="AY40" s="225" t="s">
        <v>762</v>
      </c>
      <c r="AZ40" s="219" t="str">
        <f>INDEX('STATIC DATA'!C39:AB39,1,MATCH($A$1,'STATIC DATA'!$C$4:$AB$4,0))</f>
        <v>AEB</v>
      </c>
      <c r="BA40" s="53"/>
      <c r="BC40" t="s">
        <v>438</v>
      </c>
      <c r="BD40" t="s">
        <v>794</v>
      </c>
      <c r="BI40" s="50"/>
      <c r="BJ40" s="225" t="s">
        <v>762</v>
      </c>
      <c r="BK40" s="219" t="str">
        <f>INDEX('STATIC DATA'!C30:AB30,1,MATCH($A$1,'STATIC DATA'!$C$4:$AB$4,0))</f>
        <v>AEB:NYB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15">
        <f>TODAY()</f>
        <v>44083</v>
      </c>
      <c r="CA40" s="324"/>
      <c r="CB40" s="303"/>
      <c r="CD40" t="s">
        <v>438</v>
      </c>
      <c r="CE40" t="s">
        <v>439</v>
      </c>
      <c r="CG40" s="299"/>
      <c r="CH40" s="299"/>
      <c r="CJ40" t="s">
        <v>438</v>
      </c>
      <c r="CK40" t="s">
        <v>439</v>
      </c>
      <c r="CM40" s="299"/>
      <c r="CN40" s="299"/>
    </row>
    <row r="41" spans="6:92" x14ac:dyDescent="0.25">
      <c r="F41" s="50"/>
      <c r="G41" s="293" t="s">
        <v>833</v>
      </c>
      <c r="H41" s="223"/>
      <c r="I41" s="53"/>
      <c r="K41" t="s">
        <v>440</v>
      </c>
      <c r="L41" s="200">
        <f>TODAY()</f>
        <v>44083</v>
      </c>
      <c r="Q41" s="50"/>
      <c r="R41" s="222" t="s">
        <v>731</v>
      </c>
      <c r="S41" s="223" t="str">
        <f>INDEX('STATIC DATA'!C55:AB55,1,MATCH($A$1,'STATIC DATA'!C4:AB4,0))</f>
        <v>ACT/360</v>
      </c>
      <c r="T41" s="53"/>
      <c r="V41" t="s">
        <v>440</v>
      </c>
      <c r="W41" s="200">
        <f>TODAY()</f>
        <v>44083</v>
      </c>
      <c r="X41" s="193"/>
      <c r="AB41" s="50"/>
      <c r="AC41" s="225" t="s">
        <v>763</v>
      </c>
      <c r="AD41" s="219" t="str">
        <f>INDEX('STATIC DATA'!C7:AB7,1,MATCH($A$1,'STATIC DATA'!C4:AB4,0))</f>
        <v>2D</v>
      </c>
      <c r="AE41" s="53"/>
      <c r="AG41" t="s">
        <v>440</v>
      </c>
      <c r="AH41" s="200">
        <f>TODAY()</f>
        <v>44083</v>
      </c>
      <c r="AM41" s="50"/>
      <c r="AN41" s="225" t="s">
        <v>763</v>
      </c>
      <c r="AO41" s="219" t="str">
        <f>INDEX('STATIC DATA'!C7:AB7,1,MATCH($A$1,'STATIC DATA'!C4:AB4,0))</f>
        <v>2D</v>
      </c>
      <c r="AP41" s="53"/>
      <c r="AX41" s="50"/>
      <c r="AY41" s="225" t="s">
        <v>763</v>
      </c>
      <c r="AZ41" s="216" t="str">
        <f>INDEX('STATIC DATA'!C7:AB7,1,MATCH($A$1,'STATIC DATA'!C4:AB4,0))</f>
        <v>2D</v>
      </c>
      <c r="BA41" s="53"/>
      <c r="BC41" t="s">
        <v>440</v>
      </c>
      <c r="BD41" s="200">
        <f>'STATIC DATA'!Q5</f>
        <v>44083</v>
      </c>
      <c r="BE41" s="193"/>
      <c r="BI41" s="50"/>
      <c r="BJ41" s="225" t="s">
        <v>763</v>
      </c>
      <c r="BK41" s="219" t="str">
        <f>INDEX('STATIC DATA'!N29:AL29,1,MATCH($A$1,'STATIC DATA'!N4:AL4,0))</f>
        <v>2D</v>
      </c>
      <c r="BL41" s="53"/>
      <c r="BN41" t="s">
        <v>440</v>
      </c>
      <c r="BO41" s="200">
        <f>TODAY()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DATA'!X5</f>
        <v>44083</v>
      </c>
      <c r="CG41" s="299"/>
      <c r="CH41" s="299"/>
      <c r="CJ41" t="s">
        <v>440</v>
      </c>
      <c r="CK41" s="275">
        <f>'STATIC DATA'!X5</f>
        <v>44083</v>
      </c>
      <c r="CM41" s="299"/>
      <c r="CN41" s="299"/>
    </row>
    <row r="42" spans="6:92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tr">
        <f>INDEX('STATIC DATA'!C7:AB7,1,MATCH($A$1,'STATIC DATA'!C4:AB4,0))</f>
        <v>2D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G42" s="299"/>
      <c r="CH42" s="299"/>
      <c r="CM42" s="299"/>
      <c r="CN42" s="299"/>
    </row>
    <row r="43" spans="6:92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AEB</v>
      </c>
      <c r="AE43" s="53"/>
      <c r="AG43" s="2" t="s">
        <v>441</v>
      </c>
      <c r="AM43" s="50"/>
      <c r="AN43" s="222" t="s">
        <v>765</v>
      </c>
      <c r="AO43" s="216" t="str">
        <f>INDEX('STATIC DATA'!C39:AB39,1,MATCH($A$1,'STATIC DATA'!$C$4:$AB$4,0))</f>
        <v>AEB</v>
      </c>
      <c r="AP43" s="53"/>
      <c r="AX43" s="50"/>
      <c r="AY43" s="222" t="s">
        <v>765</v>
      </c>
      <c r="AZ43" s="216" t="str">
        <f>INDEX('STATIC DATA'!C39:AB39,1,MATCH($A$1,'STATIC DATA'!$C$4:$AB$4,0))</f>
        <v>AEB</v>
      </c>
      <c r="BA43" s="53"/>
      <c r="BC43" s="2" t="s">
        <v>441</v>
      </c>
      <c r="BI43" s="50"/>
      <c r="BJ43" s="222" t="s">
        <v>765</v>
      </c>
      <c r="BK43" s="216" t="str">
        <f>INDEX('STATIC DATA'!C30:AB30,1,MATCH($A$1,'STATIC DATA'!$C$4:$AB$4,0))</f>
        <v>AEB:NYB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G43" s="299"/>
      <c r="CH43" s="299"/>
      <c r="CJ43" s="2" t="s">
        <v>441</v>
      </c>
      <c r="CM43" s="299"/>
      <c r="CN43" s="299"/>
    </row>
    <row r="44" spans="6:92" x14ac:dyDescent="0.25">
      <c r="F44" s="50"/>
      <c r="G44" s="222"/>
      <c r="H44" s="223"/>
      <c r="I44" s="53"/>
      <c r="K44" t="s">
        <v>442</v>
      </c>
      <c r="L44" s="206" t="str">
        <f>L38&amp;"_"&amp;L39&amp;"_CURVE_MARKETDATA"</f>
        <v>AED_OIS_CURVE_MARKETDATA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AED_SWAP_3M_CURVE_MARKETDATA</v>
      </c>
      <c r="AB44" s="50"/>
      <c r="AC44" s="222" t="s">
        <v>766</v>
      </c>
      <c r="AD44" s="216" t="str">
        <f>INDEX('STATIC DATA'!C55:AB55,1,MATCH($A$1,'STATIC DATA'!C4:AB4,0))</f>
        <v>ACT/360</v>
      </c>
      <c r="AE44" s="53"/>
      <c r="AG44" t="s">
        <v>442</v>
      </c>
      <c r="AH44" t="str">
        <f>A1&amp;"_BASIS_3M6M_MARKETDATA"</f>
        <v>AED_BASIS_3M6M_MARKETDATA</v>
      </c>
      <c r="AM44" s="50"/>
      <c r="AN44" s="222" t="s">
        <v>766</v>
      </c>
      <c r="AO44" s="216" t="str">
        <f>INDEX('STATIC DATA'!C55:AB55,1,MATCH($A$1,'STATIC DATA'!C4:AB4,0))</f>
        <v>ACT/360</v>
      </c>
      <c r="AP44" s="53"/>
      <c r="AX44" s="50"/>
      <c r="AY44" s="222" t="s">
        <v>766</v>
      </c>
      <c r="AZ44" s="216" t="str">
        <f>INDEX('STATIC DATA'!C55:AB55,1,MATCH($A$1,'STATIC DATA'!C4:AB4,0))</f>
        <v>ACT/360</v>
      </c>
      <c r="BA44" s="53"/>
      <c r="BC44" t="s">
        <v>442</v>
      </c>
      <c r="BD44" t="str">
        <f>$A$1&amp;"_BASIS_1M3M_MARKETDATA"</f>
        <v>AED_BASIS_1M3M_MARKETDATA</v>
      </c>
      <c r="BI44" s="50"/>
      <c r="BJ44" s="222" t="s">
        <v>766</v>
      </c>
      <c r="BK44" s="216" t="str">
        <f>INDEX('STATIC DATA'!C55:AB55,1,MATCH($A$1,'STATIC DATA'!C4:AB4,0))</f>
        <v>ACT/360</v>
      </c>
      <c r="BL44" s="53"/>
      <c r="BN44" t="s">
        <v>442</v>
      </c>
      <c r="BO44" t="str">
        <f>A1&amp;"_"&amp;BO39&amp;"_CURVE_MARKETDATA"</f>
        <v>AED_XCCYBASIS_CURVE_MARKETDATA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951</v>
      </c>
      <c r="CA44" s="325"/>
      <c r="CB44" s="303"/>
      <c r="CD44" t="s">
        <v>442</v>
      </c>
      <c r="CE44" t="str">
        <f>$A$1&amp;"_FXFWD_MARKET_DATA"</f>
        <v>AED_FXFWD_MARKET_DATA</v>
      </c>
      <c r="CG44" s="299"/>
      <c r="CH44" s="299"/>
      <c r="CJ44" t="s">
        <v>442</v>
      </c>
      <c r="CK44" t="str">
        <f>$A$1&amp;"_FXFWD_MARKET_DATA"</f>
        <v>AED_FXFWD_MARKET_DATA</v>
      </c>
      <c r="CM44" s="299"/>
      <c r="CN44" s="299"/>
    </row>
    <row r="45" spans="6:92" x14ac:dyDescent="0.25">
      <c r="F45" s="50"/>
      <c r="G45" s="222"/>
      <c r="H45" s="223"/>
      <c r="I45" s="53"/>
      <c r="K45" t="s">
        <v>444</v>
      </c>
      <c r="L45" s="206" t="str">
        <f>_xll.meLWOCurveMarketDataCreate(L44,"MarketDataProperties",K38:L41,"OIS",K7:L19)</f>
        <v>AED_OIS_CURVE_MARKETDATA@243:42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_xll.meLWOCurveMarketDataCreate(W44,V37,V38:W42,"LIBORFIXINGS",V7:X11,"FRAS",V12:X16,"SWAPS",V17:X24)</f>
        <v>AED_SWAP_3M_CURVE_MARKETDATA@242:42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_xll.meLWOCurveMarketDataCreate(AH44,AG37,AG38:AH42,"BASISSWAPS",AG7:AI13)</f>
        <v>AED_BASIS_3M6M_MARKETDATA@241:42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C45" t="s">
        <v>444</v>
      </c>
      <c r="BD45" t="str">
        <f>_xll.meLWOCurveMarketDataCreate(BD44,BC37,BC38:BD42,"BASISSWAPS",BC9:BE21)</f>
        <v>AED_BASIS_1M3M_MARKETDATA@239:42</v>
      </c>
      <c r="BI45" s="50"/>
      <c r="BJ45" s="222" t="s">
        <v>767</v>
      </c>
      <c r="BK45" s="216" t="s">
        <v>458</v>
      </c>
      <c r="BL45" s="53"/>
      <c r="BN45" t="s">
        <v>444</v>
      </c>
      <c r="BO45" t="str">
        <f>_xll.meLWOCurveMarketDataCreate(BO44,BN37,BN38:BO41,"FXSPOTS",BN7:BP7,"FXFWDS",BN8:BP20,"XCCYSWAPS",BN21:BO22)</f>
        <v>AED_XCCYBASIS_CURVE_MARKETDATA@240:42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_xll.meLWOCurveMarketDataCreate(BZ44,"MARKETDATAPROPERTIES",BY38:BZ41,"FXSPOTS",BZ7:CA7,"FXFWDS",BY8:CA20)</f>
        <v>MKTDATA_USDAED@290:42</v>
      </c>
      <c r="CA45" s="313"/>
      <c r="CB45" s="313"/>
      <c r="CD45" t="s">
        <v>444</v>
      </c>
      <c r="CE45" t="str">
        <f>_xll.meLWOCurveMarketDataCreate(CE44,CD37,CD38:CE41)</f>
        <v>AED_FXFWD_MARKET_DATA@10:42</v>
      </c>
      <c r="CG45" s="299"/>
      <c r="CH45" s="299"/>
      <c r="CJ45" t="s">
        <v>444</v>
      </c>
      <c r="CK45" t="str">
        <f>_xll.meLWOCurveMarketDataCreate(CK44,CJ37,CJ38:CK41)</f>
        <v>AED_FXFWD_MARKET_DATA@15:42</v>
      </c>
      <c r="CM45" s="299"/>
      <c r="CN45" s="299"/>
    </row>
    <row r="46" spans="6:92" x14ac:dyDescent="0.25">
      <c r="F46" s="50"/>
      <c r="G46" s="225"/>
      <c r="H46" s="226"/>
      <c r="I46" s="53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G46" s="299"/>
      <c r="CH46" s="299"/>
      <c r="CM46" s="299"/>
      <c r="CN46" s="299"/>
    </row>
    <row r="47" spans="6:92" x14ac:dyDescent="0.25">
      <c r="F47" s="50"/>
      <c r="G47" s="52"/>
      <c r="H47" s="52"/>
      <c r="I47" s="53"/>
      <c r="K47" s="2" t="s">
        <v>447</v>
      </c>
      <c r="L47" s="206"/>
      <c r="Q47" s="50"/>
      <c r="R47" s="54" t="s">
        <v>461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C47" s="2" t="s">
        <v>447</v>
      </c>
      <c r="BI47" s="50"/>
      <c r="BJ47" s="222" t="s">
        <v>770</v>
      </c>
      <c r="BK47" s="216" t="str">
        <f>INDEX('STATIC DATA'!N29:AL29,1,MATCH($A$1,'STATIC DATA'!N4:AL4,0))</f>
        <v>2D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G47" s="299"/>
      <c r="CH47" s="299"/>
      <c r="CJ47" s="2" t="s">
        <v>447</v>
      </c>
      <c r="CM47" s="299"/>
      <c r="CN47" s="299"/>
    </row>
    <row r="48" spans="6:92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AED_OIS_CURVE</v>
      </c>
      <c r="Q48" s="50"/>
      <c r="R48" s="220" t="s">
        <v>677</v>
      </c>
      <c r="S48" s="221" t="str">
        <f>INDEX('STATIC DATA'!C39:AB39,1,MATCH($A$1,'STATIC DATA'!$C$4:$AB$4,0))</f>
        <v>AEB</v>
      </c>
      <c r="T48" s="53"/>
      <c r="V48" t="s">
        <v>442</v>
      </c>
      <c r="W48" t="str">
        <f>W38&amp;"_"&amp;W39&amp;"_"&amp;INDEX('STATIC DATA'!$C$56:$AB$56,1,MATCH($W38,'STATIC DATA'!$C$4:$AB$4,0))&amp;"_CURVE"</f>
        <v>AED_SWAP_3M_CURVE</v>
      </c>
      <c r="AB48" s="50"/>
      <c r="AC48" s="225" t="s">
        <v>770</v>
      </c>
      <c r="AD48" s="219" t="str">
        <f>INDEX('STATIC DATA'!C7:AB7,1,MATCH($A$1,'STATIC DATA'!C4:AB4,0))</f>
        <v>2D</v>
      </c>
      <c r="AE48" s="53"/>
      <c r="AG48" t="s">
        <v>442</v>
      </c>
      <c r="AH48" t="str">
        <f>A1&amp;"_BASIS_6M_CURVE"</f>
        <v>AED_BASIS_6M_CURVE</v>
      </c>
      <c r="AM48" s="50"/>
      <c r="AN48" s="225" t="s">
        <v>770</v>
      </c>
      <c r="AO48" s="219" t="str">
        <f>INDEX('STATIC DATA'!C7:AB7,1,MATCH($A$1,'STATIC DATA'!C4:AB4,0))</f>
        <v>2D</v>
      </c>
      <c r="AP48" s="53"/>
      <c r="AX48" s="50"/>
      <c r="AY48" s="225" t="s">
        <v>770</v>
      </c>
      <c r="AZ48" s="216" t="str">
        <f>INDEX('STATIC DATA'!C7:AB7,1,MATCH($A$1,'STATIC DATA'!C4:AB4,0))</f>
        <v>2D</v>
      </c>
      <c r="BA48" s="53"/>
      <c r="BC48" t="s">
        <v>442</v>
      </c>
      <c r="BD48" t="str">
        <f>$A$1&amp;"_BASIS_1M3M_CURVE"</f>
        <v>AED_BASIS_1M3M_CURVE</v>
      </c>
      <c r="BI48" s="50"/>
      <c r="BJ48" s="234" t="s">
        <v>772</v>
      </c>
      <c r="BK48" s="242" t="s">
        <v>946</v>
      </c>
      <c r="BL48" s="249" t="s">
        <v>801</v>
      </c>
      <c r="BN48" t="s">
        <v>442</v>
      </c>
      <c r="BO48" t="str">
        <f>A1&amp;"_"&amp;BO39&amp;"_CURVE"</f>
        <v>AED_XCCYBASIS_CURVE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1621</v>
      </c>
      <c r="CG48" s="299"/>
      <c r="CH48" s="299"/>
      <c r="CJ48" t="s">
        <v>442</v>
      </c>
      <c r="CK48" t="s">
        <v>1622</v>
      </c>
      <c r="CM48" s="299"/>
      <c r="CN48" s="299"/>
    </row>
    <row r="49" spans="6:92" x14ac:dyDescent="0.25">
      <c r="F49" s="50"/>
      <c r="G49" s="220" t="s">
        <v>704</v>
      </c>
      <c r="H49" s="221" t="str">
        <f>INDEX('STATIC DATA'!C43:AB43,1,MATCH(A1,'STATIC DATA'!$C$4:$AB$4,0))</f>
        <v>AEB</v>
      </c>
      <c r="I49" s="53"/>
      <c r="K49" t="s">
        <v>450</v>
      </c>
      <c r="L49" s="206" t="str">
        <f>H8</f>
        <v>AED_OIS@423:6</v>
      </c>
      <c r="Q49" s="50"/>
      <c r="R49" s="222" t="s">
        <v>678</v>
      </c>
      <c r="S49" s="223" t="str">
        <f>INDEX('STATIC DATA'!C55:AB55,1,MATCH($A$1,'STATIC DATA'!C4:AB4,0))</f>
        <v>ACT/360</v>
      </c>
      <c r="T49" s="53"/>
      <c r="V49" t="s">
        <v>450</v>
      </c>
      <c r="W49" t="str">
        <f>S8</f>
        <v>AED_SWAP_3M@420:6</v>
      </c>
      <c r="AB49" s="50"/>
      <c r="AC49" s="234" t="s">
        <v>771</v>
      </c>
      <c r="AD49" s="242" t="s">
        <v>1064</v>
      </c>
      <c r="AE49" s="53"/>
      <c r="AG49" t="s">
        <v>450</v>
      </c>
      <c r="AH49" t="str">
        <f>AD8</f>
        <v>AED_BASIS_3M6M@422:6</v>
      </c>
      <c r="AM49" s="50"/>
      <c r="AN49" s="234" t="s">
        <v>771</v>
      </c>
      <c r="AO49" s="242" t="str">
        <f>"AGAINST:"&amp;A1&amp;"3M"</f>
        <v>AGAINST:AED3M</v>
      </c>
      <c r="AP49" s="53"/>
      <c r="AX49" s="50"/>
      <c r="AY49" s="234" t="s">
        <v>771</v>
      </c>
      <c r="AZ49" s="248" t="str">
        <f>$A$1&amp;"3M"</f>
        <v>AED3M</v>
      </c>
      <c r="BA49" s="249" t="s">
        <v>801</v>
      </c>
      <c r="BC49" t="s">
        <v>450</v>
      </c>
      <c r="BD49" t="str">
        <f>AZ8</f>
        <v>Disabled</v>
      </c>
      <c r="BI49" s="50"/>
      <c r="BJ49" s="234" t="s">
        <v>771</v>
      </c>
      <c r="BK49" s="242" t="s">
        <v>946</v>
      </c>
      <c r="BL49" s="53"/>
      <c r="BN49" t="s">
        <v>450</v>
      </c>
      <c r="BO49" t="str">
        <f>BK8</f>
        <v>AED_XCCY@421:6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AED_EURCSA@419:6</v>
      </c>
      <c r="CG49" s="299"/>
      <c r="CH49" s="299"/>
      <c r="CJ49" t="s">
        <v>450</v>
      </c>
      <c r="CK49" t="str">
        <f>CK8</f>
        <v>AED_JPYCSA@418:6</v>
      </c>
      <c r="CM49" s="299"/>
      <c r="CN49" s="299"/>
    </row>
    <row r="50" spans="6:92" x14ac:dyDescent="0.25">
      <c r="F50" s="50"/>
      <c r="G50" s="222" t="s">
        <v>705</v>
      </c>
      <c r="H50" s="223" t="str">
        <f>INDEX('STATIC DATA'!C55:AB55,1,MATCH(A1,'STATIC DATA'!C4:AB4,0))</f>
        <v>ACT/360</v>
      </c>
      <c r="I50" s="53"/>
      <c r="K50" t="s">
        <v>452</v>
      </c>
      <c r="L50" s="206" t="str">
        <f>$A$1&amp;"YC"</f>
        <v>AEDYC</v>
      </c>
      <c r="Q50" s="50"/>
      <c r="R50" s="222" t="s">
        <v>683</v>
      </c>
      <c r="S50" s="223" t="str">
        <f>INDEX('STATIC DATA'!C7:AB7,1,MATCH($A$1,'STATIC DATA'!C4:AB4,0))</f>
        <v>2D</v>
      </c>
      <c r="T50" s="53"/>
      <c r="V50" t="s">
        <v>452</v>
      </c>
      <c r="W50" t="str">
        <f>$A$1&amp;"YC"</f>
        <v>AEDYC</v>
      </c>
      <c r="AB50" s="50"/>
      <c r="AC50" s="234" t="s">
        <v>772</v>
      </c>
      <c r="AD50" s="242" t="s">
        <v>714</v>
      </c>
      <c r="AE50" s="53"/>
      <c r="AG50" t="s">
        <v>452</v>
      </c>
      <c r="AH50" t="str">
        <f>A1&amp;"YC"</f>
        <v>AEDYC</v>
      </c>
      <c r="AM50" s="50"/>
      <c r="AN50" s="234" t="s">
        <v>772</v>
      </c>
      <c r="AO50" s="242" t="s">
        <v>714</v>
      </c>
      <c r="AP50" s="53"/>
      <c r="AX50" s="50"/>
      <c r="AY50" s="234" t="s">
        <v>772</v>
      </c>
      <c r="AZ50" s="242" t="s">
        <v>426</v>
      </c>
      <c r="BA50" s="53"/>
      <c r="BC50" t="s">
        <v>452</v>
      </c>
      <c r="BD50" t="str">
        <f>$A$1&amp;"YC"</f>
        <v>AEDYC</v>
      </c>
      <c r="BI50" s="50"/>
      <c r="BJ50" s="245" t="s">
        <v>774</v>
      </c>
      <c r="BK50" s="244" t="s">
        <v>49</v>
      </c>
      <c r="BL50" s="53"/>
      <c r="BN50" t="s">
        <v>452</v>
      </c>
      <c r="BO50" t="str">
        <f>A1&amp;"YC"</f>
        <v>AEDYC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1038</v>
      </c>
      <c r="CG50" s="299"/>
      <c r="CH50" s="299"/>
      <c r="CJ50" t="s">
        <v>452</v>
      </c>
      <c r="CK50" t="s">
        <v>1038</v>
      </c>
      <c r="CM50" s="299"/>
      <c r="CN50" s="299"/>
    </row>
    <row r="51" spans="6:92" x14ac:dyDescent="0.25">
      <c r="F51" s="50"/>
      <c r="G51" s="222" t="s">
        <v>706</v>
      </c>
      <c r="H51" s="223" t="str">
        <f>IF(INDEX('STATIC DATA'!C56:AB56,1,MATCH(A1,'STATIC DATA'!C4:AB4,0))="1Y","ANNUAL",(IF(INDEX('STATIC DATA'!C56:AB56,1,MATCH(A1,'STATIC DATA'!C4:AB4,0))="6M","SEMI-ANNUAL", "QUARTERLY")))</f>
        <v>QUARTERLY</v>
      </c>
      <c r="I51" s="53"/>
      <c r="K51" t="s">
        <v>453</v>
      </c>
      <c r="L51" s="206"/>
      <c r="Q51" s="50"/>
      <c r="R51" s="222" t="s">
        <v>686</v>
      </c>
      <c r="S51" s="223" t="s">
        <v>687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C51" t="s">
        <v>453</v>
      </c>
      <c r="BI51" s="50"/>
      <c r="BJ51" s="222" t="s">
        <v>775</v>
      </c>
      <c r="BK51" s="216" t="str">
        <f>INDEX('STATIC DATA'!C55:AB55,1,MATCH($A$1,'STATIC DATA'!C4:AB4,0))</f>
        <v>ACT/360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G51" s="299"/>
      <c r="CH51" s="299"/>
      <c r="CJ51" t="s">
        <v>453</v>
      </c>
      <c r="CK51" t="s">
        <v>1131</v>
      </c>
      <c r="CM51" s="299"/>
      <c r="CN51" s="299"/>
    </row>
    <row r="52" spans="6:92" x14ac:dyDescent="0.25">
      <c r="F52" s="50"/>
      <c r="G52" s="225" t="s">
        <v>707</v>
      </c>
      <c r="H52" s="226" t="s">
        <v>687</v>
      </c>
      <c r="I52" s="53"/>
      <c r="L52" s="206"/>
      <c r="Q52" s="50"/>
      <c r="R52" s="233" t="s">
        <v>733</v>
      </c>
      <c r="S52" s="231">
        <v>0.03</v>
      </c>
      <c r="T52" s="53"/>
      <c r="AB52" s="50"/>
      <c r="AC52" s="222" t="s">
        <v>775</v>
      </c>
      <c r="AD52" s="216" t="str">
        <f>INDEX('STATIC DATA'!C55:AB55,1,MATCH($A$1,'STATIC DATA'!C4:AB4,0))</f>
        <v>ACT/360</v>
      </c>
      <c r="AE52" s="53"/>
      <c r="AM52" s="50"/>
      <c r="AN52" s="222" t="s">
        <v>775</v>
      </c>
      <c r="AO52" s="216" t="str">
        <f>INDEX('STATIC DATA'!C55:AB55,1,MATCH($A$1,'STATIC DATA'!C4:AB4,0))</f>
        <v>ACT/360</v>
      </c>
      <c r="AP52" s="53"/>
      <c r="AX52" s="50"/>
      <c r="AY52" s="222" t="s">
        <v>775</v>
      </c>
      <c r="AZ52" s="216" t="str">
        <f>INDEX('STATIC DATA'!C55:AB55,1,MATCH($A$1,'STATIC DATA'!C4:AB4,0))</f>
        <v>ACT/360</v>
      </c>
      <c r="BA52" s="53"/>
      <c r="BI52" s="50"/>
      <c r="BJ52" s="222" t="s">
        <v>776</v>
      </c>
      <c r="BK52" s="216" t="str">
        <f>INDEX('STATIC DATA'!C39:AB39,1,MATCH($A$1,'STATIC DATA'!$C$4:$AB$4,0))</f>
        <v>AEB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G52" s="299"/>
      <c r="CH52" s="299"/>
      <c r="CM52" s="299"/>
      <c r="CN52" s="299"/>
    </row>
    <row r="53" spans="6:92" x14ac:dyDescent="0.25">
      <c r="F53" s="50"/>
      <c r="G53" s="52"/>
      <c r="H53" s="52"/>
      <c r="I53" s="53"/>
      <c r="K53" s="2" t="s">
        <v>454</v>
      </c>
      <c r="L53" s="206"/>
      <c r="Q53" s="50"/>
      <c r="R53" s="222"/>
      <c r="S53" s="223"/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AEB</v>
      </c>
      <c r="AE53" s="53"/>
      <c r="AG53" s="2" t="s">
        <v>454</v>
      </c>
      <c r="AM53" s="50"/>
      <c r="AN53" s="222" t="s">
        <v>776</v>
      </c>
      <c r="AO53" s="216" t="str">
        <f>INDEX('STATIC DATA'!C39:AB39,1,MATCH($A$1,'STATIC DATA'!$C$4:$AB$4,0))</f>
        <v>AEB</v>
      </c>
      <c r="AP53" s="53"/>
      <c r="AX53" s="50"/>
      <c r="AY53" s="222" t="s">
        <v>776</v>
      </c>
      <c r="AZ53" s="216" t="str">
        <f>INDEX('STATIC DATA'!C39:AB39,1,MATCH($A$1,'STATIC DATA'!$C$4:$AB$4,0))</f>
        <v>AEB</v>
      </c>
      <c r="BA53" s="53"/>
      <c r="BC53" s="2" t="s">
        <v>454</v>
      </c>
      <c r="BI53" s="50"/>
      <c r="BJ53" s="222" t="s">
        <v>777</v>
      </c>
      <c r="BK53" s="216" t="s">
        <v>721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G53" s="332"/>
      <c r="CH53" s="332"/>
      <c r="CJ53" s="2" t="s">
        <v>454</v>
      </c>
      <c r="CM53" s="332"/>
      <c r="CN53" s="332"/>
    </row>
    <row r="54" spans="6:92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AED_OIS_CURVE@244:10</v>
      </c>
      <c r="Q54" s="50"/>
      <c r="R54" s="225"/>
      <c r="S54" s="226"/>
      <c r="T54" s="53"/>
      <c r="V54" t="s">
        <v>442</v>
      </c>
      <c r="W54" s="647" t="str">
        <f t="array" ref="W54:W57">IF(ExistsAEDOIS,_xll.meLWOCurveCalibrate(W48,W49,W45,W50),"LOAD DEPENDENCY")</f>
        <v>AED_SWAP_3M_CURVE@459:10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IF(ExistsAED3M,_xll.meLWOCurveCalibrate($AH$48,$AH$49,$AH$45,$AH$50),"LOAD DEPENDENCY")</f>
        <v>AED_BASIS_6M_CURVE@460:10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C54" t="s">
        <v>442</v>
      </c>
      <c r="BD54" t="str">
        <f>IF($AH$58,_xll.meLWOCurveCalibrate($BD$48,$BD$49,$BD$45,$BD$50),"LOAD PRB3M")</f>
        <v>LOAD PRB3M</v>
      </c>
      <c r="BI54" s="50"/>
      <c r="BJ54" s="222" t="s">
        <v>778</v>
      </c>
      <c r="BK54" s="216" t="str">
        <f>INDEX('STATIC DATA'!C40:AB40,1,MATCH($A$1,'STATIC DATA'!$C$4:$AB$4,0))</f>
        <v>AEB</v>
      </c>
      <c r="BL54" s="53"/>
      <c r="BN54" t="s">
        <v>442</v>
      </c>
      <c r="BO54" s="647" t="str">
        <f t="array" ref="BO54:BO57">IF(AND(ExistsUSD3M,ExistsAED3M),_xll.meLWOCurveCalibrate($BO$48,$BO$49,$BO$45,$BO$50,$BO$51),"LOAD DEPENDENCY")</f>
        <v>AED_XCCYBASIS_CURVE@488:2</v>
      </c>
      <c r="BT54" s="50"/>
      <c r="BU54" s="55"/>
      <c r="BV54" s="55"/>
      <c r="BW54" s="55"/>
      <c r="BX54" s="332"/>
      <c r="BY54" s="270" t="s">
        <v>831</v>
      </c>
      <c r="BZ54" s="271" t="s">
        <v>952</v>
      </c>
      <c r="CA54" s="283"/>
      <c r="CB54" s="299"/>
      <c r="CD54" t="s">
        <v>442</v>
      </c>
      <c r="CE54" s="647" t="str">
        <f t="array" ref="CE54:CE57">IF(AND(ExistsAEDXCCY,ExistsEURXCCY),_xll.meLWOCurveCalibrate(CE48,CE49,CE45,CE50,CE51),"LOAD DEPENDENCY")</f>
        <v>AED_EURCSA_CURVE@502:2</v>
      </c>
      <c r="CG54" s="332"/>
      <c r="CH54" s="332"/>
      <c r="CJ54" t="s">
        <v>442</v>
      </c>
      <c r="CK54" s="647" t="str">
        <f t="array" ref="CK54:CK57">IF(AND(ExistsAEDXCCY,ExistsJPYXCCY),_xll.meLWOCurveCalibrate(CK48,CK49,CK45,CK50,CK51),"LOAD DEPENDENCY")</f>
        <v>AED_JPYCSA_CURVE@498:2</v>
      </c>
      <c r="CM54" s="332"/>
      <c r="CN54" s="332"/>
    </row>
    <row r="55" spans="6:92" x14ac:dyDescent="0.25">
      <c r="F55" s="50"/>
      <c r="G55" s="220" t="s">
        <v>677</v>
      </c>
      <c r="H55" s="221" t="str">
        <f>INDEX('STATIC DATA'!C43:AB43,1,MATCH(A1,'STATIC DATA'!$C$4:$AB$4,0))</f>
        <v>AEB</v>
      </c>
      <c r="I55" s="53"/>
      <c r="K55" t="s">
        <v>455</v>
      </c>
      <c r="L55" t="str">
        <v>AEDYC</v>
      </c>
      <c r="Q55" s="50"/>
      <c r="R55" s="52" t="s">
        <v>713</v>
      </c>
      <c r="S55" s="52" t="s">
        <v>713</v>
      </c>
      <c r="T55" s="53"/>
      <c r="V55" t="s">
        <v>455</v>
      </c>
      <c r="W55" s="206" t="str">
        <v>AEDYC</v>
      </c>
      <c r="AB55" s="50"/>
      <c r="AC55" s="222" t="s">
        <v>778</v>
      </c>
      <c r="AD55" s="216" t="str">
        <f>INDEX('STATIC DATA'!C39:AB39,1,MATCH($A$1,'STATIC DATA'!$C$4:$AB$4,0))</f>
        <v>AEB</v>
      </c>
      <c r="AE55" s="53"/>
      <c r="AG55" t="s">
        <v>455</v>
      </c>
      <c r="AH55" t="str">
        <v>AEDYC</v>
      </c>
      <c r="AM55" s="50"/>
      <c r="AN55" s="222" t="s">
        <v>778</v>
      </c>
      <c r="AO55" s="216" t="str">
        <f>INDEX('STATIC DATA'!C39:AB39,1,MATCH($A$1,'STATIC DATA'!$C$4:$AB$4,0))</f>
        <v>AEB</v>
      </c>
      <c r="AP55" s="53"/>
      <c r="AX55" s="50"/>
      <c r="AY55" s="222" t="s">
        <v>778</v>
      </c>
      <c r="AZ55" s="216" t="str">
        <f>INDEX('STATIC DATA'!C39:AB39,1,MATCH($A$1,'STATIC DATA'!$C$4:$AB$4,0))</f>
        <v>AEB</v>
      </c>
      <c r="BA55" s="53"/>
      <c r="BC55" t="s">
        <v>455</v>
      </c>
      <c r="BI55" s="50"/>
      <c r="BJ55" s="222" t="s">
        <v>779</v>
      </c>
      <c r="BK55" s="216" t="str">
        <f>INDEX('STATIC DATA'!N29:AL29,1,MATCH($A$1,'STATIC DATA'!N4:AL4,0))</f>
        <v>2D</v>
      </c>
      <c r="BL55" s="53"/>
      <c r="BN55" t="s">
        <v>455</v>
      </c>
      <c r="BO55" t="str">
        <v>AEDYC</v>
      </c>
      <c r="BT55" s="50"/>
      <c r="BU55" s="55"/>
      <c r="BV55" s="55"/>
      <c r="BW55" s="55"/>
      <c r="BX55" s="332"/>
      <c r="BZ55" s="263" t="str">
        <f>_xll.meLWOFXCurveCreate(BZ54,BV8,BZ45)</f>
        <v>FX_CURVE_USDAED@291:10</v>
      </c>
      <c r="CA55" s="283"/>
      <c r="CB55" s="299"/>
      <c r="CD55" t="s">
        <v>455</v>
      </c>
      <c r="CE55" t="str">
        <v>AEDYC</v>
      </c>
      <c r="CG55" s="332"/>
      <c r="CH55" s="332"/>
      <c r="CJ55" t="s">
        <v>455</v>
      </c>
      <c r="CK55" t="str">
        <v>AEDYC</v>
      </c>
      <c r="CM55" s="332"/>
      <c r="CN55" s="332"/>
    </row>
    <row r="56" spans="6:92" x14ac:dyDescent="0.25">
      <c r="F56" s="50"/>
      <c r="G56" s="222" t="s">
        <v>709</v>
      </c>
      <c r="H56" s="223" t="str">
        <f>INDEX('STATIC DATA'!C53:AB53,1,MATCH(A1,'STATIC DATA'!C4:AB4,0))</f>
        <v>ACT/360</v>
      </c>
      <c r="I56" s="53"/>
      <c r="K56" t="s">
        <v>456</v>
      </c>
      <c r="L56" t="str">
        <v>OIS:AEDOIS</v>
      </c>
      <c r="Q56" s="50"/>
      <c r="R56" s="54" t="s">
        <v>428</v>
      </c>
      <c r="S56" s="52" t="s">
        <v>713</v>
      </c>
      <c r="T56" s="53"/>
      <c r="V56" t="s">
        <v>456</v>
      </c>
      <c r="W56" s="206" t="str">
        <v>STD:AED3M</v>
      </c>
      <c r="AB56" s="50"/>
      <c r="AC56" s="222" t="s">
        <v>779</v>
      </c>
      <c r="AD56" s="216" t="str">
        <f>INDEX('STATIC DATA'!C7:AB7,1,MATCH($A$1,'STATIC DATA'!C4:AB4,0))</f>
        <v>2D</v>
      </c>
      <c r="AE56" s="53"/>
      <c r="AG56" t="s">
        <v>456</v>
      </c>
      <c r="AH56" t="str">
        <v>3M6MBasis:AED6M</v>
      </c>
      <c r="AM56" s="50"/>
      <c r="AN56" s="222" t="s">
        <v>779</v>
      </c>
      <c r="AO56" s="216" t="str">
        <f>INDEX('STATIC DATA'!C7:AB7,1,MATCH($A$1,'STATIC DATA'!C4:AB4,0))</f>
        <v>2D</v>
      </c>
      <c r="AP56" s="53"/>
      <c r="AX56" s="50"/>
      <c r="AY56" s="222" t="s">
        <v>779</v>
      </c>
      <c r="AZ56" s="216" t="str">
        <f>INDEX('STATIC DATA'!C7:AB7,1,MATCH($A$1,'STATIC DATA'!C4:AB4,0))</f>
        <v>2D</v>
      </c>
      <c r="BA56" s="53"/>
      <c r="BC56" t="s">
        <v>456</v>
      </c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XccyBasis:AEDDF_USDCSA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FwdFXConstEUR:AEDDF_EURCSA</v>
      </c>
      <c r="CG56" s="332"/>
      <c r="CH56" s="332"/>
      <c r="CJ56" t="s">
        <v>456</v>
      </c>
      <c r="CK56" t="str">
        <v>FwdFXConstJPY:AEDDF_JPYCSA</v>
      </c>
      <c r="CM56" s="332"/>
      <c r="CN56" s="332"/>
    </row>
    <row r="57" spans="6:92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ANNUAL</v>
      </c>
      <c r="I57" s="53"/>
      <c r="K57" t="s">
        <v>664</v>
      </c>
      <c r="L57" t="str">
        <v>0.009000 sec</v>
      </c>
      <c r="Q57" s="50"/>
      <c r="R57" s="220" t="s">
        <v>704</v>
      </c>
      <c r="S57" s="221" t="str">
        <f>INDEX('STATIC DATA'!C43:AB43,1,MATCH($A$1,'STATIC DATA'!$C$4:$AB$4,0))</f>
        <v>AEB</v>
      </c>
      <c r="T57" s="53"/>
      <c r="V57" t="s">
        <v>664</v>
      </c>
      <c r="W57" s="206" t="str">
        <v>0.005000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0.004000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C57" t="s">
        <v>664</v>
      </c>
      <c r="BI57" s="50"/>
      <c r="BJ57" s="233" t="s">
        <v>781</v>
      </c>
      <c r="BK57" s="241" t="s">
        <v>810</v>
      </c>
      <c r="BL57" s="53"/>
      <c r="BN57" t="s">
        <v>664</v>
      </c>
      <c r="BO57" t="str">
        <v>0.006000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G57" s="332"/>
      <c r="CH57" s="332"/>
      <c r="CJ57" t="s">
        <v>664</v>
      </c>
      <c r="CK57" t="str">
        <v>0.001000 sec</v>
      </c>
      <c r="CM57" s="332"/>
      <c r="CN57" s="332"/>
    </row>
    <row r="58" spans="6:92" x14ac:dyDescent="0.25">
      <c r="F58" s="50"/>
      <c r="G58" s="225" t="s">
        <v>686</v>
      </c>
      <c r="H58" s="226" t="s">
        <v>687</v>
      </c>
      <c r="I58" s="53"/>
      <c r="Q58" s="50"/>
      <c r="R58" s="222" t="s">
        <v>731</v>
      </c>
      <c r="S58" s="223" t="str">
        <f>INDEX('STATIC DATA'!C53:AB53,1,MATCH(A1,'STATIC DATA'!C4:AB4,0))</f>
        <v>ACT/360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D58" t="b">
        <f>_xll.meLWOExists(BD54,"CURVE")</f>
        <v>0</v>
      </c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G58" s="332"/>
      <c r="CH58" s="332"/>
      <c r="CM58" s="332"/>
      <c r="CN58" s="332"/>
    </row>
    <row r="59" spans="6:92" x14ac:dyDescent="0.25">
      <c r="F59" s="50"/>
      <c r="G59" s="52"/>
      <c r="H59" s="52"/>
      <c r="I59" s="53"/>
      <c r="Q59" s="50"/>
      <c r="R59" s="222" t="s">
        <v>734</v>
      </c>
      <c r="S59" s="223" t="str">
        <f>INDEX('STATIC DATA'!C55:AB55,1,MATCH(A1,'STATIC DATA'!C4:AB4,0))</f>
        <v>ACT/360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G59" s="332"/>
      <c r="CH59" s="332"/>
      <c r="CM59" s="332"/>
      <c r="CN59" s="332"/>
    </row>
    <row r="60" spans="6:92" x14ac:dyDescent="0.25">
      <c r="F60" s="50"/>
      <c r="G60" s="52"/>
      <c r="H60" s="52"/>
      <c r="I60" s="53"/>
      <c r="Q60" s="50"/>
      <c r="R60" s="222" t="s">
        <v>706</v>
      </c>
      <c r="S60" s="223" t="str">
        <f>IF(INDEX('STATIC DATA'!C54:AB54,1,MATCH(A1,'STATIC DATA'!C4:AB4,0))="1Y","ANNUAL",(IF(INDEX('STATIC DATA'!C54:AB54,1,MATCH(A1,'STATIC DATA'!C4:AB4,0))="6M","SEMI-ANNUAL", "QUARTERLY")))</f>
        <v>ANNUAL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C60" s="332"/>
      <c r="CD60" s="332"/>
      <c r="CE60" s="332"/>
      <c r="CF60" s="332"/>
      <c r="CG60" s="332"/>
      <c r="CH60" s="332"/>
      <c r="CI60" s="332"/>
      <c r="CJ60" s="332"/>
      <c r="CK60" s="332"/>
      <c r="CL60" s="332"/>
      <c r="CM60" s="332"/>
      <c r="CN60" s="332"/>
    </row>
    <row r="61" spans="6:92" x14ac:dyDescent="0.25">
      <c r="F61" s="50"/>
      <c r="G61" s="52"/>
      <c r="H61" s="52"/>
      <c r="I61" s="53"/>
      <c r="Q61" s="50"/>
      <c r="R61" s="222" t="s">
        <v>735</v>
      </c>
      <c r="S61" s="223" t="str">
        <f>IF(INDEX('STATIC DATA'!C56:AB56,1,MATCH(A1,'STATIC DATA'!C4:AB4,0))="1Y","ANNUAL",(IF(INDEX('STATIC DATA'!C56:AB56,1,MATCH(A1,'STATIC DATA'!C4:AB4,0))="6M","SEMI-ANNUAL", "QUARTERLY")))</f>
        <v>QUARTERLY</v>
      </c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</row>
    <row r="62" spans="6:92" x14ac:dyDescent="0.25">
      <c r="F62" s="50"/>
      <c r="G62" s="52"/>
      <c r="H62" s="52"/>
      <c r="I62" s="53"/>
      <c r="Q62" s="50"/>
      <c r="R62" s="222" t="s">
        <v>736</v>
      </c>
      <c r="S62" s="223" t="s">
        <v>718</v>
      </c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299"/>
    </row>
    <row r="63" spans="6:92" x14ac:dyDescent="0.25">
      <c r="F63" s="50"/>
      <c r="G63" s="52"/>
      <c r="H63" s="52"/>
      <c r="I63" s="53"/>
      <c r="Q63" s="50"/>
      <c r="R63" s="222" t="s">
        <v>737</v>
      </c>
      <c r="S63" s="223">
        <v>31</v>
      </c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</row>
    <row r="64" spans="6:92" x14ac:dyDescent="0.25">
      <c r="F64" s="50"/>
      <c r="G64" s="52"/>
      <c r="H64" s="52"/>
      <c r="I64" s="53"/>
      <c r="Q64" s="50"/>
      <c r="R64" s="222" t="s">
        <v>738</v>
      </c>
      <c r="S64" s="223" t="s">
        <v>718</v>
      </c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33"/>
      <c r="BK64" s="246"/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</row>
    <row r="65" spans="6:92" x14ac:dyDescent="0.25">
      <c r="F65" s="50"/>
      <c r="G65" s="52"/>
      <c r="H65" s="52"/>
      <c r="I65" s="53"/>
      <c r="Q65" s="50"/>
      <c r="R65" s="222" t="s">
        <v>739</v>
      </c>
      <c r="S65" s="223" t="str">
        <f>INDEX('STATIC DATA'!C7:AB7,1,MATCH($A$1,'STATIC DATA'!C4:AB4,0))</f>
        <v>2D</v>
      </c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</row>
    <row r="66" spans="6:92" x14ac:dyDescent="0.25">
      <c r="F66" s="50"/>
      <c r="G66" s="52"/>
      <c r="H66" s="52"/>
      <c r="I66" s="53"/>
      <c r="Q66" s="50"/>
      <c r="R66" s="222" t="s">
        <v>707</v>
      </c>
      <c r="S66" s="223" t="s">
        <v>687</v>
      </c>
      <c r="T66" s="53"/>
      <c r="AB66" s="50"/>
      <c r="AC66" s="225" t="s">
        <v>788</v>
      </c>
      <c r="AD66" s="219" t="s">
        <v>720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</row>
    <row r="67" spans="6:92" x14ac:dyDescent="0.25">
      <c r="F67" s="50"/>
      <c r="G67" s="52"/>
      <c r="H67" s="52"/>
      <c r="I67" s="53"/>
      <c r="Q67" s="50"/>
      <c r="R67" s="222" t="s">
        <v>740</v>
      </c>
      <c r="S67" s="223" t="s">
        <v>718</v>
      </c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</row>
    <row r="68" spans="6:92" x14ac:dyDescent="0.25">
      <c r="F68" s="50"/>
      <c r="G68" s="52"/>
      <c r="H68" s="52"/>
      <c r="I68" s="53"/>
      <c r="Q68" s="50"/>
      <c r="R68" s="222" t="s">
        <v>697</v>
      </c>
      <c r="S68" s="224">
        <v>1.0000000000000001E-9</v>
      </c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5" t="s">
        <v>677</v>
      </c>
      <c r="BK68" s="240" t="str">
        <f>INDEX('STATIC DATA'!C30:AB30,1,MATCH($A$1,'STATIC DATA'!$C$4:$AB$4,0))</f>
        <v>AEB:NYB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</row>
    <row r="69" spans="6:92" x14ac:dyDescent="0.25">
      <c r="F69" s="50"/>
      <c r="G69" s="52"/>
      <c r="H69" s="52"/>
      <c r="I69" s="53"/>
      <c r="Q69" s="50"/>
      <c r="R69" s="222" t="s">
        <v>698</v>
      </c>
      <c r="S69" s="223">
        <v>1000</v>
      </c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5" t="s">
        <v>683</v>
      </c>
      <c r="BK69" s="257" t="str">
        <f>INDEX('STATIC DATA'!N29:AL29,1,MATCH($A$1,'STATIC DATA'!N4:AL4,0))</f>
        <v>2D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</row>
    <row r="70" spans="6:92" x14ac:dyDescent="0.25">
      <c r="F70" s="50"/>
      <c r="G70" s="52"/>
      <c r="H70" s="52"/>
      <c r="I70" s="53"/>
      <c r="Q70" s="50"/>
      <c r="R70" s="225"/>
      <c r="S70" s="226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</row>
    <row r="71" spans="6:92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</row>
    <row r="72" spans="6:92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</row>
    <row r="73" spans="6:92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</row>
    <row r="74" spans="6:92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</row>
    <row r="75" spans="6:92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</row>
    <row r="76" spans="6:92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</row>
    <row r="77" spans="6:92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</row>
    <row r="78" spans="6:92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</row>
    <row r="79" spans="6:92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</row>
    <row r="80" spans="6:92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</row>
    <row r="81" spans="6:92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</row>
    <row r="82" spans="6:92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</row>
    <row r="83" spans="6:92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</row>
    <row r="84" spans="6:92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299"/>
      <c r="CD84" s="299"/>
      <c r="CE84" s="299"/>
      <c r="CF84" s="299"/>
      <c r="CG84" s="299"/>
      <c r="CH84" s="299"/>
      <c r="CI84" s="299"/>
      <c r="CJ84" s="299"/>
      <c r="CK84" s="299"/>
      <c r="CL84" s="299"/>
      <c r="CM84" s="299"/>
      <c r="CN84" s="299"/>
    </row>
    <row r="85" spans="6:92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299"/>
      <c r="CD85" s="299"/>
      <c r="CE85" s="299"/>
      <c r="CF85" s="299"/>
      <c r="CG85" s="299"/>
      <c r="CH85" s="299"/>
      <c r="CI85" s="299"/>
      <c r="CJ85" s="299"/>
      <c r="CK85" s="299"/>
      <c r="CL85" s="299"/>
      <c r="CM85" s="299"/>
      <c r="CN85" s="299"/>
    </row>
    <row r="86" spans="6:92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299"/>
      <c r="CD86" s="299"/>
      <c r="CE86" s="299"/>
      <c r="CF86" s="299"/>
      <c r="CG86" s="299"/>
      <c r="CH86" s="299"/>
      <c r="CI86" s="299"/>
      <c r="CJ86" s="299"/>
      <c r="CK86" s="299"/>
      <c r="CL86" s="299"/>
      <c r="CM86" s="299"/>
      <c r="CN86" s="299"/>
    </row>
    <row r="87" spans="6:92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299"/>
      <c r="CD87" s="299"/>
      <c r="CE87" s="299"/>
      <c r="CF87" s="299"/>
      <c r="CG87" s="299"/>
      <c r="CH87" s="299"/>
      <c r="CI87" s="299"/>
      <c r="CJ87" s="299"/>
      <c r="CK87" s="299"/>
      <c r="CL87" s="299"/>
      <c r="CM87" s="299"/>
      <c r="CN87" s="299"/>
    </row>
    <row r="88" spans="6:92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299"/>
      <c r="CD88" s="299"/>
      <c r="CE88" s="299"/>
      <c r="CF88" s="299"/>
      <c r="CG88" s="299"/>
      <c r="CH88" s="299"/>
      <c r="CI88" s="299"/>
      <c r="CJ88" s="299"/>
      <c r="CK88" s="299"/>
      <c r="CL88" s="299"/>
      <c r="CM88" s="299"/>
      <c r="CN88" s="299"/>
    </row>
    <row r="89" spans="6:92" x14ac:dyDescent="0.25">
      <c r="F89" s="50"/>
      <c r="G89" s="52"/>
      <c r="H89" s="52"/>
      <c r="I89" s="53"/>
      <c r="Q89" s="50"/>
      <c r="R89" s="52"/>
      <c r="S89" s="52"/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299"/>
      <c r="CD89" s="299"/>
      <c r="CE89" s="299"/>
      <c r="CF89" s="299"/>
      <c r="CG89" s="299"/>
      <c r="CH89" s="299"/>
      <c r="CI89" s="299"/>
      <c r="CJ89" s="299"/>
      <c r="CK89" s="299"/>
      <c r="CL89" s="299"/>
      <c r="CM89" s="299"/>
      <c r="CN89" s="299"/>
    </row>
    <row r="90" spans="6:92" x14ac:dyDescent="0.25">
      <c r="F90" s="50"/>
      <c r="G90" s="52"/>
      <c r="H90" s="52"/>
      <c r="I90" s="53"/>
      <c r="Q90" s="50"/>
      <c r="R90" s="52"/>
      <c r="S90" s="52"/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299"/>
      <c r="CD90" s="299"/>
      <c r="CE90" s="299"/>
      <c r="CF90" s="299"/>
      <c r="CG90" s="299"/>
      <c r="CH90" s="299"/>
      <c r="CI90" s="299"/>
      <c r="CJ90" s="299"/>
      <c r="CK90" s="299"/>
      <c r="CL90" s="299"/>
      <c r="CM90" s="299"/>
      <c r="CN90" s="299"/>
    </row>
    <row r="91" spans="6:92" x14ac:dyDescent="0.25">
      <c r="F91" s="50"/>
      <c r="G91" s="52"/>
      <c r="H91" s="52"/>
      <c r="I91" s="53"/>
      <c r="Q91" s="50"/>
      <c r="R91" s="52"/>
      <c r="S91" s="52"/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299"/>
      <c r="CD91" s="299"/>
      <c r="CE91" s="299"/>
      <c r="CF91" s="299"/>
      <c r="CG91" s="299"/>
      <c r="CH91" s="299"/>
      <c r="CI91" s="299"/>
      <c r="CJ91" s="299"/>
      <c r="CK91" s="299"/>
      <c r="CL91" s="299"/>
      <c r="CM91" s="299"/>
      <c r="CN91" s="299"/>
    </row>
    <row r="92" spans="6:92" x14ac:dyDescent="0.25">
      <c r="F92" s="50"/>
      <c r="G92" s="52"/>
      <c r="H92" s="52"/>
      <c r="I92" s="53"/>
      <c r="Q92" s="50"/>
      <c r="R92" s="52"/>
      <c r="S92" s="52"/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</row>
    <row r="93" spans="6:92" x14ac:dyDescent="0.25">
      <c r="F93" s="50"/>
      <c r="G93" s="52"/>
      <c r="H93" s="52"/>
      <c r="I93" s="53"/>
      <c r="Q93" s="50"/>
      <c r="R93" s="52"/>
      <c r="S93" s="52"/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</row>
    <row r="94" spans="6:92" x14ac:dyDescent="0.25">
      <c r="F94" s="50"/>
      <c r="G94" s="52"/>
      <c r="H94" s="52"/>
      <c r="I94" s="53"/>
      <c r="Q94" s="50"/>
      <c r="R94" s="52"/>
      <c r="S94" s="52"/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8"/>
      <c r="CD94" s="298"/>
      <c r="CE94" s="298"/>
      <c r="CF94" s="298"/>
      <c r="CG94" s="298"/>
      <c r="CH94" s="298"/>
      <c r="CI94" s="298"/>
      <c r="CJ94" s="298"/>
      <c r="CK94" s="298"/>
      <c r="CL94" s="298"/>
      <c r="CM94" s="298"/>
      <c r="CN94" s="298"/>
    </row>
    <row r="95" spans="6:92" x14ac:dyDescent="0.25">
      <c r="F95" s="50"/>
      <c r="G95" s="52"/>
      <c r="H95" s="52"/>
      <c r="I95" s="53"/>
      <c r="Q95" s="50"/>
      <c r="R95" s="52"/>
      <c r="S95" s="52"/>
      <c r="T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06"/>
      <c r="CD95" s="206"/>
      <c r="CE95" s="206"/>
      <c r="CF95" s="206"/>
      <c r="CG95" s="206"/>
      <c r="CH95" s="206"/>
      <c r="CI95" s="206"/>
      <c r="CJ95" s="206"/>
      <c r="CK95" s="206"/>
      <c r="CL95" s="206"/>
      <c r="CM95" s="206"/>
      <c r="CN95" s="206"/>
    </row>
    <row r="96" spans="6:92" x14ac:dyDescent="0.25">
      <c r="F96" s="50"/>
      <c r="G96" s="52"/>
      <c r="H96" s="52"/>
      <c r="I96" s="53"/>
      <c r="Q96" s="50"/>
      <c r="R96" s="52"/>
      <c r="S96" s="52"/>
      <c r="T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06"/>
      <c r="CD96" s="206"/>
      <c r="CE96" s="206"/>
      <c r="CF96" s="206"/>
      <c r="CG96" s="206"/>
      <c r="CH96" s="206"/>
      <c r="CI96" s="206"/>
      <c r="CJ96" s="206"/>
      <c r="CK96" s="206"/>
      <c r="CL96" s="206"/>
      <c r="CM96" s="206"/>
      <c r="CN96" s="206"/>
    </row>
    <row r="97" spans="6:99" x14ac:dyDescent="0.25">
      <c r="F97" s="50"/>
      <c r="G97" s="52"/>
      <c r="H97" s="52"/>
      <c r="I97" s="53"/>
      <c r="Q97" s="50"/>
      <c r="R97" s="52"/>
      <c r="S97" s="52"/>
      <c r="T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</row>
    <row r="98" spans="6:99" x14ac:dyDescent="0.25">
      <c r="F98" s="75"/>
      <c r="G98" s="76"/>
      <c r="H98" s="76"/>
      <c r="I98" s="77"/>
      <c r="Q98" s="75"/>
      <c r="R98" s="76"/>
      <c r="S98" s="76"/>
      <c r="T98" s="77"/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</row>
    <row r="99" spans="6:99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O99" s="206"/>
      <c r="CP99" s="206"/>
      <c r="CQ99" s="206"/>
      <c r="CR99" s="206"/>
      <c r="CS99" s="206"/>
      <c r="CT99" s="206"/>
      <c r="CU99" s="206"/>
    </row>
    <row r="100" spans="6:99" x14ac:dyDescent="0.25">
      <c r="BT100" s="206"/>
      <c r="BU100" s="206"/>
      <c r="BV100" s="206"/>
      <c r="BW100" s="206"/>
      <c r="BY100" s="299"/>
      <c r="BZ100" s="299"/>
      <c r="CA100" s="299"/>
      <c r="CB100" s="299"/>
      <c r="CO100" s="206"/>
      <c r="CP100" s="206"/>
      <c r="CQ100" s="206"/>
      <c r="CR100" s="206"/>
      <c r="CS100" s="206"/>
      <c r="CT100" s="206"/>
      <c r="CU100" s="206"/>
    </row>
    <row r="101" spans="6:99" x14ac:dyDescent="0.25">
      <c r="BT101" s="206"/>
      <c r="BU101" s="206"/>
      <c r="BV101" s="206"/>
      <c r="BW101" s="206"/>
      <c r="BY101" s="299"/>
      <c r="BZ101" s="299"/>
      <c r="CA101" s="299"/>
      <c r="CB101" s="299"/>
      <c r="CO101" s="206"/>
      <c r="CP101" s="206"/>
      <c r="CQ101" s="206"/>
      <c r="CR101" s="206"/>
      <c r="CS101" s="206"/>
      <c r="CT101" s="206"/>
      <c r="CU101" s="206"/>
    </row>
    <row r="102" spans="6:99" x14ac:dyDescent="0.25">
      <c r="BT102" s="206"/>
      <c r="BU102" s="206"/>
      <c r="BV102" s="206"/>
      <c r="BW102" s="206"/>
      <c r="BY102" s="299"/>
      <c r="BZ102" s="299"/>
      <c r="CA102" s="299"/>
      <c r="CB102" s="299"/>
      <c r="CO102" s="206"/>
      <c r="CP102" s="206"/>
      <c r="CQ102" s="206"/>
      <c r="CR102" s="206"/>
      <c r="CS102" s="206"/>
      <c r="CT102" s="206"/>
      <c r="CU102" s="206"/>
    </row>
    <row r="103" spans="6:99" x14ac:dyDescent="0.25">
      <c r="BT103" s="206"/>
      <c r="BU103" s="206"/>
      <c r="BV103" s="206"/>
      <c r="BW103" s="206"/>
      <c r="BY103" s="299"/>
      <c r="BZ103" s="299"/>
      <c r="CA103" s="299"/>
      <c r="CB103" s="299"/>
      <c r="CO103" s="206"/>
      <c r="CP103" s="206"/>
      <c r="CQ103" s="206"/>
      <c r="CR103" s="206"/>
      <c r="CS103" s="206"/>
      <c r="CT103" s="206"/>
      <c r="CU103" s="206"/>
    </row>
    <row r="104" spans="6:99" x14ac:dyDescent="0.25">
      <c r="BT104" s="206"/>
      <c r="BU104" s="206"/>
      <c r="BV104" s="206"/>
      <c r="BW104" s="206"/>
      <c r="BY104" s="299"/>
      <c r="BZ104" s="299"/>
      <c r="CA104" s="299"/>
      <c r="CB104" s="299"/>
      <c r="CO104" s="206"/>
      <c r="CP104" s="206"/>
      <c r="CQ104" s="206"/>
      <c r="CR104" s="206"/>
      <c r="CS104" s="206"/>
      <c r="CT104" s="206"/>
      <c r="CU104" s="206"/>
    </row>
    <row r="105" spans="6:99" x14ac:dyDescent="0.25">
      <c r="BT105" s="206"/>
      <c r="BU105" s="206"/>
      <c r="BV105" s="206"/>
      <c r="BW105" s="206"/>
      <c r="BY105" s="299"/>
      <c r="BZ105" s="299"/>
      <c r="CA105" s="299"/>
      <c r="CB105" s="299"/>
      <c r="CO105" s="206"/>
      <c r="CP105" s="206"/>
      <c r="CQ105" s="206"/>
      <c r="CR105" s="206"/>
      <c r="CS105" s="206"/>
      <c r="CT105" s="206"/>
      <c r="CU105" s="206"/>
    </row>
    <row r="106" spans="6:99" x14ac:dyDescent="0.25">
      <c r="BT106" s="206"/>
      <c r="BU106" s="206"/>
      <c r="BV106" s="206"/>
      <c r="BW106" s="206"/>
      <c r="BY106" s="299"/>
      <c r="BZ106" s="299"/>
      <c r="CA106" s="299"/>
      <c r="CB106" s="299"/>
      <c r="CO106" s="206"/>
      <c r="CP106" s="206"/>
      <c r="CQ106" s="206"/>
      <c r="CR106" s="206"/>
      <c r="CS106" s="206"/>
      <c r="CT106" s="206"/>
      <c r="CU106" s="206"/>
    </row>
    <row r="107" spans="6:99" x14ac:dyDescent="0.25">
      <c r="BT107" s="206"/>
      <c r="BU107" s="206"/>
      <c r="BV107" s="206"/>
      <c r="BW107" s="206"/>
      <c r="BY107" s="299"/>
      <c r="BZ107" s="299"/>
      <c r="CA107" s="299"/>
      <c r="CB107" s="299"/>
      <c r="CO107" s="206"/>
      <c r="CP107" s="206"/>
      <c r="CQ107" s="206"/>
      <c r="CR107" s="206"/>
      <c r="CS107" s="206"/>
      <c r="CT107" s="206"/>
      <c r="CU107" s="206"/>
    </row>
    <row r="108" spans="6:99" x14ac:dyDescent="0.25">
      <c r="BT108" s="206"/>
      <c r="BU108" s="206"/>
      <c r="BV108" s="206"/>
      <c r="BW108" s="206"/>
      <c r="BY108" s="299"/>
      <c r="BZ108" s="299"/>
      <c r="CA108" s="299"/>
      <c r="CB108" s="299"/>
      <c r="CO108" s="206"/>
      <c r="CP108" s="206"/>
      <c r="CQ108" s="206"/>
      <c r="CR108" s="206"/>
      <c r="CS108" s="206"/>
      <c r="CT108" s="206"/>
      <c r="CU108" s="206"/>
    </row>
    <row r="109" spans="6:99" x14ac:dyDescent="0.25">
      <c r="BT109" s="206"/>
      <c r="BU109" s="206"/>
      <c r="BV109" s="206"/>
      <c r="BW109" s="206"/>
      <c r="BY109" s="299"/>
      <c r="BZ109" s="299"/>
      <c r="CA109" s="299"/>
      <c r="CB109" s="299"/>
      <c r="CO109" s="206"/>
      <c r="CP109" s="206"/>
      <c r="CQ109" s="206"/>
      <c r="CR109" s="206"/>
      <c r="CS109" s="206"/>
      <c r="CT109" s="206"/>
      <c r="CU109" s="206"/>
    </row>
    <row r="110" spans="6:99" x14ac:dyDescent="0.25">
      <c r="BT110" s="206"/>
      <c r="BU110" s="206"/>
      <c r="BV110" s="206"/>
      <c r="BW110" s="206"/>
      <c r="BY110" s="299"/>
      <c r="BZ110" s="299"/>
      <c r="CA110" s="299"/>
      <c r="CB110" s="299"/>
      <c r="CO110" s="206"/>
      <c r="CP110" s="206"/>
      <c r="CQ110" s="206"/>
      <c r="CR110" s="206"/>
      <c r="CS110" s="206"/>
      <c r="CT110" s="206"/>
      <c r="CU110" s="206"/>
    </row>
    <row r="111" spans="6:99" x14ac:dyDescent="0.25">
      <c r="BT111" s="206"/>
      <c r="BU111" s="206"/>
      <c r="BV111" s="206"/>
      <c r="BW111" s="206"/>
      <c r="BY111" s="299"/>
      <c r="BZ111" s="299"/>
      <c r="CA111" s="299"/>
      <c r="CB111" s="299"/>
      <c r="CO111" s="206"/>
      <c r="CP111" s="206"/>
      <c r="CQ111" s="206"/>
      <c r="CR111" s="206"/>
      <c r="CS111" s="206"/>
      <c r="CT111" s="206"/>
      <c r="CU111" s="206"/>
    </row>
    <row r="112" spans="6:99" x14ac:dyDescent="0.25">
      <c r="BT112" s="206"/>
      <c r="BU112" s="206"/>
      <c r="BV112" s="206"/>
      <c r="BW112" s="206"/>
      <c r="BY112" s="299"/>
      <c r="BZ112" s="299"/>
      <c r="CA112" s="299"/>
      <c r="CB112" s="299"/>
      <c r="CO112" s="206"/>
      <c r="CP112" s="206"/>
      <c r="CQ112" s="206"/>
      <c r="CR112" s="206"/>
      <c r="CS112" s="206"/>
      <c r="CT112" s="206"/>
      <c r="CU112" s="206"/>
    </row>
    <row r="113" spans="72:99" x14ac:dyDescent="0.25">
      <c r="BT113" s="206"/>
      <c r="BU113" s="206"/>
      <c r="BV113" s="206"/>
      <c r="BW113" s="206"/>
      <c r="BY113" s="299"/>
      <c r="BZ113" s="299"/>
      <c r="CA113" s="299"/>
      <c r="CB113" s="299"/>
      <c r="CO113" s="206"/>
      <c r="CP113" s="206"/>
      <c r="CQ113" s="206"/>
      <c r="CR113" s="206"/>
      <c r="CS113" s="206"/>
      <c r="CT113" s="206"/>
      <c r="CU113" s="206"/>
    </row>
    <row r="114" spans="72:99" x14ac:dyDescent="0.25">
      <c r="BT114" s="206"/>
      <c r="BU114" s="206"/>
      <c r="BV114" s="206"/>
      <c r="BW114" s="206"/>
      <c r="BY114" s="299"/>
      <c r="BZ114" s="299"/>
      <c r="CA114" s="299"/>
      <c r="CB114" s="299"/>
      <c r="CO114" s="206"/>
      <c r="CP114" s="206"/>
      <c r="CQ114" s="206"/>
      <c r="CR114" s="206"/>
      <c r="CS114" s="206"/>
      <c r="CT114" s="206"/>
      <c r="CU114" s="206"/>
    </row>
    <row r="115" spans="72:99" x14ac:dyDescent="0.25">
      <c r="BT115" s="206"/>
      <c r="BU115" s="206"/>
      <c r="BV115" s="206"/>
      <c r="BW115" s="206"/>
      <c r="BY115" s="299"/>
      <c r="BZ115" s="299"/>
      <c r="CA115" s="299"/>
      <c r="CB115" s="299"/>
      <c r="CO115" s="206"/>
      <c r="CP115" s="206"/>
      <c r="CQ115" s="206"/>
      <c r="CR115" s="206"/>
      <c r="CS115" s="206"/>
      <c r="CT115" s="206"/>
      <c r="CU115" s="206"/>
    </row>
    <row r="116" spans="72:99" x14ac:dyDescent="0.25">
      <c r="BT116" s="206"/>
      <c r="BU116" s="206"/>
      <c r="BV116" s="206"/>
      <c r="BW116" s="206"/>
      <c r="BY116" s="299"/>
      <c r="BZ116" s="299"/>
      <c r="CA116" s="299"/>
      <c r="CB116" s="299"/>
      <c r="CO116" s="206"/>
      <c r="CP116" s="206"/>
      <c r="CQ116" s="206"/>
      <c r="CR116" s="206"/>
      <c r="CS116" s="206"/>
      <c r="CT116" s="206"/>
      <c r="CU116" s="206"/>
    </row>
    <row r="117" spans="72:99" x14ac:dyDescent="0.25">
      <c r="BT117" s="206"/>
      <c r="BU117" s="206"/>
      <c r="BV117" s="206"/>
      <c r="BW117" s="206"/>
      <c r="BY117" s="299"/>
      <c r="BZ117" s="299"/>
      <c r="CA117" s="299"/>
      <c r="CB117" s="299"/>
      <c r="CO117" s="206"/>
      <c r="CP117" s="206"/>
      <c r="CQ117" s="206"/>
      <c r="CR117" s="206"/>
      <c r="CS117" s="206"/>
      <c r="CT117" s="206"/>
      <c r="CU117" s="206"/>
    </row>
    <row r="118" spans="72:99" x14ac:dyDescent="0.25">
      <c r="BT118" s="206"/>
      <c r="BU118" s="206"/>
      <c r="BV118" s="206"/>
      <c r="BW118" s="206"/>
      <c r="BY118" s="299"/>
      <c r="BZ118" s="299"/>
      <c r="CA118" s="299"/>
      <c r="CB118" s="299"/>
      <c r="CO118" s="206"/>
      <c r="CP118" s="206"/>
      <c r="CQ118" s="206"/>
      <c r="CR118" s="206"/>
      <c r="CS118" s="206"/>
      <c r="CT118" s="206"/>
      <c r="CU118" s="206"/>
    </row>
    <row r="119" spans="72:99" x14ac:dyDescent="0.25">
      <c r="BT119" s="206"/>
      <c r="BU119" s="206"/>
      <c r="BV119" s="206"/>
      <c r="BW119" s="206"/>
      <c r="BY119" s="299"/>
      <c r="BZ119" s="299"/>
      <c r="CA119" s="299"/>
      <c r="CB119" s="299"/>
      <c r="CO119" s="206"/>
      <c r="CP119" s="206"/>
      <c r="CQ119" s="206"/>
      <c r="CR119" s="206"/>
      <c r="CS119" s="206"/>
      <c r="CT119" s="206"/>
      <c r="CU119" s="206"/>
    </row>
    <row r="120" spans="72:99" x14ac:dyDescent="0.25">
      <c r="BT120" s="206"/>
      <c r="BU120" s="206"/>
      <c r="BV120" s="206"/>
      <c r="BW120" s="206"/>
      <c r="BY120" s="299"/>
      <c r="BZ120" s="299"/>
      <c r="CA120" s="299"/>
      <c r="CB120" s="299"/>
      <c r="CO120" s="206"/>
      <c r="CP120" s="206"/>
      <c r="CQ120" s="206"/>
      <c r="CR120" s="206"/>
      <c r="CS120" s="206"/>
      <c r="CT120" s="206"/>
      <c r="CU120" s="206"/>
    </row>
    <row r="121" spans="72:99" x14ac:dyDescent="0.25">
      <c r="BT121" s="206"/>
      <c r="BU121" s="206"/>
      <c r="BV121" s="206"/>
      <c r="BW121" s="206"/>
      <c r="BY121" s="299"/>
      <c r="BZ121" s="299"/>
      <c r="CA121" s="299"/>
      <c r="CB121" s="299"/>
      <c r="CO121" s="206"/>
      <c r="CP121" s="206"/>
      <c r="CQ121" s="206"/>
      <c r="CR121" s="206"/>
      <c r="CS121" s="206"/>
      <c r="CT121" s="206"/>
      <c r="CU121" s="206"/>
    </row>
    <row r="122" spans="72:99" x14ac:dyDescent="0.25">
      <c r="BT122" s="206"/>
      <c r="BU122" s="206"/>
      <c r="BV122" s="206"/>
      <c r="BW122" s="206"/>
      <c r="BY122" s="299"/>
      <c r="BZ122" s="299"/>
      <c r="CA122" s="299"/>
      <c r="CB122" s="299"/>
      <c r="CO122" s="206"/>
      <c r="CP122" s="206"/>
      <c r="CQ122" s="206"/>
      <c r="CR122" s="206"/>
      <c r="CS122" s="206"/>
      <c r="CT122" s="206"/>
      <c r="CU122" s="206"/>
    </row>
    <row r="123" spans="72:99" x14ac:dyDescent="0.25">
      <c r="BT123" s="206"/>
      <c r="BU123" s="206"/>
      <c r="BV123" s="206"/>
      <c r="BW123" s="206"/>
      <c r="BY123" s="299"/>
      <c r="BZ123" s="299"/>
      <c r="CA123" s="299"/>
      <c r="CB123" s="299"/>
      <c r="CO123" s="206"/>
      <c r="CP123" s="206"/>
      <c r="CQ123" s="206"/>
      <c r="CR123" s="206"/>
      <c r="CS123" s="206"/>
      <c r="CT123" s="206"/>
      <c r="CU123" s="206"/>
    </row>
    <row r="124" spans="72:99" x14ac:dyDescent="0.25">
      <c r="BT124" s="206"/>
      <c r="BU124" s="206"/>
      <c r="BV124" s="206"/>
      <c r="BW124" s="206"/>
      <c r="BY124" s="299"/>
      <c r="BZ124" s="299"/>
      <c r="CA124" s="299"/>
      <c r="CB124" s="299"/>
      <c r="CO124" s="206"/>
      <c r="CP124" s="206"/>
      <c r="CQ124" s="206"/>
      <c r="CR124" s="206"/>
      <c r="CS124" s="206"/>
      <c r="CT124" s="206"/>
      <c r="CU124" s="206"/>
    </row>
    <row r="125" spans="72:99" x14ac:dyDescent="0.25">
      <c r="BT125" s="206"/>
      <c r="BU125" s="206"/>
      <c r="BV125" s="206"/>
      <c r="BW125" s="206"/>
      <c r="BY125" s="298"/>
      <c r="BZ125" s="298"/>
      <c r="CA125" s="298"/>
      <c r="CB125" s="298"/>
      <c r="CO125" s="206"/>
      <c r="CP125" s="206"/>
      <c r="CQ125" s="206"/>
      <c r="CR125" s="206"/>
      <c r="CS125" s="206"/>
      <c r="CT125" s="206"/>
      <c r="CU125" s="206"/>
    </row>
    <row r="126" spans="72:99" x14ac:dyDescent="0.25">
      <c r="BT126" s="206"/>
      <c r="BU126" s="206"/>
      <c r="BV126" s="206"/>
      <c r="BW126" s="206"/>
      <c r="BY126" s="206"/>
      <c r="BZ126" s="206"/>
      <c r="CA126" s="206"/>
      <c r="CB126" s="206"/>
      <c r="CO126" s="206"/>
      <c r="CP126" s="206"/>
      <c r="CQ126" s="206"/>
      <c r="CR126" s="206"/>
      <c r="CS126" s="206"/>
      <c r="CT126" s="206"/>
      <c r="CU126" s="206"/>
    </row>
    <row r="127" spans="72:99" x14ac:dyDescent="0.25">
      <c r="BT127" s="206"/>
      <c r="BU127" s="206"/>
      <c r="BV127" s="206"/>
      <c r="BW127" s="206"/>
      <c r="BY127" s="206"/>
      <c r="BZ127" s="206"/>
      <c r="CA127" s="206"/>
      <c r="CB127" s="206"/>
      <c r="CO127" s="206"/>
      <c r="CP127" s="206"/>
      <c r="CQ127" s="206"/>
      <c r="CR127" s="206"/>
      <c r="CS127" s="206"/>
      <c r="CT127" s="206"/>
      <c r="CU127" s="206"/>
    </row>
  </sheetData>
  <dataValidations count="2"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DZ155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36.7109375" bestFit="1" customWidth="1" outlineLevel="2"/>
    <col min="9" max="9" width="9.140625" customWidth="1" outlineLevel="2"/>
    <col min="10" max="10" width="9.140625" customWidth="1"/>
    <col min="11" max="11" width="14.7109375" customWidth="1"/>
    <col min="12" max="12" width="15.5703125" customWidth="1"/>
    <col min="13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88.140625" style="209" customWidth="1" outlineLevel="1"/>
    <col min="20" max="20" width="9.140625" customWidth="1" outlineLevel="1"/>
    <col min="21" max="21" width="9.140625" customWidth="1"/>
    <col min="22" max="22" width="26.140625" customWidth="1"/>
    <col min="23" max="23" width="17.5703125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2" max="32" width="24" customWidth="1"/>
    <col min="33" max="33" width="14.85546875" customWidth="1"/>
    <col min="34" max="34" width="39.140625" bestFit="1" customWidth="1"/>
    <col min="35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1"/>
    <col min="51" max="51" width="30.7109375" hidden="1" customWidth="1" outlineLevel="1"/>
    <col min="52" max="52" width="40.7109375" hidden="1" customWidth="1" outlineLevel="1"/>
    <col min="53" max="54" width="9.140625" hidden="1" customWidth="1" outlineLevel="1"/>
    <col min="55" max="55" width="14.28515625" hidden="1" customWidth="1" outlineLevel="1"/>
    <col min="56" max="59" width="10.7109375" hidden="1" customWidth="1" outlineLevel="1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5" max="65" width="17.140625" customWidth="1"/>
    <col min="66" max="66" width="25.28515625" bestFit="1" customWidth="1"/>
    <col min="67" max="67" width="42.5703125" bestFit="1" customWidth="1"/>
    <col min="68" max="68" width="9.28515625" bestFit="1" customWidth="1"/>
    <col min="69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style="299" customWidth="1"/>
    <col min="78" max="78" width="25.42578125" style="299" bestFit="1" customWidth="1"/>
    <col min="79" max="79" width="13" style="299" bestFit="1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5" width="9.140625" customWidth="1"/>
    <col min="86" max="86" width="25.7109375" bestFit="1" customWidth="1"/>
    <col min="87" max="87" width="13.5703125" bestFit="1" customWidth="1"/>
    <col min="88" max="88" width="29.7109375" bestFit="1" customWidth="1"/>
    <col min="89" max="89" width="34.28515625" bestFit="1" customWidth="1"/>
    <col min="90" max="90" width="9.140625" customWidth="1"/>
    <col min="91" max="91" width="9.140625" style="299" customWidth="1"/>
    <col min="92" max="92" width="20.7109375" style="299" customWidth="1"/>
    <col min="93" max="93" width="15.140625" style="390" bestFit="1" customWidth="1"/>
    <col min="94" max="94" width="9.85546875" style="403" bestFit="1" customWidth="1"/>
    <col min="95" max="95" width="10.140625" style="403" customWidth="1"/>
    <col min="96" max="96" width="10.140625" style="403" bestFit="1" customWidth="1"/>
    <col min="97" max="97" width="15.140625" style="403" bestFit="1" customWidth="1"/>
    <col min="98" max="98" width="9.140625" style="544"/>
    <col min="99" max="99" width="9.140625" style="203"/>
    <col min="120" max="120" width="58.140625" bestFit="1" customWidth="1"/>
    <col min="121" max="121" width="20.7109375" customWidth="1"/>
    <col min="122" max="122" width="22.28515625" customWidth="1"/>
    <col min="123" max="123" width="10.85546875" bestFit="1" customWidth="1"/>
    <col min="124" max="124" width="20.7109375" customWidth="1"/>
    <col min="125" max="125" width="11.140625" bestFit="1" customWidth="1"/>
    <col min="126" max="128" width="20.7109375" customWidth="1"/>
    <col min="129" max="129" width="9.140625" customWidth="1"/>
    <col min="130" max="130" width="20.7109375" customWidth="1"/>
  </cols>
  <sheetData>
    <row r="1" spans="1:130" x14ac:dyDescent="0.25">
      <c r="A1" s="2" t="s">
        <v>1634</v>
      </c>
      <c r="L1" s="5"/>
      <c r="M1" s="5"/>
      <c r="N1" s="5"/>
      <c r="O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313"/>
      <c r="BZ1" s="375"/>
      <c r="CA1" s="375"/>
      <c r="CB1" s="5"/>
      <c r="CU1" s="401"/>
      <c r="CV1" s="206"/>
      <c r="CW1" s="206"/>
      <c r="DP1" s="209"/>
      <c r="DQ1" s="209"/>
      <c r="DR1" s="209"/>
      <c r="DS1" s="304"/>
      <c r="DT1" s="206"/>
      <c r="DU1" s="206"/>
      <c r="DV1" s="206"/>
      <c r="DW1" s="206"/>
      <c r="DX1" s="206"/>
      <c r="DY1" s="299"/>
      <c r="DZ1" s="304"/>
    </row>
    <row r="2" spans="1:130" x14ac:dyDescent="0.25">
      <c r="F2" s="237" t="s">
        <v>712</v>
      </c>
      <c r="K2" s="2" t="str">
        <f>A1&amp;"_OIS"</f>
        <v>BRL_OIS</v>
      </c>
      <c r="L2" s="5"/>
      <c r="M2" s="5"/>
      <c r="N2" s="5"/>
      <c r="O2" s="5"/>
      <c r="Q2" s="237"/>
      <c r="V2" s="2" t="str">
        <f>A1&amp;"_SWAP_3M"</f>
        <v>BRL_SWAP_3M</v>
      </c>
      <c r="AB2" s="237"/>
      <c r="AG2" s="2" t="str">
        <f>A1&amp;"_BASIS_6M"</f>
        <v>BRL_BASIS_6M</v>
      </c>
      <c r="AH2" s="5"/>
      <c r="AI2" s="5"/>
      <c r="AJ2" s="5"/>
      <c r="AK2" s="5"/>
      <c r="AR2" t="str">
        <f>A1&amp;"_BASIS_12M"</f>
        <v>BRL_BASIS_12M</v>
      </c>
      <c r="BC2" t="str">
        <f>A1&amp;"_BASIS_1M"</f>
        <v>BRL_BASIS_1M</v>
      </c>
      <c r="BN2" s="2" t="str">
        <f>A1&amp;"_XCCYBASIS"</f>
        <v>BRL_XCCYBASIS</v>
      </c>
      <c r="BO2" s="5"/>
      <c r="BP2" s="5"/>
      <c r="BQ2" s="5"/>
      <c r="BR2" s="5"/>
      <c r="BZ2" s="375"/>
      <c r="CA2" s="375"/>
      <c r="CB2" s="5"/>
      <c r="CN2" s="332"/>
      <c r="CO2" s="511"/>
      <c r="CP2" s="404"/>
      <c r="CQ2" s="404"/>
      <c r="CR2" s="404"/>
      <c r="CU2" s="401"/>
      <c r="CV2" s="206"/>
      <c r="CW2" s="206"/>
      <c r="DS2" s="306"/>
      <c r="DT2" s="307"/>
      <c r="DU2" s="307"/>
      <c r="DV2" s="307"/>
      <c r="DW2" s="307"/>
      <c r="DX2" s="307"/>
      <c r="DY2" s="299"/>
      <c r="DZ2" s="308"/>
    </row>
    <row r="3" spans="1:130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BZ3" s="375"/>
      <c r="CA3" s="375"/>
      <c r="CB3" s="5"/>
      <c r="CC3" s="45"/>
      <c r="CD3" s="48"/>
      <c r="CE3" s="48"/>
      <c r="CF3" s="49"/>
      <c r="CI3" s="45"/>
      <c r="CJ3" s="48"/>
      <c r="CK3" s="48"/>
      <c r="CL3" s="49"/>
      <c r="CN3" s="436"/>
      <c r="CO3" s="543"/>
      <c r="CP3" s="547"/>
      <c r="CQ3" s="547"/>
      <c r="CR3" s="547"/>
      <c r="CU3" s="401"/>
      <c r="CV3" s="206"/>
      <c r="CW3" s="206"/>
      <c r="DS3" s="309"/>
      <c r="DT3" s="284"/>
      <c r="DU3" s="310"/>
      <c r="DV3" s="285"/>
      <c r="DW3" s="285"/>
      <c r="DX3" s="286"/>
      <c r="DY3" s="299"/>
      <c r="DZ3" s="311"/>
    </row>
    <row r="4" spans="1:130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Y4" s="5">
        <v>0</v>
      </c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15</v>
      </c>
      <c r="BR4" s="5"/>
      <c r="BT4" s="50"/>
      <c r="BU4" s="52"/>
      <c r="BV4" s="52"/>
      <c r="BW4" s="52"/>
      <c r="BX4" s="299"/>
      <c r="BZ4" s="375"/>
      <c r="CA4" s="375"/>
      <c r="CB4" s="5"/>
      <c r="CC4" s="50"/>
      <c r="CD4" s="81"/>
      <c r="CE4" s="228"/>
      <c r="CF4" s="53"/>
      <c r="CI4" s="50"/>
      <c r="CJ4" s="81"/>
      <c r="CK4" s="228"/>
      <c r="CL4" s="53"/>
      <c r="CN4" s="436"/>
      <c r="CO4" s="543"/>
      <c r="CP4" s="547"/>
      <c r="CQ4" s="547"/>
      <c r="CR4" s="547"/>
      <c r="CU4" s="401"/>
      <c r="CV4" s="206"/>
      <c r="CW4" s="206"/>
      <c r="DS4" s="264"/>
      <c r="DT4" s="314"/>
      <c r="DU4" s="315"/>
      <c r="DV4" s="316"/>
      <c r="DW4" s="316"/>
      <c r="DX4" s="317"/>
      <c r="DY4" s="299"/>
      <c r="DZ4" s="318"/>
    </row>
    <row r="5" spans="1:130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20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630" t="s">
        <v>822</v>
      </c>
      <c r="BZ5" s="262"/>
      <c r="CA5" s="620"/>
      <c r="CB5" s="620"/>
      <c r="CC5" s="50"/>
      <c r="CD5" s="54" t="s">
        <v>1314</v>
      </c>
      <c r="CE5" s="228"/>
      <c r="CF5" s="53"/>
      <c r="CI5" s="50"/>
      <c r="CJ5" s="54" t="s">
        <v>1605</v>
      </c>
      <c r="CK5" s="228"/>
      <c r="CL5" s="53"/>
      <c r="CN5" s="436"/>
      <c r="CO5" s="543"/>
      <c r="CP5" s="547"/>
      <c r="CQ5" s="547"/>
      <c r="CR5" s="547"/>
      <c r="CU5" s="401"/>
      <c r="CV5" s="206"/>
      <c r="CW5" s="206"/>
      <c r="DS5" s="273"/>
      <c r="DT5" s="274"/>
      <c r="DU5" s="320"/>
      <c r="DV5" s="321"/>
      <c r="DW5" s="321"/>
      <c r="DX5" s="322"/>
      <c r="DY5" s="299"/>
      <c r="DZ5" s="318"/>
    </row>
    <row r="6" spans="1:130" x14ac:dyDescent="0.25">
      <c r="F6" s="50"/>
      <c r="G6" s="51" t="s">
        <v>1583</v>
      </c>
      <c r="H6" s="210" t="b">
        <v>0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1581</v>
      </c>
      <c r="S6" s="210" t="b">
        <v>0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0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1579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1579</v>
      </c>
      <c r="AZ6" s="210" t="b">
        <v>0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Y6" s="620"/>
      <c r="BZ6" s="261" t="s">
        <v>502</v>
      </c>
      <c r="CA6" s="261" t="s">
        <v>503</v>
      </c>
      <c r="CB6" s="620"/>
      <c r="CC6" s="50"/>
      <c r="CD6" s="51" t="s">
        <v>743</v>
      </c>
      <c r="CE6" s="210" t="b">
        <v>0</v>
      </c>
      <c r="CF6" s="53"/>
      <c r="CI6" s="50"/>
      <c r="CJ6" s="51" t="s">
        <v>743</v>
      </c>
      <c r="CK6" s="210" t="b">
        <v>0</v>
      </c>
      <c r="CL6" s="53"/>
      <c r="CN6" s="436"/>
      <c r="CO6" s="543"/>
      <c r="CP6" s="547"/>
      <c r="CQ6" s="547"/>
      <c r="CR6" s="547"/>
      <c r="CU6" s="401"/>
      <c r="CV6" s="206"/>
      <c r="CW6" s="206"/>
      <c r="DS6" s="264"/>
      <c r="DT6" s="314"/>
      <c r="DU6" s="315"/>
      <c r="DV6" s="316"/>
      <c r="DW6" s="316"/>
      <c r="DX6" s="317"/>
      <c r="DY6" s="299"/>
      <c r="DZ6" s="318"/>
    </row>
    <row r="7" spans="1:130" x14ac:dyDescent="0.25">
      <c r="F7" s="50"/>
      <c r="G7" s="59" t="s">
        <v>711</v>
      </c>
      <c r="H7" s="211" t="str">
        <f>$A$1&amp;"_OIS"</f>
        <v>BRL_OIS</v>
      </c>
      <c r="I7" s="53"/>
      <c r="K7" t="s">
        <v>298</v>
      </c>
      <c r="L7" s="357">
        <f>O7+N7/10000</f>
        <v>0.04</v>
      </c>
      <c r="M7" s="5" t="b">
        <v>1</v>
      </c>
      <c r="N7" s="5">
        <f>$N$4</f>
        <v>0</v>
      </c>
      <c r="O7" s="357">
        <f>RUB_DATA!M7</f>
        <v>0.04</v>
      </c>
      <c r="Q7" s="50"/>
      <c r="R7" s="59" t="s">
        <v>711</v>
      </c>
      <c r="S7" s="211" t="str">
        <f>$A$1&amp;"_SWAP_"&amp;"3M"</f>
        <v>BRL_SWAP_3M</v>
      </c>
      <c r="T7" s="53"/>
      <c r="V7" t="s">
        <v>298</v>
      </c>
      <c r="W7" s="203">
        <f t="shared" ref="W7:W29" si="0">Z7+Y7/10000</f>
        <v>4.3799999999999999E-2</v>
      </c>
      <c r="X7" t="b">
        <v>1</v>
      </c>
      <c r="Y7" s="5">
        <f t="shared" ref="Y7:Y29" si="1">$Y$4</f>
        <v>0</v>
      </c>
      <c r="Z7" s="203">
        <f>RUB_DATA!U7</f>
        <v>4.3799999999999999E-2</v>
      </c>
      <c r="AA7" s="203"/>
      <c r="AB7" s="50"/>
      <c r="AC7" s="59" t="s">
        <v>711</v>
      </c>
      <c r="AD7" s="211" t="str">
        <f>$A$1&amp;"_BASIS_3M6M"</f>
        <v>BRL_BASIS_3M6M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RUB_DATA!Z7</f>
        <v>1E-3</v>
      </c>
      <c r="AL7" s="207"/>
      <c r="AM7" s="50"/>
      <c r="AN7" s="59" t="s">
        <v>711</v>
      </c>
      <c r="AO7" s="211" t="str">
        <f>A1&amp;"_BASIS_3M12M"</f>
        <v>BRL_BASIS_3M12M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BRL_BASIS_1M3M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BRL_XCCY</v>
      </c>
      <c r="BL7" s="53"/>
      <c r="BM7" t="s">
        <v>822</v>
      </c>
      <c r="BN7" t="s">
        <v>2</v>
      </c>
      <c r="BO7" s="5" t="str">
        <f>A1</f>
        <v>BRL</v>
      </c>
      <c r="BP7" s="359">
        <f>BR7</f>
        <v>5.3624999999999998</v>
      </c>
      <c r="BQ7" s="5"/>
      <c r="BR7" s="359">
        <f>FX!W2</f>
        <v>5.3624999999999998</v>
      </c>
      <c r="BT7" s="50"/>
      <c r="BU7" s="270" t="s">
        <v>830</v>
      </c>
      <c r="BV7" s="271" t="str">
        <f>"FX_CURVE_"&amp;"USD"&amp;$A$1</f>
        <v>FX_CURVE_USDBRL</v>
      </c>
      <c r="BW7" s="52"/>
      <c r="BX7" s="299"/>
      <c r="BY7" s="620" t="s">
        <v>836</v>
      </c>
      <c r="BZ7" s="296">
        <f>BRL_DATA!AW7</f>
        <v>5.3608000000000002</v>
      </c>
      <c r="CA7" s="296">
        <f>BRL_DATA!AX7</f>
        <v>5.3642000000000003</v>
      </c>
      <c r="CB7" s="620"/>
      <c r="CC7" s="50"/>
      <c r="CD7" s="59" t="s">
        <v>711</v>
      </c>
      <c r="CE7" s="211" t="str">
        <f>$A$1&amp;"_EURCSA"</f>
        <v>BRL_EURCSA</v>
      </c>
      <c r="CF7" s="53"/>
      <c r="CI7" s="50"/>
      <c r="CJ7" s="59" t="s">
        <v>711</v>
      </c>
      <c r="CK7" s="211" t="str">
        <f>$A$1&amp;"_JPYCSA"</f>
        <v>BRL_JPYCSA</v>
      </c>
      <c r="CL7" s="53"/>
      <c r="CN7" s="436"/>
      <c r="CO7" s="543"/>
      <c r="CP7" s="547"/>
      <c r="CQ7" s="547"/>
      <c r="CR7" s="547"/>
      <c r="CU7" s="401"/>
      <c r="CV7" s="206"/>
      <c r="CW7" s="206"/>
      <c r="DS7" s="264"/>
      <c r="DT7" s="314"/>
      <c r="DU7" s="315"/>
      <c r="DV7" s="316"/>
      <c r="DW7" s="316"/>
      <c r="DX7" s="317"/>
      <c r="DY7" s="299"/>
      <c r="DZ7" s="318"/>
    </row>
    <row r="8" spans="1:130" x14ac:dyDescent="0.25">
      <c r="F8" s="50"/>
      <c r="G8" s="72" t="s">
        <v>670</v>
      </c>
      <c r="H8" s="35" t="str">
        <f>IF(H$6,_xll.meLWOCurveGeneratorCreate(H$7,"CURVEPROPERTIES",G12:H18,"OIS",G23:H37,"SWAPS",G48:H51),"Disabled")</f>
        <v>Disabled</v>
      </c>
      <c r="I8" s="53" t="s">
        <v>424</v>
      </c>
      <c r="K8" t="s">
        <v>300</v>
      </c>
      <c r="L8" s="357">
        <f t="shared" ref="L8:L22" si="2">O8+N8/10000</f>
        <v>3.8919999999999996E-2</v>
      </c>
      <c r="M8" s="5" t="b">
        <v>1</v>
      </c>
      <c r="N8" s="5">
        <f t="shared" ref="N8:N22" si="3">$N$4</f>
        <v>0</v>
      </c>
      <c r="O8" s="357">
        <f>INR_DATA!M8</f>
        <v>3.8919999999999996E-2</v>
      </c>
      <c r="Q8" s="50"/>
      <c r="R8" s="72" t="s">
        <v>670</v>
      </c>
      <c r="S8" s="35" t="str">
        <f>IF(S$6,_xll.meLWOCurveGeneratorCreate(S$7,"CURVEPROPERTIES",R12:S25,"MONEYMARKET",R28:S30,"LIBORFIXINGS",R33:S37,"FRAS",R40:S43,"SWAPS",R48:S61),"Disabled")</f>
        <v>Disabled</v>
      </c>
      <c r="T8" s="53" t="s">
        <v>424</v>
      </c>
      <c r="V8" t="s">
        <v>300</v>
      </c>
      <c r="W8" s="203">
        <f t="shared" si="0"/>
        <v>4.5499999999999999E-2</v>
      </c>
      <c r="X8" t="b">
        <v>1</v>
      </c>
      <c r="Y8" s="5">
        <f t="shared" si="1"/>
        <v>0</v>
      </c>
      <c r="Z8" s="203">
        <f>RUB_DATA!U8</f>
        <v>4.5499999999999999E-2</v>
      </c>
      <c r="AA8" s="203"/>
      <c r="AB8" s="50"/>
      <c r="AC8" s="72" t="s">
        <v>670</v>
      </c>
      <c r="AD8" s="35" t="str">
        <f>IF(AD$6,_xll.meLWOCurveGeneratorCreate(AD$7,"CURVEPROPERTIES",AC12:AD21,"BASISSWAPS",AC27:AD68),"DisAZled")</f>
        <v>DisAZled</v>
      </c>
      <c r="AE8" s="53" t="s">
        <v>424</v>
      </c>
      <c r="AG8" t="s">
        <v>308</v>
      </c>
      <c r="AH8" s="358">
        <f t="shared" ref="AH8:AH19" si="4">AK8+AJ8/10000</f>
        <v>1E-3</v>
      </c>
      <c r="AI8" s="5" t="b">
        <v>1</v>
      </c>
      <c r="AJ8" s="5">
        <f t="shared" ref="AJ8:AJ19" si="5">$AJ$4</f>
        <v>0</v>
      </c>
      <c r="AK8" s="357">
        <f>RUB_DATA!Z8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IF(AO$6,_xll.meLWOCurveGeneratorCreate(AO$7,AN11,AN12:AO21,AN26,AN27:AO68),"DisAZled")</f>
        <v>DisAZled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IF(AZ$6,_xll.meLWOCurveGeneratorCreate(AZ$7,AY11,AY12:AZ21,AY26,AY27:AZ68),"DisAZled")</f>
        <v>DisAZled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IF(BK$6,_xll.meLWOCurveGeneratorCreate(BK$7,"CURVEPROPERTIES",BJ12:BK23,"FXFWDS",BJ27:BK35,"XCCYSWAPS",BJ38:BK75),"Disabled")</f>
        <v>BRL_XCCY@1:47</v>
      </c>
      <c r="BL8" s="53" t="s">
        <v>424</v>
      </c>
      <c r="BM8" t="s">
        <v>814</v>
      </c>
      <c r="BN8" t="s">
        <v>1483</v>
      </c>
      <c r="BO8" s="391">
        <f>BR8</f>
        <v>10</v>
      </c>
      <c r="BP8" s="5" t="b">
        <v>1</v>
      </c>
      <c r="BQ8" s="5"/>
      <c r="BR8" s="594">
        <v>10</v>
      </c>
      <c r="BT8" s="50"/>
      <c r="BU8" t="s">
        <v>670</v>
      </c>
      <c r="BV8" s="263" t="str">
        <f>IF(BV6,_xll.meLWOCurveGeneratorCreate(BV7,"CURVEPROPERTIES",BU12:BV15,"FXFWDS",BU20:BV25),"DISABLED")</f>
        <v>FX_CURVE_USDBRL@43:2</v>
      </c>
      <c r="BW8" s="52"/>
      <c r="BX8" s="299"/>
      <c r="BY8" s="620" t="s">
        <v>305</v>
      </c>
      <c r="BZ8" s="297">
        <f>BRL_DATA!AW9</f>
        <v>10.7</v>
      </c>
      <c r="CA8" s="297">
        <f>BRL_DATA!AX9</f>
        <v>18.2</v>
      </c>
      <c r="CB8" s="620"/>
      <c r="CC8" s="50"/>
      <c r="CD8" s="72" t="s">
        <v>670</v>
      </c>
      <c r="CE8" s="35" t="str">
        <f>IF(CE$6,_xll.meLWOCurveGeneratorCreate(CE$7,"CURVEPROPERTIES",CD12:CE20,"FWDFXCONST",CD27:CE31),"Disabled")</f>
        <v>Disabled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Disabled</v>
      </c>
      <c r="CL8" s="53" t="s">
        <v>424</v>
      </c>
      <c r="CN8" s="436"/>
      <c r="CO8" s="545"/>
      <c r="CP8" s="547"/>
      <c r="CQ8" s="547"/>
      <c r="CR8" s="547"/>
      <c r="CU8" s="401"/>
      <c r="CV8" s="206"/>
      <c r="CW8" s="206"/>
      <c r="DS8" s="264"/>
      <c r="DT8" s="314"/>
      <c r="DU8" s="315"/>
      <c r="DV8" s="316"/>
      <c r="DW8" s="316"/>
      <c r="DX8" s="317"/>
      <c r="DY8" s="303"/>
      <c r="DZ8" s="318"/>
    </row>
    <row r="9" spans="1:130" x14ac:dyDescent="0.25">
      <c r="F9" s="50"/>
      <c r="G9" s="289"/>
      <c r="H9" s="289"/>
      <c r="I9" s="53" t="s">
        <v>424</v>
      </c>
      <c r="K9" t="s">
        <v>335</v>
      </c>
      <c r="L9" s="357">
        <f t="shared" si="2"/>
        <v>3.916E-2</v>
      </c>
      <c r="M9" s="5" t="b">
        <v>1</v>
      </c>
      <c r="N9" s="5">
        <f t="shared" si="3"/>
        <v>0</v>
      </c>
      <c r="O9" s="357">
        <f>INR_DATA!M9</f>
        <v>3.916E-2</v>
      </c>
      <c r="Q9" s="50"/>
      <c r="R9" s="52"/>
      <c r="S9" s="52"/>
      <c r="T9" s="53"/>
      <c r="V9" t="s">
        <v>49</v>
      </c>
      <c r="W9" s="203">
        <f t="shared" si="0"/>
        <v>4.6799999999999994E-2</v>
      </c>
      <c r="X9" t="b">
        <v>1</v>
      </c>
      <c r="Y9" s="5">
        <f t="shared" si="1"/>
        <v>0</v>
      </c>
      <c r="Z9" s="203">
        <f>RUB_DATA!U9</f>
        <v>4.6799999999999994E-2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RUB_DATA!Z9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305</v>
      </c>
      <c r="BO9" s="391">
        <f t="shared" ref="BO9:BO14" si="6">BR9</f>
        <v>14.45</v>
      </c>
      <c r="BP9" s="5" t="b">
        <v>1</v>
      </c>
      <c r="BQ9" s="5"/>
      <c r="BR9" s="362">
        <f>BRL_DATA!AZ9</f>
        <v>14.45</v>
      </c>
      <c r="BT9" s="50"/>
      <c r="BU9" s="57"/>
      <c r="BV9" s="57"/>
      <c r="BW9" s="52"/>
      <c r="BX9" s="299"/>
      <c r="BY9" s="620" t="s">
        <v>300</v>
      </c>
      <c r="BZ9" s="297">
        <f>BRL_DATA!AW10</f>
        <v>45.96</v>
      </c>
      <c r="CA9" s="297">
        <f>BRL_DATA!AX10</f>
        <v>49.64</v>
      </c>
      <c r="CB9" s="620"/>
      <c r="CC9" s="50"/>
      <c r="CD9" s="52"/>
      <c r="CE9" s="52"/>
      <c r="CF9" s="53"/>
      <c r="CI9" s="50"/>
      <c r="CJ9" s="52"/>
      <c r="CK9" s="52"/>
      <c r="CL9" s="53"/>
      <c r="CN9" s="436"/>
      <c r="CO9" s="545"/>
      <c r="CP9" s="547"/>
      <c r="CQ9" s="547"/>
      <c r="CR9" s="547"/>
      <c r="CU9" s="401"/>
      <c r="CV9" s="206"/>
      <c r="CW9" s="206"/>
      <c r="DS9" s="264"/>
      <c r="DT9" s="314"/>
      <c r="DU9" s="315"/>
      <c r="DV9" s="316"/>
      <c r="DW9" s="316"/>
      <c r="DX9" s="317"/>
      <c r="DY9" s="299"/>
      <c r="DZ9" s="318"/>
    </row>
    <row r="10" spans="1:130" x14ac:dyDescent="0.25">
      <c r="F10" s="50"/>
      <c r="G10" s="289"/>
      <c r="H10" s="289"/>
      <c r="I10" s="53"/>
      <c r="K10" t="s">
        <v>49</v>
      </c>
      <c r="L10" s="357">
        <f t="shared" si="2"/>
        <v>3.9230000000000001E-2</v>
      </c>
      <c r="M10" s="5" t="b">
        <v>1</v>
      </c>
      <c r="N10" s="5">
        <f t="shared" si="3"/>
        <v>0</v>
      </c>
      <c r="O10" s="357">
        <f>INR_DATA!M10</f>
        <v>3.9230000000000001E-2</v>
      </c>
      <c r="Q10" s="50"/>
      <c r="R10" s="52"/>
      <c r="S10" s="52"/>
      <c r="T10" s="53"/>
      <c r="V10" t="s">
        <v>46</v>
      </c>
      <c r="W10" s="203">
        <f t="shared" si="0"/>
        <v>4.7E-2</v>
      </c>
      <c r="X10" t="b">
        <v>0</v>
      </c>
      <c r="Y10" s="5">
        <f t="shared" si="1"/>
        <v>0</v>
      </c>
      <c r="Z10" s="203">
        <f>RUB_DATA!U10</f>
        <v>4.7E-2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RUB_DATA!Z10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300</v>
      </c>
      <c r="BO10" s="391">
        <f t="shared" si="6"/>
        <v>47.8</v>
      </c>
      <c r="BP10" s="5" t="b">
        <v>1</v>
      </c>
      <c r="BQ10" s="5"/>
      <c r="BR10" s="362">
        <f>BRL_DATA!AZ10</f>
        <v>47.8</v>
      </c>
      <c r="BT10" s="50"/>
      <c r="BU10" s="57"/>
      <c r="BV10" s="57"/>
      <c r="BW10" s="52"/>
      <c r="BX10" s="299"/>
      <c r="BY10" s="620" t="s">
        <v>335</v>
      </c>
      <c r="BZ10" s="297">
        <f>BRL_DATA!AW11</f>
        <v>98.33</v>
      </c>
      <c r="CA10" s="297">
        <f>BRL_DATA!AX11</f>
        <v>99.67</v>
      </c>
      <c r="CB10" s="620"/>
      <c r="CC10" s="50"/>
      <c r="CD10" s="52"/>
      <c r="CE10" s="52"/>
      <c r="CF10" s="53"/>
      <c r="CI10" s="50"/>
      <c r="CJ10" s="52"/>
      <c r="CK10" s="52"/>
      <c r="CL10" s="53"/>
      <c r="CN10" s="436"/>
      <c r="CO10" s="545"/>
      <c r="CP10" s="547"/>
      <c r="CQ10" s="547"/>
      <c r="CR10" s="547"/>
      <c r="CU10" s="401"/>
      <c r="CV10" s="206"/>
      <c r="CW10" s="206"/>
      <c r="DS10" s="264"/>
      <c r="DT10" s="314"/>
      <c r="DU10" s="315"/>
      <c r="DV10" s="316"/>
      <c r="DW10" s="316"/>
      <c r="DX10" s="317"/>
      <c r="DY10" s="299"/>
      <c r="DZ10" s="318"/>
    </row>
    <row r="11" spans="1:130" x14ac:dyDescent="0.25">
      <c r="F11" s="50"/>
      <c r="G11" s="54" t="s">
        <v>671</v>
      </c>
      <c r="H11" s="52"/>
      <c r="I11" s="53"/>
      <c r="K11" t="s">
        <v>46</v>
      </c>
      <c r="L11" s="357">
        <f t="shared" si="2"/>
        <v>3.9559999999999998E-2</v>
      </c>
      <c r="M11" s="5" t="b">
        <v>1</v>
      </c>
      <c r="N11" s="5">
        <f t="shared" si="3"/>
        <v>0</v>
      </c>
      <c r="O11" s="357">
        <f>INR_DATA!M11</f>
        <v>3.9559999999999998E-2</v>
      </c>
      <c r="Q11" s="50"/>
      <c r="R11" s="54" t="s">
        <v>671</v>
      </c>
      <c r="S11" s="52" t="s">
        <v>713</v>
      </c>
      <c r="T11" s="53"/>
      <c r="V11" t="s">
        <v>322</v>
      </c>
      <c r="W11" s="203">
        <f t="shared" si="0"/>
        <v>4.7E-2</v>
      </c>
      <c r="X11" t="b">
        <v>0</v>
      </c>
      <c r="Y11" s="5">
        <f t="shared" si="1"/>
        <v>0</v>
      </c>
      <c r="Z11" s="203">
        <f>RUB_DATA!U10</f>
        <v>4.7E-2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RUB_DATA!Z11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335</v>
      </c>
      <c r="BO11" s="391">
        <f t="shared" si="6"/>
        <v>99</v>
      </c>
      <c r="BP11" s="5" t="b">
        <v>1</v>
      </c>
      <c r="BQ11" s="5"/>
      <c r="BR11" s="362">
        <f>BRL_DATA!AZ11</f>
        <v>99</v>
      </c>
      <c r="BT11" s="50"/>
      <c r="BU11" s="56" t="s">
        <v>671</v>
      </c>
      <c r="BV11" s="272" t="s">
        <v>825</v>
      </c>
      <c r="BW11" s="52"/>
      <c r="BX11" s="299"/>
      <c r="BY11" s="620" t="s">
        <v>49</v>
      </c>
      <c r="BZ11" s="297">
        <f>BRL_DATA!AW12</f>
        <v>140.4</v>
      </c>
      <c r="CA11" s="297">
        <f>BRL_DATA!AX12</f>
        <v>164.4</v>
      </c>
      <c r="CB11" s="620"/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N11" s="436"/>
      <c r="CO11" s="545"/>
      <c r="CP11" s="547"/>
      <c r="CQ11" s="547"/>
      <c r="CR11" s="547"/>
      <c r="CU11" s="401"/>
      <c r="CV11" s="206"/>
      <c r="CW11" s="206"/>
      <c r="DS11" s="264"/>
      <c r="DT11" s="314"/>
      <c r="DU11" s="315"/>
      <c r="DV11" s="316"/>
      <c r="DW11" s="316"/>
      <c r="DX11" s="317"/>
      <c r="DY11" s="299"/>
      <c r="DZ11" s="318"/>
    </row>
    <row r="12" spans="1:130" x14ac:dyDescent="0.25">
      <c r="F12" s="50"/>
      <c r="G12" s="212" t="s">
        <v>435</v>
      </c>
      <c r="H12" s="213" t="s">
        <v>426</v>
      </c>
      <c r="I12" s="53"/>
      <c r="K12" t="s">
        <v>376</v>
      </c>
      <c r="L12" s="357">
        <f t="shared" si="2"/>
        <v>3.9980000000000002E-2</v>
      </c>
      <c r="M12" s="5" t="b">
        <v>1</v>
      </c>
      <c r="N12" s="5">
        <f t="shared" si="3"/>
        <v>0</v>
      </c>
      <c r="O12" s="357">
        <f>INR_DATA!M12</f>
        <v>3.9980000000000002E-2</v>
      </c>
      <c r="Q12" s="50"/>
      <c r="R12" s="220" t="s">
        <v>435</v>
      </c>
      <c r="S12" s="221" t="s">
        <v>463</v>
      </c>
      <c r="T12" s="53"/>
      <c r="V12" t="s">
        <v>1206</v>
      </c>
      <c r="W12" s="203">
        <f t="shared" si="0"/>
        <v>4.7199999999999999E-2</v>
      </c>
      <c r="X12" t="b">
        <v>1</v>
      </c>
      <c r="Y12" s="5">
        <f t="shared" si="1"/>
        <v>0</v>
      </c>
      <c r="Z12" s="203">
        <f>RUB_DATA!U11</f>
        <v>4.7199999999999999E-2</v>
      </c>
      <c r="AA12" s="203"/>
      <c r="AB12" s="50"/>
      <c r="AC12" s="220" t="s">
        <v>434</v>
      </c>
      <c r="AD12" s="238" t="str">
        <f>$A$1</f>
        <v>BRL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RUB_DATA!Z12</f>
        <v>1E-3</v>
      </c>
      <c r="AL12" s="207"/>
      <c r="AM12" s="50"/>
      <c r="AN12" s="220" t="s">
        <v>434</v>
      </c>
      <c r="AO12" s="238" t="str">
        <f>$A$1</f>
        <v>BRL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BRL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49</v>
      </c>
      <c r="BO12" s="391">
        <f t="shared" si="6"/>
        <v>152.4</v>
      </c>
      <c r="BP12" s="5" t="b">
        <v>1</v>
      </c>
      <c r="BQ12" s="5"/>
      <c r="BR12" s="362">
        <f>BRL_DATA!AZ12</f>
        <v>152.4</v>
      </c>
      <c r="BT12" s="50"/>
      <c r="BU12" s="238" t="s">
        <v>434</v>
      </c>
      <c r="BV12" s="238" t="s">
        <v>1672</v>
      </c>
      <c r="BW12" s="52"/>
      <c r="BX12" s="299"/>
      <c r="BY12" s="620" t="s">
        <v>46</v>
      </c>
      <c r="BZ12" s="297">
        <f>BRL_DATA!AW13</f>
        <v>271.07</v>
      </c>
      <c r="CA12" s="297">
        <f>BRL_DATA!AX13</f>
        <v>325.07</v>
      </c>
      <c r="CB12" s="620"/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N12" s="436"/>
      <c r="CO12" s="545"/>
      <c r="CP12" s="547"/>
      <c r="CQ12" s="547"/>
      <c r="CR12" s="547"/>
      <c r="CU12" s="401"/>
      <c r="CV12" s="206"/>
      <c r="CW12" s="206"/>
      <c r="DS12" s="264"/>
      <c r="DT12" s="314"/>
      <c r="DU12" s="315"/>
      <c r="DV12" s="316"/>
      <c r="DW12" s="316"/>
      <c r="DX12" s="317"/>
      <c r="DY12" s="303"/>
      <c r="DZ12" s="318"/>
    </row>
    <row r="13" spans="1:130" x14ac:dyDescent="0.25">
      <c r="F13" s="50"/>
      <c r="G13" s="214" t="s">
        <v>438</v>
      </c>
      <c r="H13" s="215" t="str">
        <f>IF(INDEX('STATIC DATA'!C60:AZ60,1,MATCH($A$1,'STATIC DATA'!C4:AZ4,0))="1D","DAILY","#Not FOUND")</f>
        <v>#Not FOUND</v>
      </c>
      <c r="I13" s="53"/>
      <c r="K13" t="s">
        <v>47</v>
      </c>
      <c r="L13" s="357">
        <f t="shared" si="2"/>
        <v>3.977E-2</v>
      </c>
      <c r="M13" s="5" t="b">
        <v>1</v>
      </c>
      <c r="N13" s="5">
        <f t="shared" si="3"/>
        <v>0</v>
      </c>
      <c r="O13" s="357">
        <f>INR_DATA!M13</f>
        <v>3.977E-2</v>
      </c>
      <c r="Q13" s="50"/>
      <c r="R13" s="222" t="s">
        <v>438</v>
      </c>
      <c r="S13" s="223" t="str">
        <f>IF(INDEX('STATIC DATA'!C56:AZ56,1,MATCH(A1,'STATIC DATA'!C4:AZ4,0))="1Y","ANNUAL",(IF(INDEX('STATIC DATA'!C56:AZ56,1,MATCH($A$1,'STATIC DATA'!C4:AZ4,0))="6M","SEMI-ANNUAL","QUARTERLY")))</f>
        <v>QUARTERLY</v>
      </c>
      <c r="T13" s="53"/>
      <c r="V13" t="s">
        <v>1207</v>
      </c>
      <c r="W13" s="203">
        <f t="shared" si="0"/>
        <v>4.7100000000000003E-2</v>
      </c>
      <c r="X13" t="b">
        <v>1</v>
      </c>
      <c r="Y13" s="5">
        <f t="shared" si="1"/>
        <v>0</v>
      </c>
      <c r="Z13" s="203">
        <f>RUB_DATA!U12</f>
        <v>4.7100000000000003E-2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RUB_DATA!Z13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473" t="s">
        <v>1120</v>
      </c>
      <c r="BL13" s="53"/>
      <c r="BN13" t="s">
        <v>46</v>
      </c>
      <c r="BO13" s="391">
        <f t="shared" si="6"/>
        <v>298.07</v>
      </c>
      <c r="BP13" s="5" t="b">
        <v>1</v>
      </c>
      <c r="BQ13" s="5"/>
      <c r="BR13" s="362">
        <f>BRL_DATA!AZ13</f>
        <v>298.07</v>
      </c>
      <c r="BT13" s="50"/>
      <c r="BU13" s="216" t="s">
        <v>724</v>
      </c>
      <c r="BV13" s="216" t="s">
        <v>1671</v>
      </c>
      <c r="BW13" s="52"/>
      <c r="BX13" s="299"/>
      <c r="BY13" s="620" t="s">
        <v>376</v>
      </c>
      <c r="BZ13" s="297">
        <f>BRL_DATA!AW14</f>
        <v>533.15</v>
      </c>
      <c r="CA13" s="297">
        <f>BRL_DATA!AX14</f>
        <v>565.37</v>
      </c>
      <c r="CB13" s="620"/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N13" s="436"/>
      <c r="CO13" s="545"/>
      <c r="CP13" s="547"/>
      <c r="CQ13" s="547"/>
      <c r="CR13" s="547"/>
      <c r="CU13" s="401"/>
      <c r="CV13" s="206"/>
      <c r="CW13" s="206"/>
      <c r="DS13" s="264"/>
      <c r="DT13" s="314"/>
      <c r="DU13" s="315"/>
      <c r="DV13" s="316"/>
      <c r="DW13" s="316"/>
      <c r="DX13" s="317"/>
      <c r="DY13" s="313"/>
      <c r="DZ13" s="318"/>
    </row>
    <row r="14" spans="1:130" x14ac:dyDescent="0.25">
      <c r="F14" s="50"/>
      <c r="G14" s="214" t="s">
        <v>672</v>
      </c>
      <c r="H14" s="215" t="s">
        <v>426</v>
      </c>
      <c r="I14" s="53"/>
      <c r="K14" t="s">
        <v>308</v>
      </c>
      <c r="L14" s="357">
        <f t="shared" si="2"/>
        <v>4.1169999999999998E-2</v>
      </c>
      <c r="M14" s="5" t="b">
        <v>1</v>
      </c>
      <c r="N14" s="5">
        <f t="shared" si="3"/>
        <v>0</v>
      </c>
      <c r="O14" s="357">
        <f>INR_DATA!M14</f>
        <v>4.1169999999999998E-2</v>
      </c>
      <c r="Q14" s="50"/>
      <c r="R14" s="222" t="s">
        <v>672</v>
      </c>
      <c r="S14" s="223" t="s">
        <v>714</v>
      </c>
      <c r="T14" s="53"/>
      <c r="V14" t="s">
        <v>1208</v>
      </c>
      <c r="W14" s="203">
        <f t="shared" si="0"/>
        <v>4.7100000000000003E-2</v>
      </c>
      <c r="X14" t="b">
        <v>1</v>
      </c>
      <c r="Y14" s="5">
        <f t="shared" si="1"/>
        <v>0</v>
      </c>
      <c r="Z14" s="203">
        <f>RUB_DATA!U13</f>
        <v>4.7100000000000003E-2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RUB_DATA!Z14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1309</v>
      </c>
      <c r="BL14" s="53"/>
      <c r="BN14" t="s">
        <v>376</v>
      </c>
      <c r="BO14" s="391">
        <f t="shared" si="6"/>
        <v>549.26</v>
      </c>
      <c r="BP14" s="5" t="b">
        <v>1</v>
      </c>
      <c r="BQ14" s="5"/>
      <c r="BR14" s="362">
        <f>BRL_DATA!AZ14</f>
        <v>549.26</v>
      </c>
      <c r="BT14" s="50"/>
      <c r="BU14" s="216" t="s">
        <v>435</v>
      </c>
      <c r="BV14" s="216" t="s">
        <v>820</v>
      </c>
      <c r="BW14" s="52"/>
      <c r="BX14" s="299"/>
      <c r="BY14" s="620" t="s">
        <v>322</v>
      </c>
      <c r="BZ14" s="297">
        <f>BRL_DATA!AW15</f>
        <v>762.96</v>
      </c>
      <c r="CA14" s="297">
        <f>BRL_DATA!AX15</f>
        <v>846.96</v>
      </c>
      <c r="CB14" s="620"/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N14" s="436"/>
      <c r="CO14" s="545"/>
      <c r="CP14" s="547"/>
      <c r="CQ14" s="547"/>
      <c r="CR14" s="547"/>
      <c r="CU14" s="401"/>
      <c r="CV14" s="206"/>
      <c r="CW14" s="206"/>
      <c r="DS14" s="264"/>
      <c r="DT14" s="314"/>
      <c r="DU14" s="315"/>
      <c r="DV14" s="316"/>
      <c r="DW14" s="316"/>
      <c r="DX14" s="317"/>
      <c r="DY14" s="299"/>
      <c r="DZ14" s="318"/>
    </row>
    <row r="15" spans="1:130" x14ac:dyDescent="0.25">
      <c r="F15" s="50"/>
      <c r="G15" s="235" t="s">
        <v>673</v>
      </c>
      <c r="H15" s="236" t="str">
        <f>H14&amp;":"&amp;$A$1&amp;H12</f>
        <v>OIS:BRLOIS</v>
      </c>
      <c r="I15" s="53" t="s">
        <v>424</v>
      </c>
      <c r="K15" t="s">
        <v>316</v>
      </c>
      <c r="L15" s="357">
        <f t="shared" si="2"/>
        <v>4.2999999999999997E-2</v>
      </c>
      <c r="M15" s="5" t="b">
        <v>1</v>
      </c>
      <c r="N15" s="5">
        <f t="shared" si="3"/>
        <v>0</v>
      </c>
      <c r="O15" s="357">
        <f>INR_DATA!M15</f>
        <v>4.2999999999999997E-2</v>
      </c>
      <c r="Q15" s="50"/>
      <c r="R15" s="233" t="s">
        <v>673</v>
      </c>
      <c r="S15" s="230" t="str">
        <f>"STD:"&amp;"MUM3M"</f>
        <v>STD:MUM3M</v>
      </c>
      <c r="T15" s="53"/>
      <c r="V15" t="s">
        <v>1209</v>
      </c>
      <c r="W15" s="203">
        <f t="shared" si="0"/>
        <v>4.6799999999999994E-2</v>
      </c>
      <c r="X15" t="b">
        <v>1</v>
      </c>
      <c r="Y15" s="5">
        <f t="shared" si="1"/>
        <v>0</v>
      </c>
      <c r="Z15" s="203">
        <f>RUB_DATA!U14</f>
        <v>4.6799999999999994E-2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RUB_DATA!Z15</f>
        <v>1E-3</v>
      </c>
      <c r="AL15" s="207"/>
      <c r="AM15" s="50"/>
      <c r="AN15" s="222" t="s">
        <v>1580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1580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1647</v>
      </c>
      <c r="BL15" s="53"/>
      <c r="BN15" t="s">
        <v>322</v>
      </c>
      <c r="BO15" s="391">
        <f>BR15+BQ15</f>
        <v>881.91000000000008</v>
      </c>
      <c r="BP15" s="5" t="b">
        <v>1</v>
      </c>
      <c r="BQ15" s="5">
        <f>5.13*BQ4</f>
        <v>76.95</v>
      </c>
      <c r="BR15" s="362">
        <f>BRL_DATA!AZ15</f>
        <v>804.96</v>
      </c>
      <c r="BT15" s="50"/>
      <c r="BU15" s="219" t="s">
        <v>826</v>
      </c>
      <c r="BV15" s="219" t="s">
        <v>828</v>
      </c>
      <c r="BW15" s="52"/>
      <c r="BX15" s="299"/>
      <c r="BY15" s="620" t="s">
        <v>308</v>
      </c>
      <c r="BZ15" s="297">
        <f>BRL_DATA!AW16</f>
        <v>2799.67</v>
      </c>
      <c r="CA15" s="297">
        <f>BRL_DATA!AX16</f>
        <v>2891.74</v>
      </c>
      <c r="CB15" s="620"/>
      <c r="CC15" s="50"/>
      <c r="CD15" s="222" t="s">
        <v>673</v>
      </c>
      <c r="CE15" s="216" t="s">
        <v>1315</v>
      </c>
      <c r="CF15" s="53"/>
      <c r="CI15" s="50"/>
      <c r="CJ15" s="222" t="s">
        <v>673</v>
      </c>
      <c r="CK15" s="216" t="s">
        <v>1604</v>
      </c>
      <c r="CL15" s="53"/>
      <c r="CN15" s="436"/>
      <c r="CO15" s="545"/>
      <c r="CP15" s="547"/>
      <c r="CQ15" s="547"/>
      <c r="CR15" s="547"/>
      <c r="CU15" s="401"/>
      <c r="CV15" s="206"/>
      <c r="CW15" s="206"/>
      <c r="DS15" s="264"/>
      <c r="DT15" s="314"/>
      <c r="DU15" s="315"/>
      <c r="DV15" s="316"/>
      <c r="DW15" s="316"/>
      <c r="DX15" s="317"/>
      <c r="DY15" s="299"/>
      <c r="DZ15" s="318"/>
    </row>
    <row r="16" spans="1:130" x14ac:dyDescent="0.25">
      <c r="F16" s="50"/>
      <c r="G16" s="214" t="s">
        <v>434</v>
      </c>
      <c r="H16" s="216" t="str">
        <f>$A$1</f>
        <v>BRL</v>
      </c>
      <c r="I16" s="53"/>
      <c r="K16" t="s">
        <v>324</v>
      </c>
      <c r="L16" s="357">
        <f t="shared" si="2"/>
        <v>4.4790000000000003E-2</v>
      </c>
      <c r="M16" s="5" t="b">
        <v>1</v>
      </c>
      <c r="N16" s="5">
        <f t="shared" si="3"/>
        <v>0</v>
      </c>
      <c r="O16" s="357">
        <f>INR_DATA!M16</f>
        <v>4.4790000000000003E-2</v>
      </c>
      <c r="Q16" s="50"/>
      <c r="R16" s="222" t="s">
        <v>434</v>
      </c>
      <c r="S16" s="223" t="str">
        <f>$A$1</f>
        <v>BRL</v>
      </c>
      <c r="T16" s="53"/>
      <c r="V16" t="s">
        <v>1076</v>
      </c>
      <c r="W16" s="203">
        <f t="shared" si="0"/>
        <v>4.8300000000000003E-2</v>
      </c>
      <c r="X16" t="b">
        <v>1</v>
      </c>
      <c r="Y16" s="5">
        <f t="shared" si="1"/>
        <v>0</v>
      </c>
      <c r="Z16" s="203">
        <f>RUB_DATA!U15</f>
        <v>4.8300000000000003E-2</v>
      </c>
      <c r="AA16" s="203"/>
      <c r="AB16" s="50"/>
      <c r="AC16" s="233" t="s">
        <v>673</v>
      </c>
      <c r="AD16" s="230" t="s">
        <v>962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RUB_DATA!Z16</f>
        <v>1E-3</v>
      </c>
      <c r="AL16" s="207"/>
      <c r="AM16" s="50"/>
      <c r="AN16" s="233" t="s">
        <v>673</v>
      </c>
      <c r="AO16" s="230" t="str">
        <f>"3M12MBasis:"&amp;$A$1&amp;"12M"</f>
        <v>3M12MBasis:BRL12M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"1M3MBasis:MOS3M"</f>
        <v>1M3MBasis:MOS3M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BRL</v>
      </c>
      <c r="BL16" s="53"/>
      <c r="BN16" t="s">
        <v>308</v>
      </c>
      <c r="BO16" s="391">
        <f t="shared" ref="BO16:BO21" si="7">BR16+BQ16</f>
        <v>3003.06</v>
      </c>
      <c r="BP16" s="5" t="b">
        <v>1</v>
      </c>
      <c r="BQ16" s="5">
        <f>10.49*BQ4</f>
        <v>157.35</v>
      </c>
      <c r="BR16" s="362">
        <f>BRL_DATA!AZ16</f>
        <v>2845.71</v>
      </c>
      <c r="BT16" s="50"/>
      <c r="BU16" s="57"/>
      <c r="BV16" s="57"/>
      <c r="BW16" s="52"/>
      <c r="BX16" s="299"/>
      <c r="BY16" s="620" t="s">
        <v>316</v>
      </c>
      <c r="BZ16" s="297">
        <f>BRL_DATA!AW17</f>
        <v>5964.92</v>
      </c>
      <c r="CA16" s="297">
        <f>BRL_DATA!AX17</f>
        <v>6369.61</v>
      </c>
      <c r="CB16" s="620"/>
      <c r="CC16" s="50"/>
      <c r="CD16" s="233" t="s">
        <v>434</v>
      </c>
      <c r="CE16" s="230" t="s">
        <v>1296</v>
      </c>
      <c r="CF16" s="53"/>
      <c r="CI16" s="50"/>
      <c r="CJ16" s="233" t="s">
        <v>434</v>
      </c>
      <c r="CK16" s="230" t="s">
        <v>1296</v>
      </c>
      <c r="CL16" s="53"/>
      <c r="CN16" s="436"/>
      <c r="CO16" s="545"/>
      <c r="CP16" s="547"/>
      <c r="CQ16" s="547"/>
      <c r="CR16" s="547"/>
      <c r="CU16" s="401"/>
      <c r="CV16" s="206"/>
      <c r="CW16" s="206"/>
      <c r="DS16" s="264"/>
      <c r="DT16" s="314"/>
      <c r="DU16" s="315"/>
      <c r="DV16" s="316"/>
      <c r="DW16" s="316"/>
      <c r="DX16" s="317"/>
      <c r="DY16" s="299"/>
      <c r="DZ16" s="318"/>
    </row>
    <row r="17" spans="6:130" x14ac:dyDescent="0.25">
      <c r="F17" s="50"/>
      <c r="G17" s="217" t="s">
        <v>674</v>
      </c>
      <c r="H17" s="216" t="s">
        <v>675</v>
      </c>
      <c r="I17" s="53"/>
      <c r="K17" t="s">
        <v>331</v>
      </c>
      <c r="L17" s="357">
        <f t="shared" si="2"/>
        <v>4.607E-2</v>
      </c>
      <c r="M17" s="5" t="b">
        <v>1</v>
      </c>
      <c r="N17" s="5">
        <f t="shared" si="3"/>
        <v>0</v>
      </c>
      <c r="O17" s="357">
        <f>INR_DATA!M17</f>
        <v>4.607E-2</v>
      </c>
      <c r="Q17" s="50"/>
      <c r="R17" s="222" t="s">
        <v>674</v>
      </c>
      <c r="S17" s="223" t="s">
        <v>715</v>
      </c>
      <c r="T17" s="53"/>
      <c r="V17" s="2" t="s">
        <v>47</v>
      </c>
      <c r="W17" s="476">
        <f t="shared" si="0"/>
        <v>4.8399999999999999E-2</v>
      </c>
      <c r="X17" s="2" t="b">
        <v>0</v>
      </c>
      <c r="Y17" s="4">
        <f t="shared" si="1"/>
        <v>0</v>
      </c>
      <c r="Z17" s="476">
        <f>RUB_DATA!U18</f>
        <v>4.8399999999999999E-2</v>
      </c>
      <c r="AA17" s="203"/>
      <c r="AB17" s="50"/>
      <c r="AC17" s="222" t="s">
        <v>674</v>
      </c>
      <c r="AD17" s="216" t="s">
        <v>675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RUB_DATA!Z17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M17" t="s">
        <v>807</v>
      </c>
      <c r="BN17" t="s">
        <v>316</v>
      </c>
      <c r="BO17" s="391">
        <f t="shared" si="7"/>
        <v>6413.41</v>
      </c>
      <c r="BP17" s="5" t="b">
        <v>1</v>
      </c>
      <c r="BQ17" s="5">
        <f>16.41*BQ4</f>
        <v>246.15</v>
      </c>
      <c r="BR17" s="362">
        <f>BRL_DATA!AZ17</f>
        <v>6167.26</v>
      </c>
      <c r="BT17" s="50"/>
      <c r="BU17" s="57"/>
      <c r="BV17" s="57"/>
      <c r="BW17" s="52"/>
      <c r="BX17" s="299"/>
      <c r="BY17" s="339" t="s">
        <v>324</v>
      </c>
      <c r="BZ17" s="297">
        <f>BRL_DATA!AW18</f>
        <v>10077.540000000001</v>
      </c>
      <c r="CA17" s="297">
        <f>BRL_DATA!AX18</f>
        <v>10273.950000000001</v>
      </c>
      <c r="CB17" s="620"/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3"/>
      <c r="CN17" s="436"/>
      <c r="CO17" s="545"/>
      <c r="CP17" s="547"/>
      <c r="CQ17" s="547"/>
      <c r="CR17" s="547"/>
      <c r="CU17" s="401"/>
      <c r="CV17" s="206"/>
      <c r="CW17" s="206"/>
      <c r="DS17" s="264"/>
      <c r="DT17" s="314"/>
      <c r="DU17" s="315"/>
      <c r="DV17" s="316"/>
      <c r="DW17" s="316"/>
      <c r="DX17" s="317"/>
      <c r="DY17" s="299"/>
      <c r="DZ17" s="318"/>
    </row>
    <row r="18" spans="6:130" x14ac:dyDescent="0.25">
      <c r="F18" s="50"/>
      <c r="G18" s="214" t="s">
        <v>676</v>
      </c>
      <c r="H18" s="216" t="s">
        <v>675</v>
      </c>
      <c r="I18" s="53"/>
      <c r="K18" t="s">
        <v>342</v>
      </c>
      <c r="L18" s="357">
        <f t="shared" si="2"/>
        <v>4.8680000000000001E-2</v>
      </c>
      <c r="M18" s="5" t="b">
        <v>1</v>
      </c>
      <c r="N18" s="5">
        <f t="shared" si="3"/>
        <v>0</v>
      </c>
      <c r="O18" s="357">
        <f>INR_DATA!M18</f>
        <v>4.8680000000000001E-2</v>
      </c>
      <c r="Q18" s="50"/>
      <c r="R18" s="222" t="s">
        <v>676</v>
      </c>
      <c r="S18" s="223" t="s">
        <v>715</v>
      </c>
      <c r="T18" s="53"/>
      <c r="V18" t="s">
        <v>308</v>
      </c>
      <c r="W18" s="203">
        <f t="shared" si="0"/>
        <v>5.0300000000000004E-2</v>
      </c>
      <c r="X18" t="b">
        <v>1</v>
      </c>
      <c r="Y18" s="5">
        <f t="shared" si="1"/>
        <v>0</v>
      </c>
      <c r="Z18" s="203">
        <f>RUB_DATA!U19</f>
        <v>5.0300000000000004E-2</v>
      </c>
      <c r="AA18" s="203"/>
      <c r="AB18" s="50"/>
      <c r="AC18" s="222" t="s">
        <v>676</v>
      </c>
      <c r="AD18" s="216" t="s">
        <v>675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RUB_DATA!Z18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t="s">
        <v>324</v>
      </c>
      <c r="BO18" s="391">
        <f t="shared" si="7"/>
        <v>10522.69</v>
      </c>
      <c r="BP18" s="5" t="b">
        <v>1</v>
      </c>
      <c r="BQ18" s="5">
        <f>23.13*BQ4</f>
        <v>346.95</v>
      </c>
      <c r="BR18" s="362">
        <f>BRL_DATA!AZ18</f>
        <v>10175.74</v>
      </c>
      <c r="BT18" s="50"/>
      <c r="BU18" s="57"/>
      <c r="BV18" s="57"/>
      <c r="BW18" s="52"/>
      <c r="BX18" s="299"/>
      <c r="BY18" s="620" t="s">
        <v>331</v>
      </c>
      <c r="BZ18" s="297">
        <f>BRL_DATA!AW19</f>
        <v>14185.65</v>
      </c>
      <c r="CA18" s="297">
        <f>BRL_DATA!AX19</f>
        <v>14967.02</v>
      </c>
      <c r="CB18" s="620"/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3"/>
      <c r="CN18" s="436"/>
      <c r="CO18" s="545"/>
      <c r="CP18" s="547"/>
      <c r="CQ18" s="547"/>
      <c r="CR18" s="547"/>
      <c r="CU18" s="401"/>
      <c r="CV18" s="206"/>
      <c r="CW18" s="206"/>
      <c r="DS18" s="264"/>
      <c r="DT18" s="314"/>
      <c r="DU18" s="315"/>
      <c r="DV18" s="316"/>
      <c r="DW18" s="316"/>
      <c r="DX18" s="317"/>
      <c r="DY18" s="299"/>
      <c r="DZ18" s="318"/>
    </row>
    <row r="19" spans="6:130" x14ac:dyDescent="0.25">
      <c r="F19" s="50"/>
      <c r="G19" s="214"/>
      <c r="H19" s="216"/>
      <c r="I19" s="53"/>
      <c r="K19" t="s">
        <v>349</v>
      </c>
      <c r="L19" s="357">
        <f t="shared" si="2"/>
        <v>5.2595000000000003E-2</v>
      </c>
      <c r="M19" s="5" t="b">
        <v>1</v>
      </c>
      <c r="N19" s="5">
        <f t="shared" si="3"/>
        <v>0</v>
      </c>
      <c r="O19" s="357">
        <f>INR_DATA!M19</f>
        <v>5.2595000000000003E-2</v>
      </c>
      <c r="Q19" s="50"/>
      <c r="R19" s="222" t="s">
        <v>716</v>
      </c>
      <c r="S19" s="223" t="s">
        <v>715</v>
      </c>
      <c r="T19" s="53"/>
      <c r="V19" t="s">
        <v>316</v>
      </c>
      <c r="W19" s="203">
        <f t="shared" si="0"/>
        <v>5.2300000000000006E-2</v>
      </c>
      <c r="X19" t="b">
        <v>1</v>
      </c>
      <c r="Y19" s="5">
        <f t="shared" si="1"/>
        <v>0</v>
      </c>
      <c r="Z19" s="203">
        <f>RUB_DATA!U20</f>
        <v>5.2300000000000006E-2</v>
      </c>
      <c r="AA19" s="203"/>
      <c r="AB19" s="50"/>
      <c r="AC19" s="222" t="s">
        <v>746</v>
      </c>
      <c r="AD19" s="216" t="s">
        <v>675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RUB_DATA!Z19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331</v>
      </c>
      <c r="BO19" s="391">
        <f t="shared" si="7"/>
        <v>15033.83</v>
      </c>
      <c r="BP19" s="5" t="b">
        <v>1</v>
      </c>
      <c r="BQ19" s="5">
        <f>BQ4*30.5</f>
        <v>457.5</v>
      </c>
      <c r="BR19" s="362">
        <f>BRL_DATA!AZ19</f>
        <v>14576.33</v>
      </c>
      <c r="BT19" s="50"/>
      <c r="BU19" s="56" t="s">
        <v>814</v>
      </c>
      <c r="BV19" s="57"/>
      <c r="BW19" s="262"/>
      <c r="BX19" s="303"/>
      <c r="BY19" s="620" t="s">
        <v>342</v>
      </c>
      <c r="BZ19" s="297">
        <f>BRL_DATA!AW20</f>
        <v>24325.39</v>
      </c>
      <c r="CA19" s="297">
        <f>BRL_DATA!AX20</f>
        <v>25126.59</v>
      </c>
      <c r="CB19" s="620"/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3"/>
      <c r="CN19" s="436"/>
      <c r="CO19" s="545"/>
      <c r="CP19" s="547"/>
      <c r="CQ19" s="547"/>
      <c r="CR19" s="547"/>
      <c r="CU19" s="401"/>
      <c r="CV19" s="206"/>
      <c r="CW19" s="206"/>
      <c r="DS19" s="264"/>
      <c r="DT19" s="314"/>
      <c r="DU19" s="315"/>
      <c r="DV19" s="316"/>
      <c r="DW19" s="316"/>
      <c r="DX19" s="317"/>
      <c r="DY19" s="299"/>
      <c r="DZ19" s="318"/>
    </row>
    <row r="20" spans="6:130" x14ac:dyDescent="0.25">
      <c r="F20" s="50"/>
      <c r="G20" s="218"/>
      <c r="H20" s="219"/>
      <c r="I20" s="53"/>
      <c r="K20" t="s">
        <v>358</v>
      </c>
      <c r="L20" s="357">
        <f t="shared" si="2"/>
        <v>5.2595000000000003E-2</v>
      </c>
      <c r="M20" s="5" t="b">
        <v>1</v>
      </c>
      <c r="N20" s="5">
        <f t="shared" si="3"/>
        <v>0</v>
      </c>
      <c r="O20" s="357">
        <f>O19</f>
        <v>5.2595000000000003E-2</v>
      </c>
      <c r="Q20" s="50"/>
      <c r="R20" s="233" t="s">
        <v>717</v>
      </c>
      <c r="S20" s="230" t="s">
        <v>718</v>
      </c>
      <c r="T20" s="53"/>
      <c r="V20" t="s">
        <v>324</v>
      </c>
      <c r="W20" s="203">
        <f t="shared" si="0"/>
        <v>5.4299999999999994E-2</v>
      </c>
      <c r="X20" t="b">
        <v>1</v>
      </c>
      <c r="Y20" s="5">
        <f t="shared" si="1"/>
        <v>0</v>
      </c>
      <c r="Z20" s="203">
        <f>RUB_DATA!U21</f>
        <v>5.4299999999999994E-2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342</v>
      </c>
      <c r="BO20" s="391">
        <f t="shared" si="7"/>
        <v>25457.99</v>
      </c>
      <c r="BP20" s="5" t="b">
        <v>1</v>
      </c>
      <c r="BQ20" s="5">
        <f>BQ4*48.8</f>
        <v>732</v>
      </c>
      <c r="BR20" s="362">
        <f>BRL_DATA!AZ20</f>
        <v>24725.99</v>
      </c>
      <c r="BT20" s="50"/>
      <c r="BU20" s="147" t="s">
        <v>704</v>
      </c>
      <c r="BV20" s="221" t="str">
        <f>INDEX('STATIC DATA'!C30:AH30,1,MATCH($A$1,'STATIC DATA'!$C$4:$AH$4,0))</f>
        <v>NBR:NYB</v>
      </c>
      <c r="BW20" s="52"/>
      <c r="BX20" s="299"/>
      <c r="BY20" s="620" t="s">
        <v>349</v>
      </c>
      <c r="BZ20" s="297">
        <f>BRL_DATA!AW21</f>
        <v>41652.31</v>
      </c>
      <c r="CA20" s="297">
        <f>BRL_DATA!AX21</f>
        <v>42848.12</v>
      </c>
      <c r="CB20" s="620"/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N20" s="436"/>
      <c r="CO20" s="545"/>
      <c r="CP20" s="547"/>
      <c r="CQ20" s="547"/>
      <c r="CR20" s="547"/>
      <c r="CU20" s="401"/>
      <c r="CV20" s="206"/>
      <c r="CW20" s="206"/>
      <c r="DS20" s="264"/>
      <c r="DT20" s="314"/>
      <c r="DU20" s="315"/>
      <c r="DV20" s="316"/>
      <c r="DW20" s="316"/>
      <c r="DX20" s="317"/>
      <c r="DY20" s="299"/>
      <c r="DZ20" s="318"/>
    </row>
    <row r="21" spans="6:130" x14ac:dyDescent="0.25">
      <c r="F21" s="50"/>
      <c r="G21" s="52"/>
      <c r="H21" s="52"/>
      <c r="I21" s="53"/>
      <c r="K21" t="s">
        <v>367</v>
      </c>
      <c r="L21" s="357">
        <f t="shared" si="2"/>
        <v>5.2595000000000003E-2</v>
      </c>
      <c r="M21" s="5" t="b">
        <v>1</v>
      </c>
      <c r="N21" s="5">
        <f t="shared" si="3"/>
        <v>0</v>
      </c>
      <c r="O21" s="357">
        <f t="shared" ref="O21:O22" si="8">O20</f>
        <v>5.2595000000000003E-2</v>
      </c>
      <c r="Q21" s="50"/>
      <c r="R21" s="233" t="s">
        <v>719</v>
      </c>
      <c r="S21" s="230" t="s">
        <v>720</v>
      </c>
      <c r="T21" s="53"/>
      <c r="V21" t="s">
        <v>331</v>
      </c>
      <c r="W21" s="203">
        <f t="shared" si="0"/>
        <v>5.5999999999999994E-2</v>
      </c>
      <c r="X21" t="b">
        <v>1</v>
      </c>
      <c r="Y21" s="5">
        <f t="shared" si="1"/>
        <v>0</v>
      </c>
      <c r="Z21" s="203">
        <f>RUB_DATA!U22</f>
        <v>5.5999999999999994E-2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tr">
        <f>$A$1&amp;"3M"</f>
        <v>BRL3M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961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349</v>
      </c>
      <c r="BO21" s="391">
        <f t="shared" si="7"/>
        <v>43492.21</v>
      </c>
      <c r="BP21" s="5" t="b">
        <v>1</v>
      </c>
      <c r="BQ21" s="5">
        <f>BQ4*82.8</f>
        <v>1242</v>
      </c>
      <c r="BR21" s="362">
        <f>BRL_DATA!AZ21</f>
        <v>42250.21</v>
      </c>
      <c r="BT21" s="50"/>
      <c r="BU21" s="149" t="s">
        <v>732</v>
      </c>
      <c r="BV21" s="223" t="s">
        <v>621</v>
      </c>
      <c r="BW21" s="52"/>
      <c r="BX21" s="299"/>
      <c r="BY21" s="620"/>
      <c r="BZ21" s="297"/>
      <c r="CA21" s="297"/>
      <c r="CB21" s="620"/>
      <c r="CN21" s="436"/>
      <c r="CO21" s="545"/>
      <c r="CP21" s="547"/>
      <c r="CQ21" s="547"/>
      <c r="CR21" s="547"/>
      <c r="CU21" s="401"/>
      <c r="CV21" s="206"/>
      <c r="CW21" s="206"/>
      <c r="DS21" s="264"/>
      <c r="DT21" s="314"/>
      <c r="DU21" s="315"/>
      <c r="DV21" s="316"/>
      <c r="DW21" s="316"/>
      <c r="DX21" s="317"/>
      <c r="DY21" s="299"/>
      <c r="DZ21" s="318"/>
    </row>
    <row r="22" spans="6:130" x14ac:dyDescent="0.25">
      <c r="F22" s="50"/>
      <c r="G22" s="54" t="s">
        <v>426</v>
      </c>
      <c r="H22" s="52"/>
      <c r="I22" s="53"/>
      <c r="K22" s="2" t="s">
        <v>1210</v>
      </c>
      <c r="L22" s="357">
        <f t="shared" si="2"/>
        <v>5.2595000000000003E-2</v>
      </c>
      <c r="M22" s="5" t="b">
        <v>1</v>
      </c>
      <c r="N22" s="5">
        <f t="shared" si="3"/>
        <v>0</v>
      </c>
      <c r="O22" s="357">
        <f t="shared" si="8"/>
        <v>5.2595000000000003E-2</v>
      </c>
      <c r="Q22" s="50"/>
      <c r="R22" s="222" t="s">
        <v>706</v>
      </c>
      <c r="S22" s="223" t="s">
        <v>721</v>
      </c>
      <c r="T22" s="53"/>
      <c r="V22" t="s">
        <v>339</v>
      </c>
      <c r="W22" s="203">
        <f t="shared" si="0"/>
        <v>5.7699999999999994E-2</v>
      </c>
      <c r="X22" t="b">
        <v>1</v>
      </c>
      <c r="Y22" s="5">
        <f t="shared" si="1"/>
        <v>0</v>
      </c>
      <c r="Z22" s="203">
        <f>RUB_DATA!U23</f>
        <v>5.7699999999999994E-2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367</v>
      </c>
      <c r="BO22" s="358">
        <v>0.05</v>
      </c>
      <c r="BP22" s="5" t="b">
        <v>0</v>
      </c>
      <c r="BQ22" s="5"/>
      <c r="BR22" s="357"/>
      <c r="BT22" s="50"/>
      <c r="BU22" s="149" t="s">
        <v>707</v>
      </c>
      <c r="BV22" s="223" t="s">
        <v>1189</v>
      </c>
      <c r="BW22" s="52"/>
      <c r="BX22" s="299"/>
      <c r="BY22" s="620"/>
      <c r="BZ22" s="297"/>
      <c r="CA22" s="297"/>
      <c r="CB22" s="620"/>
      <c r="CN22" s="436"/>
      <c r="CO22" s="545"/>
      <c r="CP22" s="547"/>
      <c r="CQ22" s="547"/>
      <c r="CR22" s="547"/>
      <c r="CU22" s="401"/>
      <c r="CV22" s="206"/>
      <c r="CW22" s="206"/>
      <c r="DS22" s="264"/>
      <c r="DT22" s="314"/>
      <c r="DU22" s="315"/>
      <c r="DV22" s="316"/>
      <c r="DW22" s="316"/>
      <c r="DX22" s="317"/>
      <c r="DY22" s="299"/>
      <c r="DZ22" s="318"/>
    </row>
    <row r="23" spans="6:130" x14ac:dyDescent="0.25">
      <c r="F23" s="50"/>
      <c r="G23" s="220" t="s">
        <v>677</v>
      </c>
      <c r="H23" s="221">
        <f>INDEX('STATIC DATA'!C43:AZ43,1,MATCH($A$1,'STATIC DATA'!$C$4:$AZ$4,0))</f>
        <v>0</v>
      </c>
      <c r="I23" s="53"/>
      <c r="L23" s="5"/>
      <c r="M23" s="5"/>
      <c r="N23" s="5"/>
      <c r="O23" s="5"/>
      <c r="Q23" s="50"/>
      <c r="R23" s="222" t="s">
        <v>722</v>
      </c>
      <c r="S23" s="475" t="b">
        <v>1</v>
      </c>
      <c r="T23" s="53"/>
      <c r="V23" t="s">
        <v>342</v>
      </c>
      <c r="W23" s="203">
        <f t="shared" si="0"/>
        <v>5.9299999999999999E-2</v>
      </c>
      <c r="X23" t="b">
        <v>1</v>
      </c>
      <c r="Y23" s="5">
        <f t="shared" si="1"/>
        <v>0</v>
      </c>
      <c r="Z23" s="203">
        <f>RUB_DATA!U24</f>
        <v>5.9299999999999999E-2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O23" s="358"/>
      <c r="BP23" s="5"/>
      <c r="BQ23" s="5"/>
      <c r="BR23" s="357"/>
      <c r="BT23" s="50"/>
      <c r="BU23" s="149" t="s">
        <v>689</v>
      </c>
      <c r="BV23" s="223" t="b">
        <v>1</v>
      </c>
      <c r="BW23" s="52"/>
      <c r="BX23" s="299"/>
      <c r="BY23" s="620"/>
      <c r="BZ23" s="297"/>
      <c r="CA23" s="297"/>
      <c r="CB23" s="620"/>
      <c r="CN23" s="436"/>
      <c r="CO23" s="545"/>
      <c r="CP23" s="547"/>
      <c r="CQ23" s="547"/>
      <c r="CR23" s="547"/>
      <c r="CU23" s="401"/>
      <c r="CV23" s="206"/>
      <c r="CW23" s="206"/>
      <c r="DS23" s="264"/>
      <c r="DT23" s="314"/>
      <c r="DU23" s="315"/>
      <c r="DV23" s="316"/>
      <c r="DW23" s="316"/>
      <c r="DX23" s="317"/>
      <c r="DY23" s="299"/>
      <c r="DZ23" s="318"/>
    </row>
    <row r="24" spans="6:130" x14ac:dyDescent="0.25">
      <c r="F24" s="50"/>
      <c r="G24" s="222" t="s">
        <v>678</v>
      </c>
      <c r="H24" s="223">
        <f>INDEX('STATIC DATA'!C59:AZ59,1,MATCH($A$1,'STATIC DATA'!C4:AZ4,0))</f>
        <v>0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V24" t="s">
        <v>355</v>
      </c>
      <c r="W24" s="203">
        <f t="shared" si="0"/>
        <v>6.0700000000000004E-2</v>
      </c>
      <c r="X24" t="b">
        <v>1</v>
      </c>
      <c r="Y24" s="5">
        <f t="shared" si="1"/>
        <v>0</v>
      </c>
      <c r="Z24" s="203">
        <f>RUB_DATA!U25</f>
        <v>6.0700000000000004E-2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O24" s="358"/>
      <c r="BP24" s="5"/>
      <c r="BQ24" s="5"/>
      <c r="BR24" s="357"/>
      <c r="BT24" s="50"/>
      <c r="BU24" s="149" t="s">
        <v>688</v>
      </c>
      <c r="BV24" s="223">
        <v>31</v>
      </c>
      <c r="BW24" s="52"/>
      <c r="BX24" s="299"/>
      <c r="BY24" s="620"/>
      <c r="BZ24" s="620"/>
      <c r="CA24" s="620"/>
      <c r="CB24" s="620"/>
      <c r="CN24" s="436"/>
      <c r="CO24" s="545"/>
      <c r="CP24" s="547"/>
      <c r="CQ24" s="547"/>
      <c r="CR24" s="547"/>
      <c r="CU24" s="401"/>
      <c r="CV24" s="206"/>
      <c r="CW24" s="206"/>
      <c r="DS24" s="264"/>
      <c r="DT24" s="314"/>
      <c r="DU24" s="315"/>
      <c r="DV24" s="316"/>
      <c r="DW24" s="316"/>
      <c r="DX24" s="317"/>
      <c r="DY24" s="299"/>
      <c r="DZ24" s="318"/>
    </row>
    <row r="25" spans="6:130" x14ac:dyDescent="0.25">
      <c r="F25" s="50"/>
      <c r="G25" s="222" t="s">
        <v>679</v>
      </c>
      <c r="H25" s="223" t="str">
        <f>IF(INDEX('STATIC DATA'!C58:AZ58,1,MATCH(A1,'STATIC DATA'!C4:AZ4,0))="1Y","ANNUAL",(IF(INDEX('STATIC DATA'!C58:AZ58,1,MATCH($A$1,'STATIC DATA'!C4:AZ4,0))="6M","SEMI-ANNUAL", "QUARTERLY")))</f>
        <v>QUARTERLY</v>
      </c>
      <c r="I25" s="53"/>
      <c r="L25" s="5"/>
      <c r="M25" s="5"/>
      <c r="N25" s="5"/>
      <c r="O25" s="5"/>
      <c r="Q25" s="50"/>
      <c r="R25" s="234" t="s">
        <v>724</v>
      </c>
      <c r="S25" s="472" t="s">
        <v>426</v>
      </c>
      <c r="T25" s="53"/>
      <c r="V25" t="s">
        <v>364</v>
      </c>
      <c r="W25" s="203">
        <f t="shared" si="0"/>
        <v>6.1900000000000004E-2</v>
      </c>
      <c r="X25" t="b">
        <v>1</v>
      </c>
      <c r="Y25" s="5">
        <f t="shared" si="1"/>
        <v>0</v>
      </c>
      <c r="Z25" s="203">
        <f>RUB_DATA!U26</f>
        <v>6.1900000000000004E-2</v>
      </c>
      <c r="AA25" s="203"/>
      <c r="AB25" s="50"/>
      <c r="AC25" s="85" t="s">
        <v>713</v>
      </c>
      <c r="AD25" s="85" t="s">
        <v>713</v>
      </c>
      <c r="AE25" s="53"/>
      <c r="AF25" s="19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O25" s="358"/>
      <c r="BP25" s="5"/>
      <c r="BQ25" s="5"/>
      <c r="BR25" s="357"/>
      <c r="BT25" s="50"/>
      <c r="BU25" s="151" t="s">
        <v>819</v>
      </c>
      <c r="BV25" s="226" t="b">
        <v>0</v>
      </c>
      <c r="BW25" s="52"/>
      <c r="BX25" s="299"/>
      <c r="BY25" s="620"/>
      <c r="BZ25" s="620"/>
      <c r="CA25" s="620"/>
      <c r="CB25" s="620"/>
      <c r="CN25" s="436"/>
      <c r="CO25" s="545"/>
      <c r="CP25" s="547"/>
      <c r="CQ25" s="547"/>
      <c r="CR25" s="547"/>
      <c r="CU25" s="401"/>
      <c r="CV25" s="206"/>
      <c r="CW25" s="206"/>
      <c r="DS25" s="264"/>
      <c r="DT25" s="314"/>
      <c r="DU25" s="315"/>
      <c r="DV25" s="316"/>
      <c r="DW25" s="316"/>
      <c r="DX25" s="317"/>
      <c r="DY25" s="299"/>
      <c r="DZ25" s="318"/>
    </row>
    <row r="26" spans="6:130" x14ac:dyDescent="0.25">
      <c r="F26" s="50"/>
      <c r="G26" s="222" t="s">
        <v>681</v>
      </c>
      <c r="H26" s="223" t="s">
        <v>682</v>
      </c>
      <c r="I26" s="53"/>
      <c r="L26" s="5"/>
      <c r="M26" s="5"/>
      <c r="N26" s="5"/>
      <c r="O26" s="5"/>
      <c r="Q26" s="50"/>
      <c r="R26" s="52" t="s">
        <v>713</v>
      </c>
      <c r="S26" s="52" t="s">
        <v>713</v>
      </c>
      <c r="T26" s="53"/>
      <c r="V26" t="s">
        <v>349</v>
      </c>
      <c r="W26" s="203">
        <f t="shared" si="0"/>
        <v>6.2899999999999998E-2</v>
      </c>
      <c r="X26" t="b">
        <v>1</v>
      </c>
      <c r="Y26" s="5">
        <f t="shared" si="1"/>
        <v>0</v>
      </c>
      <c r="Z26" s="203">
        <f>RUB_DATA!U27</f>
        <v>6.2899999999999998E-2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55" t="s">
        <v>814</v>
      </c>
      <c r="BK26" s="256"/>
      <c r="BL26" s="53"/>
      <c r="BO26" s="358"/>
      <c r="BP26" s="5"/>
      <c r="BQ26" s="5"/>
      <c r="BR26" s="357"/>
      <c r="BT26" s="50"/>
      <c r="BU26" s="52"/>
      <c r="BV26" s="52"/>
      <c r="BW26" s="52"/>
      <c r="BX26" s="299"/>
      <c r="BY26" s="620"/>
      <c r="BZ26" s="620"/>
      <c r="CA26" s="620"/>
      <c r="CB26" s="620"/>
      <c r="CD26" s="442" t="s">
        <v>1084</v>
      </c>
      <c r="CE26" t="s">
        <v>713</v>
      </c>
      <c r="CJ26" s="442" t="s">
        <v>1084</v>
      </c>
      <c r="CK26" t="s">
        <v>713</v>
      </c>
      <c r="CN26" s="436"/>
      <c r="CO26" s="545"/>
      <c r="CP26" s="547"/>
      <c r="CQ26" s="547"/>
      <c r="CR26" s="547"/>
      <c r="CU26" s="401"/>
      <c r="CV26" s="206"/>
      <c r="CW26" s="206"/>
      <c r="DS26" s="264"/>
      <c r="DT26" s="314"/>
      <c r="DU26" s="315"/>
      <c r="DV26" s="316"/>
      <c r="DW26" s="316"/>
      <c r="DX26" s="317"/>
      <c r="DY26" s="299"/>
      <c r="DZ26" s="318"/>
    </row>
    <row r="27" spans="6:130" x14ac:dyDescent="0.25">
      <c r="F27" s="50"/>
      <c r="G27" s="222" t="s">
        <v>683</v>
      </c>
      <c r="H27" s="223">
        <f>INDEX('STATIC DATA'!C15:AZ15,1,MATCH($A$1,'STATIC DATA'!C4:AZ4,0))</f>
        <v>0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V27" t="s">
        <v>358</v>
      </c>
      <c r="W27" s="203">
        <f t="shared" si="0"/>
        <v>6.3899999999999998E-2</v>
      </c>
      <c r="X27" t="b">
        <v>1</v>
      </c>
      <c r="Y27" s="5">
        <f t="shared" si="1"/>
        <v>0</v>
      </c>
      <c r="Z27" s="203">
        <f>RUB_DATA!U28</f>
        <v>6.3899999999999998E-2</v>
      </c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677</v>
      </c>
      <c r="BK27" s="240" t="str">
        <f>INDEX('STATIC DATA'!C20:BB20,1,MATCH($A$1,'STATIC DATA'!$C$4:$BB$4,0))</f>
        <v>NBR:NYB</v>
      </c>
      <c r="BL27" s="53"/>
      <c r="BO27" s="358"/>
      <c r="BP27" s="5"/>
      <c r="BQ27" s="5"/>
      <c r="BR27" s="357"/>
      <c r="BT27" s="50"/>
      <c r="BU27" s="52"/>
      <c r="BV27" s="52"/>
      <c r="BW27" s="52"/>
      <c r="BX27" s="299"/>
      <c r="BY27" s="620"/>
      <c r="BZ27" s="620"/>
      <c r="CA27" s="620"/>
      <c r="CB27" s="620"/>
      <c r="CD27" s="57" t="s">
        <v>1085</v>
      </c>
      <c r="CE27" s="57" t="s">
        <v>1093</v>
      </c>
      <c r="CJ27" s="57" t="s">
        <v>1085</v>
      </c>
      <c r="CK27" s="57" t="s">
        <v>1128</v>
      </c>
      <c r="CN27" s="436"/>
      <c r="CO27" s="545"/>
      <c r="CP27" s="547"/>
      <c r="CQ27" s="547"/>
      <c r="CR27" s="547"/>
      <c r="CU27" s="401"/>
      <c r="CV27" s="206"/>
      <c r="CW27" s="206"/>
      <c r="DS27" s="264"/>
      <c r="DT27" s="314"/>
      <c r="DU27" s="315"/>
      <c r="DV27" s="316"/>
      <c r="DW27" s="316"/>
      <c r="DX27" s="317"/>
      <c r="DY27" s="299"/>
      <c r="DZ27" s="318"/>
    </row>
    <row r="28" spans="6:130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>
        <f>INDEX('STATIC DATA'!C43:AZ43,1,MATCH($A$1,'STATIC DATA'!$C$4:$AZ$4,0))</f>
        <v>0</v>
      </c>
      <c r="T28" s="53"/>
      <c r="V28" t="s">
        <v>367</v>
      </c>
      <c r="W28" s="203">
        <f t="shared" si="0"/>
        <v>6.54E-2</v>
      </c>
      <c r="X28" t="b">
        <v>1</v>
      </c>
      <c r="Y28" s="5">
        <f t="shared" si="1"/>
        <v>0</v>
      </c>
      <c r="Z28" s="203">
        <f>RUB_DATA!U29</f>
        <v>6.54E-2</v>
      </c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25" t="s">
        <v>683</v>
      </c>
      <c r="BK28" s="257" t="str">
        <f>INDEX('STATIC DATA'!C19:BB19,1,MATCH($A$1,'STATIC DATA'!$C$4:$BB$4,0))</f>
        <v>2D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BY28" s="620"/>
      <c r="BZ28" s="620"/>
      <c r="CA28" s="620"/>
      <c r="CB28" s="620"/>
      <c r="CD28" s="57" t="s">
        <v>1086</v>
      </c>
      <c r="CE28" s="57" t="s">
        <v>1089</v>
      </c>
      <c r="CJ28" s="57" t="s">
        <v>1086</v>
      </c>
      <c r="CK28" s="57" t="s">
        <v>1129</v>
      </c>
      <c r="CN28" s="436"/>
      <c r="CO28" s="545"/>
      <c r="CP28" s="547"/>
      <c r="CQ28" s="547"/>
      <c r="CR28" s="547"/>
      <c r="CU28" s="401"/>
      <c r="CV28" s="206"/>
      <c r="CW28" s="206"/>
      <c r="DS28" s="267"/>
      <c r="DT28" s="326"/>
      <c r="DU28" s="327"/>
      <c r="DV28" s="328"/>
      <c r="DW28" s="328"/>
      <c r="DX28" s="329"/>
      <c r="DY28" s="299"/>
      <c r="DZ28" s="318"/>
    </row>
    <row r="29" spans="6:130" x14ac:dyDescent="0.25">
      <c r="F29" s="50"/>
      <c r="G29" s="222" t="s">
        <v>686</v>
      </c>
      <c r="H29" s="223" t="s">
        <v>687</v>
      </c>
      <c r="I29" s="53"/>
      <c r="Q29" s="50"/>
      <c r="R29" s="222" t="s">
        <v>678</v>
      </c>
      <c r="S29" s="223">
        <f>INDEX('STATIC DATA'!C55:AZ55,1,MATCH($A$1,'STATIC DATA'!C4:AZ4,0))</f>
        <v>0</v>
      </c>
      <c r="T29" s="53"/>
      <c r="V29" t="s">
        <v>374</v>
      </c>
      <c r="W29" s="203">
        <f t="shared" si="0"/>
        <v>6.3899999999999998E-2</v>
      </c>
      <c r="X29" t="b">
        <v>1</v>
      </c>
      <c r="Y29" s="5">
        <f t="shared" si="1"/>
        <v>0</v>
      </c>
      <c r="Z29" s="203">
        <f>RUB_DATA!U30</f>
        <v>6.3899999999999998E-2</v>
      </c>
      <c r="AA29" s="203"/>
      <c r="AB29" s="50"/>
      <c r="AC29" s="222" t="s">
        <v>751</v>
      </c>
      <c r="AD29" s="216">
        <f>INDEX('STATIC DATA'!C43:AZ43,1,MATCH($A$1,'STATIC DATA'!$C$4:$AZ$4,0))</f>
        <v>0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DATA'!C39:AZ39,1,MATCH($A$1,'STATIC DATA'!$C$4:$AZ$4,0))</f>
        <v>NBR</v>
      </c>
      <c r="AP29" s="53"/>
      <c r="AX29" s="50"/>
      <c r="AY29" s="222" t="s">
        <v>751</v>
      </c>
      <c r="AZ29" s="216" t="b">
        <f>AZ38=INDEX('STATIC DATA'!C39:AZ39,1,MATCH($A$1,'STATIC DATA'!$C$4:$AZ$4,0))</f>
        <v>1</v>
      </c>
      <c r="BA29" s="53"/>
      <c r="BI29" s="50"/>
      <c r="BJ29" s="225" t="s">
        <v>686</v>
      </c>
      <c r="BK29" s="240" t="s">
        <v>687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BY29" s="620"/>
      <c r="BZ29" s="620"/>
      <c r="CA29" s="620"/>
      <c r="CB29" s="620"/>
      <c r="CD29" s="57" t="s">
        <v>1087</v>
      </c>
      <c r="CE29" s="57" t="s">
        <v>1316</v>
      </c>
      <c r="CJ29" s="57" t="s">
        <v>1087</v>
      </c>
      <c r="CK29" s="57" t="s">
        <v>1316</v>
      </c>
      <c r="CN29" s="436"/>
      <c r="CO29" s="545"/>
      <c r="CP29" s="547"/>
      <c r="CQ29" s="547"/>
      <c r="CR29" s="547"/>
      <c r="CU29" s="401"/>
      <c r="CV29" s="206"/>
      <c r="CW29" s="206"/>
      <c r="DS29" s="299"/>
      <c r="DT29" s="299"/>
      <c r="DU29" s="299"/>
      <c r="DV29" s="299"/>
      <c r="DW29" s="299"/>
      <c r="DX29" s="299"/>
      <c r="DY29" s="299"/>
      <c r="DZ29" s="318"/>
    </row>
    <row r="30" spans="6:130" x14ac:dyDescent="0.25">
      <c r="F30" s="50"/>
      <c r="G30" s="222" t="s">
        <v>688</v>
      </c>
      <c r="H30" s="216">
        <v>31</v>
      </c>
      <c r="I30" s="53"/>
      <c r="Q30" s="50"/>
      <c r="R30" s="225" t="s">
        <v>686</v>
      </c>
      <c r="S30" s="226" t="s">
        <v>728</v>
      </c>
      <c r="T30" s="53"/>
      <c r="W30" s="203"/>
      <c r="Z30" s="203"/>
      <c r="AA30" s="203"/>
      <c r="AB30" s="50"/>
      <c r="AC30" s="222" t="s">
        <v>752</v>
      </c>
      <c r="AD30" s="216">
        <f>INDEX('STATIC DATA'!C55:AZ55,1,MATCH($A$1,'STATIC DATA'!C4:AZ4,0))</f>
        <v>0</v>
      </c>
      <c r="AE30" s="53"/>
      <c r="AH30" s="5"/>
      <c r="AI30" s="5"/>
      <c r="AJ30" s="5"/>
      <c r="AK30" s="5"/>
      <c r="AM30" s="50"/>
      <c r="AN30" s="222" t="s">
        <v>752</v>
      </c>
      <c r="AO30" s="216">
        <f>INDEX('STATIC DATA'!C55:AZ55,1,MATCH($A$1,'STATIC DATA'!C4:AZ4,0))</f>
        <v>0</v>
      </c>
      <c r="AP30" s="53"/>
      <c r="AX30" s="50"/>
      <c r="AY30" s="222" t="s">
        <v>752</v>
      </c>
      <c r="AZ30" s="216">
        <f>INDEX('STATIC DATA'!Y55:AY55,1,MATCH($A$1,'STATIC DATA'!Y4:AV4,0))</f>
        <v>0</v>
      </c>
      <c r="BA30" s="53"/>
      <c r="BI30" s="50"/>
      <c r="BJ30" s="225" t="s">
        <v>689</v>
      </c>
      <c r="BK30" s="240" t="b">
        <v>1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1316</v>
      </c>
      <c r="CJ30" s="57" t="s">
        <v>1088</v>
      </c>
      <c r="CK30" s="443" t="s">
        <v>1316</v>
      </c>
      <c r="CN30" s="436"/>
      <c r="CO30" s="545"/>
      <c r="CP30" s="547"/>
      <c r="CQ30" s="547"/>
      <c r="CR30" s="547"/>
      <c r="CU30" s="401"/>
      <c r="CV30" s="206"/>
      <c r="CW30" s="206"/>
      <c r="DP30" s="302"/>
      <c r="DQ30" s="302"/>
      <c r="DR30" s="302"/>
      <c r="DS30" s="299"/>
      <c r="DT30" s="299"/>
      <c r="DU30" s="299"/>
      <c r="DV30" s="299"/>
      <c r="DW30" s="299"/>
      <c r="DX30" s="299"/>
      <c r="DY30" s="299"/>
      <c r="DZ30" s="318"/>
    </row>
    <row r="31" spans="6:130" x14ac:dyDescent="0.25">
      <c r="F31" s="50"/>
      <c r="G31" s="222" t="s">
        <v>689</v>
      </c>
      <c r="H31" s="224" t="b">
        <v>1</v>
      </c>
      <c r="I31" s="53"/>
      <c r="Q31" s="50"/>
      <c r="R31" s="52" t="s">
        <v>713</v>
      </c>
      <c r="S31" s="52" t="s">
        <v>713</v>
      </c>
      <c r="T31" s="53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688</v>
      </c>
      <c r="BK31" s="257">
        <v>31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N31" s="436"/>
      <c r="CO31" s="545"/>
      <c r="CP31" s="547"/>
      <c r="CQ31" s="547"/>
      <c r="CR31" s="547"/>
      <c r="CU31" s="401"/>
      <c r="CV31" s="206"/>
      <c r="CW31" s="206"/>
      <c r="DP31" s="299"/>
      <c r="DQ31" s="299"/>
      <c r="DR31" s="299"/>
      <c r="DS31" s="299"/>
      <c r="DT31" s="299"/>
      <c r="DU31" s="299"/>
      <c r="DV31" s="299"/>
      <c r="DW31" s="299"/>
      <c r="DX31" s="299"/>
      <c r="DY31" s="299"/>
      <c r="DZ31" s="318"/>
    </row>
    <row r="32" spans="6:130" x14ac:dyDescent="0.25">
      <c r="F32" s="50"/>
      <c r="G32" s="222" t="s">
        <v>690</v>
      </c>
      <c r="H32" s="223" t="s">
        <v>691</v>
      </c>
      <c r="I32" s="53"/>
      <c r="Q32" s="50"/>
      <c r="R32" s="54" t="s">
        <v>460</v>
      </c>
      <c r="S32" s="52" t="s">
        <v>713</v>
      </c>
      <c r="T32" s="53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817</v>
      </c>
      <c r="BK32" s="258">
        <f>IF(INDEX('STATIC DATA'!C49:BB49,1,MATCH($A$1,'STATIC DATA'!C4:BB4,0))=4,10000,IF(INDEX('STATIC DATA'!C49:BB49,1,MATCH($A$1,'STATIC DATA'!C4:BB4,0))=3,1000,100))</f>
        <v>10000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206"/>
      <c r="CB32" s="299"/>
      <c r="CN32" s="436"/>
      <c r="CO32" s="545"/>
      <c r="CP32" s="547"/>
      <c r="CQ32" s="547"/>
      <c r="CR32" s="547"/>
      <c r="CU32" s="401"/>
      <c r="CV32" s="206"/>
      <c r="CW32" s="206"/>
      <c r="DP32" s="206"/>
      <c r="DQ32" s="206"/>
      <c r="DR32" s="299"/>
      <c r="DS32" s="299"/>
      <c r="DT32" s="299"/>
      <c r="DU32" s="299"/>
      <c r="DV32" s="299"/>
      <c r="DW32" s="299"/>
      <c r="DX32" s="299"/>
      <c r="DY32" s="299"/>
      <c r="DZ32" s="318"/>
    </row>
    <row r="33" spans="6:130" x14ac:dyDescent="0.25">
      <c r="F33" s="50"/>
      <c r="G33" s="222" t="s">
        <v>695</v>
      </c>
      <c r="H33" s="223" t="s">
        <v>696</v>
      </c>
      <c r="I33" s="53"/>
      <c r="Q33" s="50"/>
      <c r="R33" s="220" t="s">
        <v>677</v>
      </c>
      <c r="S33" s="221">
        <f>INDEX('STATIC DATA'!C43:AZ43,1,MATCH($A$1,'STATIC DATA'!$C$4:$AZ$4,0))</f>
        <v>0</v>
      </c>
      <c r="T33" s="53"/>
      <c r="AA33" s="203"/>
      <c r="AB33" s="50"/>
      <c r="AC33" s="222" t="s">
        <v>755</v>
      </c>
      <c r="AD33" s="216" t="str">
        <f>INDEX('STATIC DATA'!C7:AZ7,1,MATCH($A$1,'STATIC DATA'!C4:AZ4,0))</f>
        <v>2D</v>
      </c>
      <c r="AE33" s="53"/>
      <c r="AH33" s="5"/>
      <c r="AI33" s="5"/>
      <c r="AJ33" s="5"/>
      <c r="AK33" s="5"/>
      <c r="AM33" s="50"/>
      <c r="AN33" s="222" t="s">
        <v>755</v>
      </c>
      <c r="AO33" s="216" t="str">
        <f>INDEX('STATIC DATA'!C7:AZ7,1,MATCH($A$1,'STATIC DATA'!C4:AZ4,0))</f>
        <v>2D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34" t="s">
        <v>818</v>
      </c>
      <c r="BK33" s="259" t="b">
        <v>1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N33" s="436"/>
      <c r="CO33" s="545"/>
      <c r="CP33" s="547"/>
      <c r="CQ33" s="547"/>
      <c r="CR33" s="547"/>
      <c r="CU33" s="401"/>
      <c r="CV33" s="206"/>
      <c r="CW33" s="206"/>
      <c r="DP33" s="206"/>
      <c r="DQ33" s="206"/>
      <c r="DR33" s="299"/>
      <c r="DS33" s="299"/>
      <c r="DT33" s="299"/>
      <c r="DU33" s="299"/>
      <c r="DV33" s="299"/>
      <c r="DW33" s="299"/>
      <c r="DX33" s="299"/>
      <c r="DY33" s="299"/>
      <c r="DZ33" s="318"/>
    </row>
    <row r="34" spans="6:130" x14ac:dyDescent="0.25">
      <c r="F34" s="50"/>
      <c r="G34" s="222" t="s">
        <v>697</v>
      </c>
      <c r="H34" s="223">
        <v>1E-10</v>
      </c>
      <c r="I34" s="53"/>
      <c r="Q34" s="50"/>
      <c r="R34" s="222" t="s">
        <v>678</v>
      </c>
      <c r="S34" s="223">
        <f>INDEX('STATIC DATA'!C55:AZ55,1,MATCH($A$1,'STATIC DATA'!C4:AZ4,0))</f>
        <v>0</v>
      </c>
      <c r="T34" s="53"/>
      <c r="AA34" s="203"/>
      <c r="AB34" s="50"/>
      <c r="AC34" s="245" t="s">
        <v>756</v>
      </c>
      <c r="AD34" s="247" t="s">
        <v>961</v>
      </c>
      <c r="AE34" s="249" t="s">
        <v>801</v>
      </c>
      <c r="AM34" s="50"/>
      <c r="AN34" s="234" t="s">
        <v>756</v>
      </c>
      <c r="AO34" s="247" t="str">
        <f>$A$1&amp;"3M"</f>
        <v>BRL3M</v>
      </c>
      <c r="AP34" s="249" t="s">
        <v>801</v>
      </c>
      <c r="AX34" s="50"/>
      <c r="AY34" s="245" t="s">
        <v>756</v>
      </c>
      <c r="AZ34" s="244" t="str">
        <f>"AGAINST:MOS3M"</f>
        <v>AGAINST:MOS3M</v>
      </c>
      <c r="BA34" s="53"/>
      <c r="BI34" s="50"/>
      <c r="BJ34" s="225" t="s">
        <v>679</v>
      </c>
      <c r="BK34" s="240" t="s">
        <v>729</v>
      </c>
      <c r="BL34" s="53"/>
      <c r="BT34" s="50"/>
      <c r="BU34" s="55"/>
      <c r="BV34" s="55"/>
      <c r="BW34" s="55"/>
      <c r="BX34" s="332"/>
      <c r="BY34" s="206"/>
      <c r="BZ34" s="206"/>
      <c r="CA34" s="305"/>
      <c r="CB34" s="299"/>
      <c r="CN34" s="436"/>
      <c r="CO34" s="545"/>
      <c r="CP34" s="547"/>
      <c r="CQ34" s="547"/>
      <c r="CR34" s="547"/>
      <c r="CU34" s="401"/>
      <c r="CV34" s="206"/>
      <c r="CW34" s="206"/>
      <c r="DP34" s="206"/>
      <c r="DQ34" s="206"/>
      <c r="DR34" s="299"/>
      <c r="DS34" s="299"/>
      <c r="DT34" s="299"/>
      <c r="DU34" s="299"/>
      <c r="DV34" s="299"/>
      <c r="DW34" s="299"/>
      <c r="DX34" s="299"/>
      <c r="DY34" s="299"/>
      <c r="DZ34" s="330"/>
    </row>
    <row r="35" spans="6:130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tr">
        <f>$A$1&amp;"3M"</f>
        <v>BRL3M</v>
      </c>
      <c r="AP35" s="53"/>
      <c r="AX35" s="50"/>
      <c r="AY35" s="233" t="s">
        <v>757</v>
      </c>
      <c r="AZ35" s="244" t="str">
        <f>"AGAINST:MOS3M"</f>
        <v>AGAINST:MOS3M</v>
      </c>
      <c r="BA35" s="53"/>
      <c r="BI35" s="50"/>
      <c r="BJ35" s="234" t="s">
        <v>819</v>
      </c>
      <c r="BK35" s="259" t="b">
        <v>0</v>
      </c>
      <c r="BL35" s="53"/>
      <c r="BT35" s="50"/>
      <c r="BU35" s="55"/>
      <c r="BV35" s="55"/>
      <c r="BW35" s="55"/>
      <c r="BX35" s="332"/>
      <c r="BY35" s="303"/>
      <c r="CA35" s="313"/>
      <c r="CB35" s="299"/>
      <c r="CO35" s="397"/>
      <c r="CU35" s="401"/>
      <c r="CV35" s="206"/>
      <c r="CW35" s="206"/>
      <c r="DP35" s="299"/>
      <c r="DQ35" s="299"/>
      <c r="DR35" s="299"/>
      <c r="DS35" s="299"/>
      <c r="DT35" s="299"/>
      <c r="DU35" s="299"/>
      <c r="DV35" s="299"/>
      <c r="DW35" s="299"/>
      <c r="DX35" s="299"/>
      <c r="DY35" s="299"/>
      <c r="DZ35" s="299"/>
    </row>
    <row r="36" spans="6:130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DATA'!C7:AZ7,1,MATCH($A$1,'STATIC DATA'!C4:AZ4,0))</f>
        <v>2D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85"/>
      <c r="BK36" s="85"/>
      <c r="BL36" s="53"/>
      <c r="BT36" s="50"/>
      <c r="BU36" s="55"/>
      <c r="BV36" s="55"/>
      <c r="BW36" s="55"/>
      <c r="BX36" s="332"/>
      <c r="BY36" s="303"/>
      <c r="CA36" s="313"/>
      <c r="CB36" s="299"/>
      <c r="CO36" s="397"/>
      <c r="CU36" s="401"/>
      <c r="CV36" s="206"/>
      <c r="CW36" s="206"/>
      <c r="DP36" s="299"/>
      <c r="DQ36" s="299"/>
      <c r="DR36" s="299"/>
      <c r="DS36" s="299"/>
      <c r="DT36" s="299"/>
      <c r="DU36" s="299"/>
      <c r="DV36" s="299"/>
      <c r="DW36" s="299"/>
      <c r="DX36" s="299"/>
      <c r="DY36" s="299"/>
      <c r="DZ36" s="299"/>
    </row>
    <row r="37" spans="6:130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>
        <f>INDEX('STATIC DATA'!C55:AZ55,1,MATCH($A$1,'STATIC DATA'!C4:AZ4,0))</f>
        <v>0</v>
      </c>
      <c r="AE37" s="53"/>
      <c r="AG37" s="2" t="s">
        <v>662</v>
      </c>
      <c r="AM37" s="50"/>
      <c r="AN37" s="222" t="s">
        <v>759</v>
      </c>
      <c r="AO37" s="216">
        <f>INDEX('STATIC DATA'!C55:AZ55,1,MATCH($A$1,'STATIC DATA'!C4:AZ4,0))</f>
        <v>0</v>
      </c>
      <c r="AP37" s="53"/>
      <c r="AX37" s="50"/>
      <c r="AY37" s="222" t="s">
        <v>759</v>
      </c>
      <c r="AZ37" s="216">
        <f>INDEX('STATIC DATA'!Y55:AY55,1,MATCH($A$1,'STATIC DATA'!Y4:AV4,0))</f>
        <v>0</v>
      </c>
      <c r="BA37" s="53"/>
      <c r="BI37" s="50"/>
      <c r="BJ37" s="54" t="s">
        <v>807</v>
      </c>
      <c r="BK37" s="85"/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CA37" s="313"/>
      <c r="CB37" s="299"/>
      <c r="CD37" s="2" t="s">
        <v>662</v>
      </c>
      <c r="CJ37" s="2" t="s">
        <v>662</v>
      </c>
      <c r="CO37" s="397"/>
      <c r="CU37" s="401"/>
      <c r="CV37" s="206"/>
      <c r="CW37" s="206"/>
      <c r="DQ37" s="383"/>
      <c r="DS37" s="299"/>
      <c r="DT37" s="299"/>
      <c r="DU37" s="299"/>
      <c r="DV37" s="299"/>
      <c r="DW37" s="299"/>
      <c r="DX37" s="299"/>
      <c r="DY37" s="299"/>
      <c r="DZ37" s="299"/>
    </row>
    <row r="38" spans="6:130" x14ac:dyDescent="0.25">
      <c r="F38" s="50"/>
      <c r="G38" s="222"/>
      <c r="H38" s="223"/>
      <c r="I38" s="53"/>
      <c r="K38" t="s">
        <v>434</v>
      </c>
      <c r="L38" t="str">
        <f>$A$1</f>
        <v>BRL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BRL</v>
      </c>
      <c r="AB38" s="50"/>
      <c r="AC38" s="222" t="s">
        <v>760</v>
      </c>
      <c r="AD38" s="216">
        <f>INDEX('STATIC DATA'!C43:AZ43,1,MATCH($A$1,'STATIC DATA'!$C$4:$AZ$4,0))</f>
        <v>0</v>
      </c>
      <c r="AE38" s="53"/>
      <c r="AG38" t="s">
        <v>434</v>
      </c>
      <c r="AH38" t="str">
        <f>$A$1</f>
        <v>BRL</v>
      </c>
      <c r="AM38" s="50"/>
      <c r="AN38" s="222" t="s">
        <v>760</v>
      </c>
      <c r="AO38" s="216" t="str">
        <f>INDEX('STATIC DATA'!C39:AZ39,1,MATCH($A$1,'STATIC DATA'!$C$4:$AZ$4,0))</f>
        <v>NBR</v>
      </c>
      <c r="AP38" s="53"/>
      <c r="AX38" s="50"/>
      <c r="AY38" s="222" t="s">
        <v>760</v>
      </c>
      <c r="AZ38" s="216" t="str">
        <f>INDEX('STATIC DATA'!C39:AZ39,1,MATCH($A$1,'STATIC DATA'!$C$4:$AZ$4,0))</f>
        <v>NBR</v>
      </c>
      <c r="BA38" s="53"/>
      <c r="BI38" s="50"/>
      <c r="BJ38" s="245" t="s">
        <v>749</v>
      </c>
      <c r="BK38" s="243" t="s">
        <v>803</v>
      </c>
      <c r="BL38" s="53"/>
      <c r="BN38" t="s">
        <v>434</v>
      </c>
      <c r="BO38" t="str">
        <f>$A$1</f>
        <v>BRL</v>
      </c>
      <c r="BT38" s="50"/>
      <c r="BU38" s="55"/>
      <c r="BV38" s="55"/>
      <c r="BW38" s="55"/>
      <c r="BX38" s="332"/>
      <c r="BY38" s="147" t="s">
        <v>434</v>
      </c>
      <c r="BZ38" s="645" t="s">
        <v>1672</v>
      </c>
      <c r="CA38" s="305"/>
      <c r="CB38" s="299"/>
      <c r="CD38" t="s">
        <v>434</v>
      </c>
      <c r="CE38" t="str">
        <f>$A$1</f>
        <v>BRL</v>
      </c>
      <c r="CJ38" t="s">
        <v>434</v>
      </c>
      <c r="CK38" t="str">
        <f>$A$1</f>
        <v>BRL</v>
      </c>
      <c r="CO38" s="397"/>
      <c r="CU38" s="401"/>
      <c r="CV38" s="206"/>
      <c r="CW38" s="206"/>
      <c r="DQ38" s="299"/>
      <c r="DR38" s="299"/>
      <c r="DS38" s="383"/>
      <c r="DT38" s="299"/>
      <c r="DU38" s="299"/>
      <c r="DV38" s="299"/>
      <c r="DW38" s="299"/>
      <c r="DX38" s="299"/>
      <c r="DY38" s="299"/>
      <c r="DZ38" s="299"/>
    </row>
    <row r="39" spans="6:130" x14ac:dyDescent="0.25">
      <c r="F39" s="50"/>
      <c r="G39" s="225"/>
      <c r="H39" s="226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33" t="s">
        <v>750</v>
      </c>
      <c r="BK39" s="230" t="b">
        <v>0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O39" s="397"/>
      <c r="CU39" s="401"/>
      <c r="CV39" s="206"/>
      <c r="CW39" s="206"/>
      <c r="DQ39" s="299"/>
      <c r="DR39" s="303"/>
      <c r="DS39" s="383"/>
      <c r="DT39" s="299"/>
      <c r="DU39" s="299"/>
      <c r="DV39" s="299"/>
      <c r="DW39" s="299"/>
      <c r="DX39" s="299"/>
      <c r="DY39" s="299"/>
      <c r="DZ39" s="299"/>
    </row>
    <row r="40" spans="6:130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220" t="s">
        <v>704</v>
      </c>
      <c r="S40" s="221">
        <f>INDEX('STATIC DATA'!C43:AZ43,1,MATCH($A$1,'STATIC DATA'!$C$4:$AZ$4,0))</f>
        <v>0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DATA'!C39:AZ39,1,MATCH($A$1,'STATIC DATA'!$C$4:$AZ$4,0))</f>
        <v>NBR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DATA'!C39:AZ39,1,MATCH($A$1,'STATIC DATA'!$C$4:$AZ$4,0))</f>
        <v>NBR</v>
      </c>
      <c r="AP40" s="53"/>
      <c r="AX40" s="50"/>
      <c r="AY40" s="225" t="s">
        <v>762</v>
      </c>
      <c r="AZ40" s="219" t="str">
        <f>INDEX('STATIC DATA'!C39:AZ39,1,MATCH($A$1,'STATIC DATA'!$C$4:$AZ$4,0))</f>
        <v>NBR</v>
      </c>
      <c r="BA40" s="53"/>
      <c r="BI40" s="50"/>
      <c r="BJ40" s="222" t="s">
        <v>751</v>
      </c>
      <c r="BK40" s="468" t="str">
        <f>INDEX('STATIC DATA'!C30:BB30,1,MATCH($A$1,'STATIC DATA'!$C$4:$BB$4,0))</f>
        <v>NBR:NYB</v>
      </c>
      <c r="BL40" s="53"/>
      <c r="BN40" t="s">
        <v>438</v>
      </c>
      <c r="BO40" t="s">
        <v>1120</v>
      </c>
      <c r="BT40" s="50"/>
      <c r="BU40" s="55"/>
      <c r="BV40" s="55"/>
      <c r="BW40" s="55"/>
      <c r="BX40" s="332"/>
      <c r="BY40" s="149" t="s">
        <v>440</v>
      </c>
      <c r="BZ40" s="215">
        <f>'STATIC DATA'!AE5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O40" s="397"/>
      <c r="CU40" s="401"/>
      <c r="CV40" s="206"/>
      <c r="CW40" s="206"/>
      <c r="DQ40" s="303"/>
      <c r="DR40" s="299"/>
      <c r="DS40" s="383"/>
      <c r="DT40" s="299"/>
      <c r="DU40" s="299"/>
      <c r="DV40" s="299"/>
      <c r="DW40" s="299"/>
      <c r="DX40" s="299"/>
      <c r="DY40" s="299"/>
      <c r="DZ40" s="299"/>
    </row>
    <row r="41" spans="6:130" x14ac:dyDescent="0.25">
      <c r="F41" s="50"/>
      <c r="G41" s="54" t="s">
        <v>702</v>
      </c>
      <c r="H41" s="227" t="s">
        <v>703</v>
      </c>
      <c r="I41" s="53"/>
      <c r="K41" t="s">
        <v>440</v>
      </c>
      <c r="L41" s="275">
        <f>'STATIC DATA'!Z5</f>
        <v>44083</v>
      </c>
      <c r="Q41" s="50"/>
      <c r="R41" s="222" t="s">
        <v>731</v>
      </c>
      <c r="S41" s="223">
        <f>INDEX('STATIC DATA'!C55:AZ55,1,MATCH($A$1,'STATIC DATA'!C4:AZ4,0))</f>
        <v>0</v>
      </c>
      <c r="T41" s="53"/>
      <c r="V41" t="s">
        <v>440</v>
      </c>
      <c r="W41" s="275">
        <f>'STATIC DATA'!Z5</f>
        <v>44083</v>
      </c>
      <c r="AB41" s="50"/>
      <c r="AC41" s="225" t="s">
        <v>763</v>
      </c>
      <c r="AD41" s="219" t="str">
        <f>INDEX('STATIC DATA'!C7:AZ7,1,MATCH($A$1,'STATIC DATA'!C4:AZ4,0))</f>
        <v>2D</v>
      </c>
      <c r="AE41" s="53"/>
      <c r="AG41" t="s">
        <v>440</v>
      </c>
      <c r="AH41" s="275">
        <f>'STATIC DATA'!Z5</f>
        <v>44083</v>
      </c>
      <c r="AM41" s="50"/>
      <c r="AN41" s="225" t="s">
        <v>763</v>
      </c>
      <c r="AO41" s="219" t="str">
        <f>INDEX('STATIC DATA'!C7:AZ7,1,MATCH($A$1,'STATIC DATA'!C4:AZ4,0))</f>
        <v>2D</v>
      </c>
      <c r="AP41" s="53"/>
      <c r="AX41" s="50"/>
      <c r="AY41" s="225" t="s">
        <v>763</v>
      </c>
      <c r="AZ41" s="216" t="str">
        <f>INDEX('STATIC DATA'!C7:AZ7,1,MATCH($A$1,'STATIC DATA'!C4:AZ4,0))</f>
        <v>2D</v>
      </c>
      <c r="BA41" s="53"/>
      <c r="BI41" s="50"/>
      <c r="BJ41" s="222" t="s">
        <v>752</v>
      </c>
      <c r="BK41" s="216" t="str">
        <f>INDEX('STATIC DATA'!C55:BB55,1,MATCH("USD",'STATIC DATA'!C4:BB4,0))</f>
        <v>ACT/360</v>
      </c>
      <c r="BL41" s="53"/>
      <c r="BN41" t="s">
        <v>440</v>
      </c>
      <c r="BO41" s="275">
        <f>'STATIC DATA'!Z5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DATA'!C49:AH49,1,MATCH($A$1,'STATIC DATA'!C4:AH4,0))=4,1/10000,IF(INDEX('STATIC DATA'!C49:AHI49,1,MATCH($A$1,'STATIC DATA'!C4:AH4,0))=3,1/1000,1/100))</f>
        <v>1E-4</v>
      </c>
      <c r="CA41" s="305"/>
      <c r="CB41" s="299"/>
      <c r="CD41" t="s">
        <v>440</v>
      </c>
      <c r="CE41" s="275">
        <f>'STATIC DATA'!Z5</f>
        <v>44083</v>
      </c>
      <c r="CJ41" t="s">
        <v>440</v>
      </c>
      <c r="CK41" s="275">
        <f>'STATIC DATA'!Z5</f>
        <v>44083</v>
      </c>
      <c r="CO41" s="397"/>
      <c r="CU41" s="401"/>
      <c r="CV41" s="206"/>
      <c r="CW41" s="206"/>
      <c r="DQ41" s="299"/>
      <c r="DR41" s="303"/>
      <c r="DS41" s="383"/>
      <c r="DT41" s="299"/>
      <c r="DU41" s="299"/>
      <c r="DV41" s="299"/>
      <c r="DW41" s="299"/>
      <c r="DX41" s="299"/>
      <c r="DY41" s="299"/>
      <c r="DZ41" s="299"/>
    </row>
    <row r="42" spans="6:130" x14ac:dyDescent="0.25">
      <c r="F42" s="50"/>
      <c r="G42" s="220" t="s">
        <v>704</v>
      </c>
      <c r="H42" s="221">
        <f>INDEX('STATIC DATA'!C43:AZ43,1,MATCH($A$1,'STATIC DATA'!$C$4:$AZ$4,0))</f>
        <v>0</v>
      </c>
      <c r="I42" s="53"/>
      <c r="Q42" s="50"/>
      <c r="R42" s="222" t="s">
        <v>732</v>
      </c>
      <c r="S42" s="223" t="s">
        <v>28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5" t="s">
        <v>753</v>
      </c>
      <c r="BK42" s="219" t="s">
        <v>1120</v>
      </c>
      <c r="BL42" s="249"/>
      <c r="BT42" s="50"/>
      <c r="BU42" s="55"/>
      <c r="BV42" s="55"/>
      <c r="BW42" s="55"/>
      <c r="BX42" s="332"/>
      <c r="CA42" s="313"/>
      <c r="CB42" s="299"/>
      <c r="CO42" s="397"/>
      <c r="CU42" s="401"/>
      <c r="CV42" s="206"/>
      <c r="CW42" s="206"/>
      <c r="DQ42" s="299"/>
      <c r="DR42" s="299"/>
      <c r="DS42" s="383"/>
      <c r="DT42" s="299"/>
      <c r="DU42" s="299"/>
      <c r="DV42" s="299"/>
      <c r="DW42" s="299"/>
      <c r="DX42" s="299"/>
      <c r="DY42" s="299"/>
      <c r="DZ42" s="299"/>
    </row>
    <row r="43" spans="6:130" x14ac:dyDescent="0.25">
      <c r="F43" s="50"/>
      <c r="G43" s="222" t="s">
        <v>705</v>
      </c>
      <c r="H43" s="223">
        <f>INDEX('STATIC DATA'!C55:AZ55,1,MATCH(A1,'STATIC DATA'!C4:AZ4,0))</f>
        <v>0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>
        <f>INDEX('STATIC DATA'!C43:AZ43,1,MATCH($A$1,'STATIC DATA'!$C$4:$AZ$4,0))</f>
        <v>0</v>
      </c>
      <c r="AE43" s="53"/>
      <c r="AG43" s="2" t="s">
        <v>441</v>
      </c>
      <c r="AM43" s="50"/>
      <c r="AN43" s="222" t="s">
        <v>765</v>
      </c>
      <c r="AO43" s="216" t="str">
        <f>INDEX('STATIC DATA'!C39:AZ39,1,MATCH($A$1,'STATIC DATA'!$C$4:$AZ$4,0))</f>
        <v>NBR</v>
      </c>
      <c r="AP43" s="53"/>
      <c r="AX43" s="50"/>
      <c r="AY43" s="222" t="s">
        <v>765</v>
      </c>
      <c r="AZ43" s="216" t="str">
        <f>INDEX('STATIC DATA'!C39:AZ39,1,MATCH($A$1,'STATIC DATA'!$C$4:$AZ$4,0))</f>
        <v>NBR</v>
      </c>
      <c r="BA43" s="53"/>
      <c r="BI43" s="50"/>
      <c r="BJ43" s="222" t="s">
        <v>754</v>
      </c>
      <c r="BK43" s="216" t="s">
        <v>687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O43" s="397"/>
      <c r="CU43" s="401"/>
      <c r="CV43" s="206"/>
      <c r="CW43" s="206"/>
      <c r="DP43" s="299"/>
      <c r="DQ43" s="299"/>
      <c r="DR43" s="303"/>
      <c r="DS43" s="383"/>
      <c r="DT43" s="299"/>
      <c r="DU43" s="299"/>
      <c r="DV43" s="299"/>
      <c r="DW43" s="299"/>
      <c r="DX43" s="299"/>
      <c r="DY43" s="299"/>
      <c r="DZ43" s="299"/>
    </row>
    <row r="44" spans="6:130" x14ac:dyDescent="0.25">
      <c r="F44" s="50"/>
      <c r="G44" s="222" t="s">
        <v>706</v>
      </c>
      <c r="H44" s="223" t="s">
        <v>439</v>
      </c>
      <c r="I44" s="53"/>
      <c r="K44" t="s">
        <v>442</v>
      </c>
      <c r="L44" t="str">
        <f>L38&amp;"_"&amp;L39&amp;"_CURVE_MARKETDATA"</f>
        <v>BRL_OIS_CURVE_MARKETDATA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DATA'!$C$56:$AZ$56,1,MATCH($W38,'STATIC DATA'!$C$4:$AZ$4,0))&amp;"_CURVE_MARKETDATA"</f>
        <v>BRL_SWAP__CURVE_MARKETDATA</v>
      </c>
      <c r="AB44" s="50"/>
      <c r="AC44" s="222" t="s">
        <v>766</v>
      </c>
      <c r="AD44" s="216">
        <f>INDEX('STATIC DATA'!C55:AZ55,1,MATCH($A$1,'STATIC DATA'!C4:AZ4,0))</f>
        <v>0</v>
      </c>
      <c r="AE44" s="53"/>
      <c r="AG44" t="s">
        <v>442</v>
      </c>
      <c r="AH44" t="str">
        <f>A1&amp;"_BASIS_3M6M_MARKETDATA"</f>
        <v>BRL_BASIS_3M6M_MARKETDATA</v>
      </c>
      <c r="AM44" s="50"/>
      <c r="AN44" s="222" t="s">
        <v>766</v>
      </c>
      <c r="AO44" s="216">
        <f>INDEX('STATIC DATA'!C55:AZ55,1,MATCH($A$1,'STATIC DATA'!C4:AZ4,0))</f>
        <v>0</v>
      </c>
      <c r="AP44" s="53"/>
      <c r="AX44" s="50"/>
      <c r="AY44" s="222" t="s">
        <v>766</v>
      </c>
      <c r="AZ44" s="216">
        <f>INDEX('STATIC DATA'!Y55:AY55,1,MATCH($A$1,'STATIC DATA'!Y4:AV4,0))</f>
        <v>0</v>
      </c>
      <c r="BA44" s="53"/>
      <c r="BI44" s="50"/>
      <c r="BJ44" s="222" t="s">
        <v>755</v>
      </c>
      <c r="BK44" s="257" t="str">
        <f>INDEX('STATIC DATA'!C7:BB7,1,MATCH("USD",'STATIC DATA'!$C$4:$BB$4,0))</f>
        <v>2D</v>
      </c>
      <c r="BL44" s="53"/>
      <c r="BN44" t="s">
        <v>442</v>
      </c>
      <c r="BO44" t="str">
        <f>A1&amp;"_"&amp;BO39&amp;"_CURVE_MARKETDATA"</f>
        <v>BRL_XCCYBASIS_CURVE_MARKETDATA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1673</v>
      </c>
      <c r="CA44" s="325"/>
      <c r="CB44" s="303"/>
      <c r="CD44" t="s">
        <v>442</v>
      </c>
      <c r="CE44" t="str">
        <f>$A$1&amp;"_FXFWD_MARKET_DATA"</f>
        <v>BRL_FXFWD_MARKET_DATA</v>
      </c>
      <c r="CJ44" t="s">
        <v>442</v>
      </c>
      <c r="CK44" t="str">
        <f>$A$1&amp;"_FXFWD_MARKET_DATA"</f>
        <v>BRL_FXFWD_MARKET_DATA</v>
      </c>
      <c r="CO44" s="397"/>
      <c r="CU44" s="401"/>
      <c r="CV44" s="206"/>
      <c r="CW44" s="206"/>
      <c r="DP44" s="303"/>
      <c r="DQ44" s="303"/>
      <c r="DR44" s="299"/>
      <c r="DS44" s="383"/>
      <c r="DT44" s="299"/>
      <c r="DU44" s="299"/>
      <c r="DV44" s="299"/>
      <c r="DW44" s="299"/>
      <c r="DX44" s="299"/>
      <c r="DY44" s="299"/>
      <c r="DZ44" s="299"/>
    </row>
    <row r="45" spans="6:130" x14ac:dyDescent="0.25">
      <c r="F45" s="50"/>
      <c r="G45" s="225" t="s">
        <v>707</v>
      </c>
      <c r="H45" s="226" t="s">
        <v>687</v>
      </c>
      <c r="I45" s="53"/>
      <c r="K45" t="s">
        <v>444</v>
      </c>
      <c r="L45" s="290" t="str">
        <f>_xll.meLWOCurveMarketDataCreate(L44,"MarketDataProperties",K38:L41,"OIS",K7:L22)</f>
        <v>BRL_OIS_CURVE_MARKETDATA@14:59</v>
      </c>
      <c r="Q45" s="50"/>
      <c r="R45" s="225"/>
      <c r="S45" s="226"/>
      <c r="T45" s="53"/>
      <c r="V45" t="s">
        <v>444</v>
      </c>
      <c r="W45" t="str">
        <f>_xll.meLWOCurveMarketDataCreate(W44,"MARKETDATAPROPERTIES",V38:W41,R32,V7:X9,R39,V14:W16,R47,V17:X29)</f>
        <v>BRL_SWAP__CURVE_MARKETDATA@13:59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_xll.meLWOCurveMarketDataCreate(AH44,AG37,AG38:AH42,"BASISSWAPS",AG7:AI19)</f>
        <v>BRL_BASIS_3M6M_MARKETDATA@11:59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34" t="s">
        <v>757</v>
      </c>
      <c r="BK45" s="260" t="s">
        <v>773</v>
      </c>
      <c r="BL45" s="53"/>
      <c r="BN45" t="s">
        <v>444</v>
      </c>
      <c r="BO45" t="str">
        <f>_xll.meLWOCurveMarketDataCreate(BO44,"MARKETDATAPROPERTIES",BN38:BO41,"FXSPOTS",BN7:BP7,"FXFWDS",BN8:BP21,"XCCYSWAPS",BN22:BP22)</f>
        <v>BRL_XCCYBASIS_CURVE_MARKETDATA@15:59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_xll.meLWOCurveMarketDataCreate(BZ44,"MARKETDATAPROPERTIES",BY38:BZ41,"FXSPOTS",BZ7:CA7,"FXFWDS",BY8:CA20)</f>
        <v>MKTDATA_USDBRL@38:59</v>
      </c>
      <c r="CA45" s="313"/>
      <c r="CB45" s="313"/>
      <c r="CD45" t="s">
        <v>444</v>
      </c>
      <c r="CE45" t="str">
        <f>_xll.meLWOCurveMarketDataCreate(CE44,CD37,CD38:CE41)</f>
        <v>BRL_FXFWD_MARKET_DATA@7:59</v>
      </c>
      <c r="CJ45" t="s">
        <v>444</v>
      </c>
      <c r="CK45" t="str">
        <f>_xll.meLWOCurveMarketDataCreate(CK44,CJ37,CJ38:CK41)</f>
        <v>BRL_FXFWD_MARKET_DATA@10:59</v>
      </c>
      <c r="CO45" s="397"/>
      <c r="CU45" s="401"/>
      <c r="CV45" s="206"/>
      <c r="CW45" s="206"/>
      <c r="DP45" s="303"/>
      <c r="DQ45" s="303"/>
      <c r="DR45" s="303"/>
      <c r="DS45" s="383"/>
      <c r="DT45" s="299"/>
      <c r="DU45" s="299"/>
      <c r="DV45" s="299"/>
      <c r="DW45" s="299"/>
      <c r="DX45" s="299"/>
      <c r="DY45" s="299"/>
      <c r="DZ45" s="299"/>
    </row>
    <row r="46" spans="6:130" x14ac:dyDescent="0.25">
      <c r="F46" s="50"/>
      <c r="G46" s="52"/>
      <c r="H46" s="52"/>
      <c r="I46" s="53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34" t="s">
        <v>756</v>
      </c>
      <c r="BK46" s="260" t="s">
        <v>1648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O46" s="397"/>
      <c r="CU46" s="401"/>
      <c r="CV46" s="206"/>
      <c r="CW46" s="206"/>
      <c r="DP46" s="299"/>
      <c r="DQ46" s="299"/>
      <c r="DR46" s="299"/>
      <c r="DS46" s="383"/>
      <c r="DT46" s="299"/>
      <c r="DU46" s="299"/>
      <c r="DV46" s="299"/>
      <c r="DW46" s="299"/>
      <c r="DX46" s="299"/>
      <c r="DY46" s="299"/>
      <c r="DZ46" s="299"/>
    </row>
    <row r="47" spans="6:130" x14ac:dyDescent="0.25">
      <c r="F47" s="50"/>
      <c r="G47" s="54" t="s">
        <v>428</v>
      </c>
      <c r="H47" s="227" t="s">
        <v>708</v>
      </c>
      <c r="I47" s="53"/>
      <c r="K47" s="2" t="s">
        <v>447</v>
      </c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45" t="s">
        <v>758</v>
      </c>
      <c r="BK47" s="260" t="s">
        <v>49</v>
      </c>
      <c r="BL47" s="53"/>
      <c r="BN47" s="2" t="s">
        <v>447</v>
      </c>
      <c r="BT47" s="50"/>
      <c r="BU47" s="55"/>
      <c r="BV47" s="55"/>
      <c r="BW47" s="55"/>
      <c r="BX47" s="332"/>
      <c r="CB47" s="299"/>
      <c r="CD47" s="2" t="s">
        <v>447</v>
      </c>
      <c r="CJ47" s="2" t="s">
        <v>447</v>
      </c>
      <c r="CO47" s="397"/>
      <c r="CU47" s="401"/>
      <c r="CV47" s="206"/>
      <c r="CW47" s="206"/>
      <c r="DP47" s="299"/>
      <c r="DQ47" s="299"/>
      <c r="DR47" s="303"/>
      <c r="DS47" s="383"/>
      <c r="DT47" s="299"/>
      <c r="DU47" s="299"/>
      <c r="DV47" s="299"/>
      <c r="DW47" s="299"/>
      <c r="DX47" s="299"/>
      <c r="DY47" s="299"/>
      <c r="DZ47" s="299"/>
    </row>
    <row r="48" spans="6:130" x14ac:dyDescent="0.25">
      <c r="F48" s="50"/>
      <c r="G48" s="220" t="s">
        <v>677</v>
      </c>
      <c r="H48" s="221">
        <f>INDEX('STATIC DATA'!C43:AZ43,1,MATCH($A$1,'STATIC DATA'!$C$4:$AZ$4,0))</f>
        <v>0</v>
      </c>
      <c r="I48" s="53"/>
      <c r="K48" t="s">
        <v>442</v>
      </c>
      <c r="L48" t="str">
        <f>L38&amp;"_"&amp;L39&amp;"_CURVE"</f>
        <v>BRL_OIS_CURVE</v>
      </c>
      <c r="Q48" s="50"/>
      <c r="R48" s="220" t="s">
        <v>704</v>
      </c>
      <c r="S48" s="221">
        <f>INDEX('STATIC DATA'!C43:AZ43,1,MATCH($A$1,'STATIC DATA'!$C$4:$AZ$4,0))</f>
        <v>0</v>
      </c>
      <c r="T48" s="53"/>
      <c r="V48" t="s">
        <v>442</v>
      </c>
      <c r="W48" t="str">
        <f>W38&amp;"_"&amp;W39&amp;"_"&amp;INDEX('STATIC DATA'!$C$56:$AZ$56,1,MATCH($W38,'STATIC DATA'!$C$4:$AZ$4,0))&amp;"_CURVE"</f>
        <v>BRL_SWAP__CURVE</v>
      </c>
      <c r="AB48" s="50"/>
      <c r="AC48" s="225" t="s">
        <v>770</v>
      </c>
      <c r="AD48" s="219" t="str">
        <f>INDEX('STATIC DATA'!C7:AZ7,1,MATCH($A$1,'STATIC DATA'!C4:AZ4,0))</f>
        <v>2D</v>
      </c>
      <c r="AE48" s="53"/>
      <c r="AG48" t="s">
        <v>442</v>
      </c>
      <c r="AH48" t="str">
        <f>A1&amp;"_BASIS_6M_CURVE"</f>
        <v>BRL_BASIS_6M_CURVE</v>
      </c>
      <c r="AM48" s="50"/>
      <c r="AN48" s="225" t="s">
        <v>770</v>
      </c>
      <c r="AO48" s="219" t="str">
        <f>INDEX('STATIC DATA'!C7:AZ7,1,MATCH($A$1,'STATIC DATA'!C4:AZ4,0))</f>
        <v>2D</v>
      </c>
      <c r="AP48" s="53"/>
      <c r="AX48" s="50"/>
      <c r="AY48" s="225" t="s">
        <v>770</v>
      </c>
      <c r="AZ48" s="216" t="str">
        <f>INDEX('STATIC DATA'!C7:AZ7,1,MATCH($A$1,'STATIC DATA'!C4:AZ4,0))</f>
        <v>2D</v>
      </c>
      <c r="BA48" s="53"/>
      <c r="BI48" s="50"/>
      <c r="BJ48" s="222" t="s">
        <v>759</v>
      </c>
      <c r="BK48" s="216" t="str">
        <f>INDEX('STATIC DATA'!C55:BB55,1,MATCH("USD",'STATIC DATA'!C4:BB4,0))</f>
        <v>ACT/360</v>
      </c>
      <c r="BL48" s="53"/>
      <c r="BN48" t="s">
        <v>442</v>
      </c>
      <c r="BO48" t="str">
        <f>A1&amp;"_"&amp;BO39&amp;"_CURVE"</f>
        <v>BRL_XCCYBASIS_CURVE</v>
      </c>
      <c r="BT48" s="50"/>
      <c r="BU48" s="55"/>
      <c r="BV48" s="55"/>
      <c r="BW48" s="55"/>
      <c r="BX48" s="332"/>
      <c r="BY48" s="303"/>
      <c r="CB48" s="299"/>
      <c r="CD48" t="s">
        <v>442</v>
      </c>
      <c r="CE48" t="s">
        <v>1317</v>
      </c>
      <c r="CJ48" t="s">
        <v>442</v>
      </c>
      <c r="CK48" t="s">
        <v>1606</v>
      </c>
      <c r="CO48" s="397"/>
      <c r="CU48" s="401"/>
      <c r="CV48" s="206"/>
      <c r="CW48" s="206"/>
      <c r="DP48" s="299"/>
      <c r="DQ48" s="299"/>
      <c r="DR48" s="299"/>
      <c r="DS48" s="383"/>
      <c r="DT48" s="299"/>
      <c r="DU48" s="299"/>
      <c r="DV48" s="299"/>
      <c r="DW48" s="299"/>
      <c r="DX48" s="299"/>
      <c r="DY48" s="299"/>
      <c r="DZ48" s="299"/>
    </row>
    <row r="49" spans="6:130" x14ac:dyDescent="0.25">
      <c r="F49" s="50"/>
      <c r="G49" s="222" t="s">
        <v>709</v>
      </c>
      <c r="H49" s="223">
        <f>INDEX('STATIC DATA'!C53:AZ53,1,MATCH(A1,'STATIC DATA'!C4:AZ4,0))</f>
        <v>0</v>
      </c>
      <c r="I49" s="53"/>
      <c r="K49" t="s">
        <v>450</v>
      </c>
      <c r="L49" s="290" t="str">
        <f>H8</f>
        <v>Disabled</v>
      </c>
      <c r="Q49" s="50"/>
      <c r="R49" s="222" t="s">
        <v>731</v>
      </c>
      <c r="S49" s="223">
        <f>INDEX('STATIC DATA'!C53:AZ53,1,MATCH(A1,'STATIC DATA'!C4:AZ4,0))</f>
        <v>0</v>
      </c>
      <c r="T49" s="53"/>
      <c r="V49" t="s">
        <v>450</v>
      </c>
      <c r="W49" t="str">
        <f>S8</f>
        <v>Disabled</v>
      </c>
      <c r="AB49" s="50"/>
      <c r="AC49" s="234" t="s">
        <v>771</v>
      </c>
      <c r="AD49" s="242" t="str">
        <f>"AGAINST:MOS3M"</f>
        <v>AGAINST:MOS3M</v>
      </c>
      <c r="AE49" s="53"/>
      <c r="AG49" t="s">
        <v>450</v>
      </c>
      <c r="AH49" t="str">
        <f>AD8</f>
        <v>DisAZled</v>
      </c>
      <c r="AM49" s="50"/>
      <c r="AN49" s="234" t="s">
        <v>771</v>
      </c>
      <c r="AO49" s="242" t="str">
        <f>"AGAINST:"&amp;A1&amp;"3M"</f>
        <v>AGAINST:BRL3M</v>
      </c>
      <c r="AP49" s="53"/>
      <c r="AX49" s="50"/>
      <c r="AY49" s="234" t="s">
        <v>771</v>
      </c>
      <c r="AZ49" s="248" t="s">
        <v>961</v>
      </c>
      <c r="BA49" s="249" t="s">
        <v>801</v>
      </c>
      <c r="BI49" s="50"/>
      <c r="BJ49" s="222" t="s">
        <v>760</v>
      </c>
      <c r="BK49" s="468" t="str">
        <f>INDEX('STATIC DATA'!C30:BB30,1,MATCH($A$1,'STATIC DATA'!$C$4:$BB$4,0))</f>
        <v>NBR:NYB</v>
      </c>
      <c r="BL49" s="53"/>
      <c r="BN49" t="s">
        <v>450</v>
      </c>
      <c r="BO49" t="str">
        <f>BK8</f>
        <v>BRL_XCCY@1:47</v>
      </c>
      <c r="BT49" s="50"/>
      <c r="BU49" s="55"/>
      <c r="BV49" s="55"/>
      <c r="BW49" s="55"/>
      <c r="BX49" s="332"/>
      <c r="BY49" s="323"/>
      <c r="BZ49" s="303"/>
      <c r="CB49" s="299"/>
      <c r="CD49" t="s">
        <v>450</v>
      </c>
      <c r="CE49" t="str">
        <f>CE8</f>
        <v>Disabled</v>
      </c>
      <c r="CJ49" t="s">
        <v>450</v>
      </c>
      <c r="CK49" t="str">
        <f>CK8</f>
        <v>Disabled</v>
      </c>
      <c r="CO49" s="397"/>
      <c r="CU49" s="401"/>
      <c r="CV49" s="206"/>
      <c r="CW49" s="206"/>
      <c r="DP49" s="299"/>
      <c r="DQ49" s="299"/>
      <c r="DR49" s="303"/>
      <c r="DS49" s="383"/>
      <c r="DT49" s="299"/>
      <c r="DU49" s="299"/>
      <c r="DV49" s="299"/>
      <c r="DW49" s="299"/>
      <c r="DX49" s="299"/>
      <c r="DY49" s="299"/>
      <c r="DZ49" s="299"/>
    </row>
    <row r="50" spans="6:130" x14ac:dyDescent="0.25">
      <c r="F50" s="50"/>
      <c r="G50" s="222" t="s">
        <v>710</v>
      </c>
      <c r="H50" s="223" t="str">
        <f>IF(INDEX('STATIC DATA'!C54:AZ54,1,MATCH(A1,'STATIC DATA'!C4:AZ4,0))="1Y","ANNUAL",(IF(INDEX('STATIC DATA'!C54:AZ54,1,MATCH(A1,'STATIC DATA'!C4:AZ4,0))="6M","SEMI-ANNUAL", "QUARTERLY")))</f>
        <v>QUARTERLY</v>
      </c>
      <c r="I50" s="53"/>
      <c r="K50" t="s">
        <v>452</v>
      </c>
      <c r="L50" t="str">
        <f>$A$1&amp;"YC"</f>
        <v>BRLYC</v>
      </c>
      <c r="Q50" s="50"/>
      <c r="R50" s="222" t="s">
        <v>734</v>
      </c>
      <c r="S50" s="223">
        <f>INDEX('STATIC DATA'!C55:AZ55,1,MATCH(A1,'STATIC DATA'!C4:AZ4,0))</f>
        <v>0</v>
      </c>
      <c r="T50" s="53"/>
      <c r="V50" t="s">
        <v>452</v>
      </c>
      <c r="W50" t="str">
        <f>$A$1&amp;"YC"</f>
        <v>BRLYC</v>
      </c>
      <c r="AB50" s="50"/>
      <c r="AC50" s="234" t="s">
        <v>772</v>
      </c>
      <c r="AD50" s="242" t="str">
        <f>"AGAINST:"&amp;"MOS3M"</f>
        <v>AGAINST:MOS3M</v>
      </c>
      <c r="AE50" s="53"/>
      <c r="AG50" t="s">
        <v>452</v>
      </c>
      <c r="AH50" t="str">
        <f>A1&amp;"YC"</f>
        <v>BRLYC</v>
      </c>
      <c r="AM50" s="50"/>
      <c r="AN50" s="234" t="s">
        <v>772</v>
      </c>
      <c r="AO50" s="242" t="str">
        <f>"AGAINST:"&amp;A1&amp;"3M"</f>
        <v>AGAINST:BRL3M</v>
      </c>
      <c r="AP50" s="53"/>
      <c r="AX50" s="50"/>
      <c r="AY50" s="234" t="s">
        <v>772</v>
      </c>
      <c r="AZ50" s="242" t="s">
        <v>961</v>
      </c>
      <c r="BA50" s="53"/>
      <c r="BI50" s="50"/>
      <c r="BJ50" s="225" t="s">
        <v>761</v>
      </c>
      <c r="BK50" s="219" t="s">
        <v>458</v>
      </c>
      <c r="BL50" s="53"/>
      <c r="BN50" t="s">
        <v>452</v>
      </c>
      <c r="BO50" t="str">
        <f>A1&amp;"YC"</f>
        <v>BRLYC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1313</v>
      </c>
      <c r="CJ50" t="s">
        <v>452</v>
      </c>
      <c r="CK50" t="s">
        <v>1313</v>
      </c>
      <c r="CO50" s="397"/>
      <c r="CU50" s="401"/>
      <c r="CV50" s="206"/>
      <c r="CW50" s="206"/>
      <c r="DP50" s="299"/>
      <c r="DQ50" s="299"/>
      <c r="DR50" s="299"/>
      <c r="DS50" s="383"/>
      <c r="DT50" s="299"/>
      <c r="DU50" s="299"/>
      <c r="DV50" s="299"/>
      <c r="DW50" s="299"/>
      <c r="DX50" s="299"/>
      <c r="DY50" s="299"/>
      <c r="DZ50" s="299"/>
    </row>
    <row r="51" spans="6:130" x14ac:dyDescent="0.25">
      <c r="F51" s="50"/>
      <c r="G51" s="225" t="s">
        <v>686</v>
      </c>
      <c r="H51" s="226" t="s">
        <v>687</v>
      </c>
      <c r="I51" s="53"/>
      <c r="K51" t="s">
        <v>453</v>
      </c>
      <c r="Q51" s="50"/>
      <c r="R51" s="222" t="s">
        <v>706</v>
      </c>
      <c r="S51" s="223" t="str">
        <f>IF(INDEX('STATIC DATA'!C54:AZ54,1,MATCH(A1,'STATIC DATA'!C4:AZ4,0))="1Y","ANNUAL",(IF(INDEX('STATIC DATA'!C54:AZ54,1,MATCH(A1,'STATIC DATA'!C4:AZ4,0))="6M","SEMI-ANNUAL", "QUARTERLY")))</f>
        <v>QUARTERLY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5" t="s">
        <v>762</v>
      </c>
      <c r="BK51" s="240" t="str">
        <f>INDEX('STATIC DATA'!C20:BB20,1,MATCH($A$1,'STATIC DATA'!$C$4:$BB$4,0))</f>
        <v>NBR:NYB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O51" s="397"/>
      <c r="CU51" s="401"/>
      <c r="CV51" s="206"/>
      <c r="CW51" s="206"/>
      <c r="DP51" s="299"/>
      <c r="DQ51" s="299"/>
      <c r="DR51" s="303"/>
      <c r="DS51" s="383"/>
      <c r="DT51" s="299"/>
      <c r="DU51" s="299"/>
      <c r="DV51" s="299"/>
      <c r="DW51" s="299"/>
      <c r="DX51" s="299"/>
      <c r="DY51" s="299"/>
      <c r="DZ51" s="299"/>
    </row>
    <row r="52" spans="6:130" x14ac:dyDescent="0.25">
      <c r="F52" s="50"/>
      <c r="G52" s="52"/>
      <c r="H52" s="52"/>
      <c r="I52" s="53"/>
      <c r="Q52" s="50"/>
      <c r="R52" s="222" t="s">
        <v>735</v>
      </c>
      <c r="S52" s="223" t="str">
        <f>IF(INDEX('STATIC DATA'!C56:AZ56,1,MATCH(A1,'STATIC DATA'!C4:AZ4,0))="1Y","ANNUAL",(IF(INDEX('STATIC DATA'!C56:AZ56,1,MATCH(A1,'STATIC DATA'!C4:AZ4,0))="6M","SEMI-ANNUAL", "QUARTERLY")))</f>
        <v>QUARTERLY</v>
      </c>
      <c r="T52" s="53"/>
      <c r="AB52" s="50"/>
      <c r="AC52" s="222" t="s">
        <v>775</v>
      </c>
      <c r="AD52" s="216">
        <f>INDEX('STATIC DATA'!C55:AZ55,1,MATCH($A$1,'STATIC DATA'!C4:AZ4,0))</f>
        <v>0</v>
      </c>
      <c r="AE52" s="53"/>
      <c r="AM52" s="50"/>
      <c r="AN52" s="222" t="s">
        <v>775</v>
      </c>
      <c r="AO52" s="216">
        <f>INDEX('STATIC DATA'!C55:AZ55,1,MATCH($A$1,'STATIC DATA'!C4:AZ4,0))</f>
        <v>0</v>
      </c>
      <c r="AP52" s="53"/>
      <c r="AX52" s="50"/>
      <c r="AY52" s="222" t="s">
        <v>775</v>
      </c>
      <c r="AZ52" s="216">
        <f>INDEX('STATIC DATA'!Y55:AY55,1,MATCH($A$1,'STATIC DATA'!Y4:AV4,0))</f>
        <v>0</v>
      </c>
      <c r="BA52" s="53"/>
      <c r="BI52" s="50"/>
      <c r="BJ52" s="225" t="s">
        <v>763</v>
      </c>
      <c r="BK52" s="257" t="str">
        <f>INDEX('STATIC DATA'!C7:BB7,1,MATCH("USD",'STATIC DATA'!$C$4:$BB$4,0))</f>
        <v>2D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O52" s="397"/>
      <c r="CU52" s="401"/>
      <c r="CV52" s="206"/>
      <c r="CW52" s="206"/>
      <c r="DP52" s="299"/>
      <c r="DQ52" s="299"/>
      <c r="DR52" s="299"/>
      <c r="DS52" s="383"/>
      <c r="DT52" s="299"/>
      <c r="DU52" s="299"/>
      <c r="DV52" s="299"/>
      <c r="DW52" s="299"/>
      <c r="DX52" s="299"/>
      <c r="DY52" s="299"/>
      <c r="DZ52" s="299"/>
    </row>
    <row r="53" spans="6:130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2" t="s">
        <v>776</v>
      </c>
      <c r="AD53" s="216">
        <f>INDEX('STATIC DATA'!C43:AZ43,1,MATCH($A$1,'STATIC DATA'!$C$4:$AZ$4,0))</f>
        <v>0</v>
      </c>
      <c r="AE53" s="53"/>
      <c r="AG53" s="2" t="s">
        <v>454</v>
      </c>
      <c r="AM53" s="50"/>
      <c r="AN53" s="222" t="s">
        <v>776</v>
      </c>
      <c r="AO53" s="216" t="str">
        <f>INDEX('STATIC DATA'!C39:AZ39,1,MATCH($A$1,'STATIC DATA'!$C$4:$AZ$4,0))</f>
        <v>NBR</v>
      </c>
      <c r="AP53" s="53"/>
      <c r="AX53" s="50"/>
      <c r="AY53" s="222" t="s">
        <v>776</v>
      </c>
      <c r="AZ53" s="216" t="str">
        <f>INDEX('STATIC DATA'!C39:AZ39,1,MATCH($A$1,'STATIC DATA'!$C$4:$AZ$4,0))</f>
        <v>NBR</v>
      </c>
      <c r="BA53" s="53"/>
      <c r="BI53" s="50"/>
      <c r="BJ53" s="220" t="s">
        <v>764</v>
      </c>
      <c r="BK53" s="238" t="s">
        <v>687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CA53" s="283"/>
      <c r="CB53" s="299"/>
      <c r="CD53" s="2" t="s">
        <v>454</v>
      </c>
      <c r="CJ53" s="2" t="s">
        <v>454</v>
      </c>
      <c r="CN53" s="332"/>
      <c r="CO53" s="398"/>
      <c r="CP53" s="404"/>
      <c r="CQ53" s="404"/>
      <c r="CR53" s="404"/>
      <c r="CU53" s="401"/>
      <c r="CV53" s="206"/>
      <c r="CW53" s="206"/>
      <c r="DP53" s="299"/>
      <c r="DQ53" s="299"/>
      <c r="DR53" s="303"/>
      <c r="DS53" s="384"/>
      <c r="DT53" s="332"/>
      <c r="DU53" s="332"/>
      <c r="DV53" s="332"/>
      <c r="DW53" s="332"/>
      <c r="DX53" s="332"/>
      <c r="DY53" s="299"/>
      <c r="DZ53" s="299"/>
    </row>
    <row r="54" spans="6:130" x14ac:dyDescent="0.25">
      <c r="F54" s="50"/>
      <c r="G54" s="52"/>
      <c r="H54" s="52"/>
      <c r="I54" s="53"/>
      <c r="K54" t="s">
        <v>442</v>
      </c>
      <c r="L54" s="290" t="str">
        <f>IF(USD_CURVES!$R$32,_xll.meLWOCurveCalibrate(L48,L49,L45,L50),"LOAD OIS")</f>
        <v>LOAD OIS</v>
      </c>
      <c r="Q54" s="50"/>
      <c r="R54" s="222" t="s">
        <v>737</v>
      </c>
      <c r="S54" s="223">
        <v>31</v>
      </c>
      <c r="T54" s="53"/>
      <c r="V54" t="s">
        <v>442</v>
      </c>
      <c r="W54" s="206" t="str">
        <f t="array" ref="W54:W57">IF(USD_CURVES!$AI$32,_xll.meLWOCurveCalibrate(W48,W49,W45,W50),"LOAD USD3ML CURVE")</f>
        <v>LOAD USD3ML CURVE</v>
      </c>
      <c r="AB54" s="50"/>
      <c r="AC54" s="222" t="s">
        <v>777</v>
      </c>
      <c r="AD54" s="216" t="s">
        <v>721</v>
      </c>
      <c r="AE54" s="53"/>
      <c r="AG54" t="s">
        <v>442</v>
      </c>
      <c r="AH54" t="str">
        <f t="array" ref="AH54:AH57">IF($W$58,_xll.meLWOCurveCalibrate($AH$48,$AH$49,$AH$45,$AH$50),"LOAD ZAR3MJ CURVE")</f>
        <v>LOAD ZAR3MJ CURVE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765</v>
      </c>
      <c r="BK54" s="468" t="str">
        <f>INDEX('STATIC DATA'!C20:BB20,1,MATCH($A$1,'STATIC DATA'!$C$4:$BB$4,0))</f>
        <v>NBR:NYB</v>
      </c>
      <c r="BL54" s="53"/>
      <c r="BN54" t="s">
        <v>442</v>
      </c>
      <c r="BO54" t="str">
        <f t="array" ref="BO54:BO57">IF(BK6,_xll.meLWOCurveCalibrate($BO$48,$BO$49,$BO$45,$BO$50,$BO$51),"LOAD BRLOIS")</f>
        <v>BRL_XCCYBASIS_CURVE@16:58</v>
      </c>
      <c r="BT54" s="50"/>
      <c r="BU54" s="55"/>
      <c r="BV54" s="55"/>
      <c r="BW54" s="55"/>
      <c r="BX54" s="332"/>
      <c r="BY54" s="270" t="s">
        <v>831</v>
      </c>
      <c r="BZ54" s="271" t="s">
        <v>1674</v>
      </c>
      <c r="CA54" s="283"/>
      <c r="CB54" s="299"/>
      <c r="CD54" t="s">
        <v>442</v>
      </c>
      <c r="CE54" t="str">
        <f>IF(BO58,_xll.meLWOCurveCalibrate(CE48,CE49,CE45,CE50,CE51),"LOAD INRDF_USDCSA")</f>
        <v>#Error: CurveGenerator DISABLED does not exist</v>
      </c>
      <c r="CJ54" t="s">
        <v>442</v>
      </c>
      <c r="CK54" t="str">
        <f>IF(BO58,_xll.meLWOCurveCalibrate(CK48,CK49,CK45,CK50,CK51),"LOAD RUBDF_USDCSA")</f>
        <v>#Error: CurveGenerator DISABLED does not exist</v>
      </c>
      <c r="CN54" s="332"/>
      <c r="CO54" s="398"/>
      <c r="CP54" s="404"/>
      <c r="CQ54" s="404"/>
      <c r="CR54" s="404"/>
      <c r="CU54" s="401"/>
      <c r="CV54" s="206"/>
      <c r="CW54" s="206"/>
      <c r="DP54" s="299"/>
      <c r="DQ54" s="299"/>
      <c r="DR54" s="299"/>
      <c r="DS54" s="384"/>
      <c r="DT54" s="332"/>
      <c r="DU54" s="332"/>
      <c r="DV54" s="332"/>
      <c r="DW54" s="332"/>
      <c r="DX54" s="332"/>
      <c r="DY54" s="299"/>
      <c r="DZ54" s="299"/>
    </row>
    <row r="55" spans="6:130" x14ac:dyDescent="0.25">
      <c r="F55" s="50"/>
      <c r="G55" s="52"/>
      <c r="H55" s="52"/>
      <c r="I55" s="53"/>
      <c r="K55" t="s">
        <v>455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LOAD USD3ML CURVE</v>
      </c>
      <c r="AB55" s="50"/>
      <c r="AC55" s="222" t="s">
        <v>778</v>
      </c>
      <c r="AD55" s="216">
        <f>INDEX('STATIC DATA'!C43:AZ43,1,MATCH($A$1,'STATIC DATA'!$C$4:$AZ$4,0))</f>
        <v>0</v>
      </c>
      <c r="AE55" s="53"/>
      <c r="AG55" t="s">
        <v>455</v>
      </c>
      <c r="AH55" t="str">
        <v>LOAD ZAR3MJ CURVE</v>
      </c>
      <c r="AM55" s="50"/>
      <c r="AN55" s="222" t="s">
        <v>778</v>
      </c>
      <c r="AO55" s="216" t="str">
        <f>INDEX('STATIC DATA'!C39:AZ39,1,MATCH($A$1,'STATIC DATA'!$C$4:$AZ$4,0))</f>
        <v>NBR</v>
      </c>
      <c r="AP55" s="53"/>
      <c r="AX55" s="50"/>
      <c r="AY55" s="222" t="s">
        <v>778</v>
      </c>
      <c r="AZ55" s="216" t="str">
        <f>INDEX('STATIC DATA'!C39:AZ39,1,MATCH($A$1,'STATIC DATA'!$C$4:$AZ$4,0))</f>
        <v>NBR</v>
      </c>
      <c r="BA55" s="53"/>
      <c r="BI55" s="50"/>
      <c r="BJ55" s="222" t="s">
        <v>766</v>
      </c>
      <c r="BK55" s="216" t="str">
        <f>BK41</f>
        <v>ACT/360</v>
      </c>
      <c r="BL55" s="53"/>
      <c r="BN55" t="s">
        <v>455</v>
      </c>
      <c r="BO55" t="str">
        <v>BRLYC</v>
      </c>
      <c r="BT55" s="50"/>
      <c r="BU55" s="55"/>
      <c r="BV55" s="55"/>
      <c r="BW55" s="55"/>
      <c r="BX55" s="332"/>
      <c r="BY55" s="620"/>
      <c r="BZ55" s="263" t="str">
        <f>_xll.meLWOFXCurveCreate(BZ54,BV8,BZ45)</f>
        <v>FX_CURVE_USDBRL@39:54</v>
      </c>
      <c r="CA55" s="283"/>
      <c r="CB55" s="299"/>
      <c r="CD55" t="s">
        <v>455</v>
      </c>
      <c r="CJ55" t="s">
        <v>455</v>
      </c>
      <c r="CN55" s="332"/>
      <c r="CO55" s="398"/>
      <c r="CP55" s="404"/>
      <c r="CQ55" s="404"/>
      <c r="CR55" s="404"/>
      <c r="CU55" s="401"/>
      <c r="CV55" s="206"/>
      <c r="CW55" s="206"/>
      <c r="DP55" s="299"/>
      <c r="DQ55" s="299"/>
      <c r="DR55" s="303"/>
      <c r="DS55" s="384"/>
      <c r="DT55" s="332"/>
      <c r="DU55" s="332"/>
      <c r="DV55" s="332"/>
      <c r="DW55" s="332"/>
      <c r="DX55" s="332"/>
      <c r="DY55" s="299"/>
      <c r="DZ55" s="299"/>
    </row>
    <row r="56" spans="6:130" x14ac:dyDescent="0.25">
      <c r="F56" s="50"/>
      <c r="G56" s="52"/>
      <c r="H56" s="52"/>
      <c r="I56" s="53"/>
      <c r="K56" t="s">
        <v>456</v>
      </c>
      <c r="Q56" s="50"/>
      <c r="R56" s="222" t="s">
        <v>739</v>
      </c>
      <c r="S56" s="223" t="str">
        <f>INDEX('STATIC DATA'!C7:AZ7,1,MATCH($A$1,'STATIC DATA'!C4:AZ4,0))</f>
        <v>2D</v>
      </c>
      <c r="T56" s="53"/>
      <c r="V56" t="s">
        <v>456</v>
      </c>
      <c r="W56" s="206" t="str">
        <v>LOAD USD3ML CURVE</v>
      </c>
      <c r="AB56" s="50"/>
      <c r="AC56" s="222" t="s">
        <v>779</v>
      </c>
      <c r="AD56" s="216" t="str">
        <f>INDEX('STATIC DATA'!C7:AZ7,1,MATCH($A$1,'STATIC DATA'!C4:AZ4,0))</f>
        <v>2D</v>
      </c>
      <c r="AE56" s="53"/>
      <c r="AG56" t="s">
        <v>456</v>
      </c>
      <c r="AH56" t="str">
        <v>LOAD ZAR3MJ CURVE</v>
      </c>
      <c r="AM56" s="50"/>
      <c r="AN56" s="222" t="s">
        <v>779</v>
      </c>
      <c r="AO56" s="216" t="str">
        <f>INDEX('STATIC DATA'!C7:AZ7,1,MATCH($A$1,'STATIC DATA'!C4:AZ4,0))</f>
        <v>2D</v>
      </c>
      <c r="AP56" s="53"/>
      <c r="AX56" s="50"/>
      <c r="AY56" s="222" t="s">
        <v>779</v>
      </c>
      <c r="AZ56" s="216" t="str">
        <f>INDEX('STATIC DATA'!C7:AZ7,1,MATCH($A$1,'STATIC DATA'!C4:AZ4,0))</f>
        <v>2D</v>
      </c>
      <c r="BA56" s="53"/>
      <c r="BI56" s="50"/>
      <c r="BJ56" s="222" t="s">
        <v>767</v>
      </c>
      <c r="BK56" s="216" t="s">
        <v>1120</v>
      </c>
      <c r="BL56" s="53"/>
      <c r="BN56" t="s">
        <v>456</v>
      </c>
      <c r="BO56" t="str">
        <v>XccyBASIS:XccyBasis:BRLDF_USDCSA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J56" t="s">
        <v>456</v>
      </c>
      <c r="CN56" s="332"/>
      <c r="CO56" s="398"/>
      <c r="CP56" s="404"/>
      <c r="CQ56" s="404"/>
      <c r="CR56" s="404"/>
      <c r="CU56" s="401"/>
      <c r="CV56" s="206"/>
      <c r="CW56" s="206"/>
      <c r="DP56" s="299"/>
      <c r="DQ56" s="299"/>
      <c r="DR56" s="299"/>
      <c r="DS56" s="384"/>
      <c r="DT56" s="332"/>
      <c r="DU56" s="332"/>
      <c r="DV56" s="332"/>
      <c r="DW56" s="332"/>
      <c r="DX56" s="332"/>
      <c r="DY56" s="299"/>
      <c r="DZ56" s="299"/>
    </row>
    <row r="57" spans="6:130" x14ac:dyDescent="0.25">
      <c r="F57" s="50"/>
      <c r="G57" s="52"/>
      <c r="H57" s="52"/>
      <c r="I57" s="53"/>
      <c r="K57" t="s">
        <v>664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LOAD USD3ML CURVE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LOAD ZAR3MJ CURVE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22" t="s">
        <v>769</v>
      </c>
      <c r="BK57" s="239" t="s">
        <v>687</v>
      </c>
      <c r="BL57" s="53"/>
      <c r="BN57" t="s">
        <v>664</v>
      </c>
      <c r="BO57" t="str">
        <v>0.006000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J57" t="s">
        <v>664</v>
      </c>
      <c r="CN57" s="332"/>
      <c r="CO57" s="398"/>
      <c r="CP57" s="404"/>
      <c r="CQ57" s="404"/>
      <c r="CR57" s="404"/>
      <c r="CU57" s="401"/>
      <c r="CV57" s="206"/>
      <c r="CW57" s="206"/>
      <c r="DP57" s="299"/>
      <c r="DQ57" s="299"/>
      <c r="DR57" s="299"/>
      <c r="DS57" s="384"/>
      <c r="DT57" s="332"/>
      <c r="DU57" s="332"/>
      <c r="DV57" s="332"/>
      <c r="DW57" s="332"/>
      <c r="DX57" s="332"/>
      <c r="DY57" s="332"/>
      <c r="DZ57" s="332"/>
    </row>
    <row r="58" spans="6:130" x14ac:dyDescent="0.25">
      <c r="F58" s="50"/>
      <c r="G58" s="52"/>
      <c r="H58" s="52"/>
      <c r="I58" s="53"/>
      <c r="L58" t="b">
        <f>_xll.meLWOExists(L54,"CURVE")</f>
        <v>0</v>
      </c>
      <c r="Q58" s="50"/>
      <c r="R58" s="222" t="s">
        <v>740</v>
      </c>
      <c r="S58" s="223" t="s">
        <v>718</v>
      </c>
      <c r="T58" s="53"/>
      <c r="W58" t="b">
        <f>LEFT(W54,3)=LEFT(W45,3)</f>
        <v>0</v>
      </c>
      <c r="AB58" s="50"/>
      <c r="AC58" s="233" t="s">
        <v>781</v>
      </c>
      <c r="AD58" s="241" t="s">
        <v>782</v>
      </c>
      <c r="AE58" s="53"/>
      <c r="AH58" t="b">
        <f>_xll.meLWOExists(AH54,"CURVE")</f>
        <v>0</v>
      </c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770</v>
      </c>
      <c r="BK58" s="257" t="str">
        <f>INDEX('STATIC DATA'!C29:BB29,1,MATCH($A$1,'STATIC DATA'!$C$4:$BB$4,0))</f>
        <v>2D</v>
      </c>
      <c r="BL58" s="53"/>
      <c r="BO58" t="b">
        <f>_xll.meLWOExists(BO54,"CURVE")</f>
        <v>1</v>
      </c>
      <c r="BT58" s="50"/>
      <c r="BU58" s="55"/>
      <c r="BV58" s="55"/>
      <c r="BW58" s="55"/>
      <c r="BX58" s="332"/>
      <c r="BY58" s="279"/>
      <c r="BZ58" s="282"/>
      <c r="CA58" s="283"/>
      <c r="CB58" s="299"/>
      <c r="CE58" t="b">
        <f>_xll.meLWOExists(CE54,"CURVE")</f>
        <v>0</v>
      </c>
      <c r="CK58" t="b">
        <f>_xll.meLWOExists(CK54,"CURVE")</f>
        <v>0</v>
      </c>
      <c r="CN58" s="332"/>
      <c r="CO58" s="398"/>
      <c r="CP58" s="404"/>
      <c r="CQ58" s="404"/>
      <c r="CR58" s="404"/>
      <c r="CU58" s="401"/>
      <c r="CV58" s="206"/>
      <c r="CW58" s="206"/>
      <c r="DP58" s="299"/>
      <c r="DQ58" s="299"/>
      <c r="DR58" s="299"/>
      <c r="DS58" s="332"/>
      <c r="DT58" s="332"/>
      <c r="DU58" s="332"/>
      <c r="DV58" s="332"/>
      <c r="DW58" s="332"/>
      <c r="DX58" s="332"/>
      <c r="DY58" s="332"/>
      <c r="DZ58" s="332"/>
    </row>
    <row r="59" spans="6:130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772</v>
      </c>
      <c r="BK59" s="247" t="s">
        <v>842</v>
      </c>
      <c r="BL59" s="249" t="s">
        <v>801</v>
      </c>
      <c r="BT59" s="50"/>
      <c r="BU59" s="55"/>
      <c r="BV59" s="55"/>
      <c r="BW59" s="55"/>
      <c r="BX59" s="332"/>
      <c r="BY59" s="325"/>
      <c r="BZ59" s="282"/>
      <c r="CA59" s="282"/>
      <c r="CB59" s="299"/>
      <c r="CN59" s="332"/>
      <c r="CO59" s="398"/>
      <c r="CP59" s="404"/>
      <c r="CQ59" s="404"/>
      <c r="CR59" s="404"/>
      <c r="CU59" s="401"/>
      <c r="CV59" s="206"/>
      <c r="CW59" s="206"/>
      <c r="DP59" s="299"/>
      <c r="DQ59" s="299"/>
      <c r="DR59" s="299"/>
      <c r="DS59" s="332"/>
      <c r="DT59" s="332"/>
      <c r="DU59" s="332"/>
      <c r="DV59" s="332"/>
      <c r="DW59" s="332"/>
      <c r="DX59" s="332"/>
      <c r="DY59" s="332"/>
      <c r="DZ59" s="332"/>
    </row>
    <row r="60" spans="6:130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34" t="s">
        <v>771</v>
      </c>
      <c r="BK60" s="242" t="s">
        <v>842</v>
      </c>
      <c r="BL60" s="53"/>
      <c r="BN60" s="206"/>
      <c r="BO60" s="206"/>
      <c r="BP60" s="206"/>
      <c r="BQ60" s="206"/>
      <c r="BR60" s="206"/>
      <c r="BS60" s="206"/>
      <c r="BT60" s="50"/>
      <c r="BU60" s="55"/>
      <c r="BV60" s="55"/>
      <c r="BW60" s="55"/>
      <c r="BX60" s="332"/>
      <c r="BY60" s="325"/>
      <c r="BZ60" s="282"/>
      <c r="CA60" s="282"/>
      <c r="CB60" s="299"/>
      <c r="CN60" s="332"/>
      <c r="CO60" s="398"/>
      <c r="CP60" s="404"/>
      <c r="CQ60" s="404"/>
      <c r="CR60" s="404"/>
      <c r="CU60" s="401"/>
      <c r="CV60" s="206"/>
      <c r="CW60" s="206"/>
      <c r="DP60" s="299"/>
      <c r="DQ60" s="299"/>
      <c r="DR60" s="299"/>
      <c r="DS60" s="332"/>
      <c r="DT60" s="332"/>
      <c r="DU60" s="332"/>
      <c r="DV60" s="332"/>
      <c r="DW60" s="332"/>
      <c r="DX60" s="332"/>
      <c r="DY60" s="332"/>
      <c r="DZ60" s="332"/>
    </row>
    <row r="61" spans="6:130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45" t="s">
        <v>774</v>
      </c>
      <c r="BK61" s="244" t="s">
        <v>49</v>
      </c>
      <c r="BL61" s="53"/>
      <c r="BN61" s="500"/>
      <c r="BO61" s="206"/>
      <c r="BP61" s="206"/>
      <c r="BQ61" s="206"/>
      <c r="BR61" s="206"/>
      <c r="BS61" s="206"/>
      <c r="BT61" s="50"/>
      <c r="BU61" s="55"/>
      <c r="BV61" s="55"/>
      <c r="BW61" s="55"/>
      <c r="BX61" s="332"/>
      <c r="BY61" s="325"/>
      <c r="BZ61" s="282"/>
      <c r="CA61" s="282"/>
      <c r="CB61" s="299"/>
      <c r="CO61" s="397"/>
      <c r="CU61" s="401"/>
      <c r="CV61" s="206"/>
      <c r="CW61" s="206"/>
      <c r="DP61" s="299"/>
      <c r="DQ61" s="299"/>
      <c r="DR61" s="299"/>
      <c r="DS61" s="299"/>
      <c r="DT61" s="299"/>
      <c r="DU61" s="299"/>
      <c r="DV61" s="299"/>
      <c r="DW61" s="299"/>
      <c r="DX61" s="299"/>
      <c r="DY61" s="299"/>
      <c r="DZ61" s="299"/>
    </row>
    <row r="62" spans="6:130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775</v>
      </c>
      <c r="BK62" s="216" t="str">
        <f>BK41</f>
        <v>ACT/360</v>
      </c>
      <c r="BL62" s="53"/>
      <c r="BN62" s="206"/>
      <c r="BO62" s="501"/>
      <c r="BP62" s="206"/>
      <c r="BQ62" s="206"/>
      <c r="BR62" s="206"/>
      <c r="BS62" s="206"/>
      <c r="BT62" s="50"/>
      <c r="BU62" s="55"/>
      <c r="BV62" s="55"/>
      <c r="BW62" s="55"/>
      <c r="BX62" s="332"/>
      <c r="BY62" s="325"/>
      <c r="BZ62" s="282"/>
      <c r="CA62" s="282"/>
      <c r="CB62" s="299"/>
      <c r="CO62" s="397"/>
      <c r="CU62" s="401"/>
      <c r="CV62" s="206"/>
      <c r="CW62" s="206"/>
      <c r="DP62" s="299"/>
      <c r="DQ62" s="299"/>
      <c r="DR62" s="299"/>
      <c r="DS62" s="299"/>
      <c r="DT62" s="299"/>
      <c r="DU62" s="299"/>
      <c r="DV62" s="299"/>
      <c r="DW62" s="299"/>
      <c r="DX62" s="299"/>
      <c r="DY62" s="299"/>
      <c r="DZ62" s="299"/>
    </row>
    <row r="63" spans="6:130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776</v>
      </c>
      <c r="BK63" s="468" t="str">
        <f>INDEX('STATIC DATA'!C20:BB20,1,MATCH($A$1,'STATIC DATA'!$C$4:$BB$4,0))</f>
        <v>NBR:NYB</v>
      </c>
      <c r="BL63" s="53"/>
      <c r="BN63" s="206"/>
      <c r="BO63" s="502"/>
      <c r="BP63" s="206"/>
      <c r="BQ63" s="206"/>
      <c r="BR63" s="206"/>
      <c r="BS63" s="206"/>
      <c r="BT63" s="50"/>
      <c r="BU63" s="55"/>
      <c r="BV63" s="55"/>
      <c r="BW63" s="55"/>
      <c r="BX63" s="332"/>
      <c r="BY63" s="325"/>
      <c r="BZ63" s="282"/>
      <c r="CA63" s="282"/>
      <c r="CB63" s="299"/>
      <c r="CO63" s="397"/>
      <c r="CU63" s="401"/>
      <c r="CV63" s="206"/>
      <c r="CW63" s="206"/>
      <c r="DP63" s="299"/>
      <c r="DQ63" s="299"/>
      <c r="DR63" s="299"/>
      <c r="DS63" s="299"/>
      <c r="DT63" s="299"/>
      <c r="DU63" s="299"/>
      <c r="DV63" s="299"/>
      <c r="DW63" s="299"/>
      <c r="DX63" s="299"/>
      <c r="DY63" s="299"/>
      <c r="DZ63" s="299"/>
    </row>
    <row r="64" spans="6:130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777</v>
      </c>
      <c r="BK64" s="216" t="s">
        <v>721</v>
      </c>
      <c r="BL64" s="53"/>
      <c r="BN64" s="206"/>
      <c r="BO64" s="206"/>
      <c r="BP64" s="206"/>
      <c r="BQ64" s="206"/>
      <c r="BR64" s="206"/>
      <c r="BS64" s="206"/>
      <c r="BT64" s="50"/>
      <c r="BU64" s="55"/>
      <c r="BV64" s="55"/>
      <c r="BW64" s="55"/>
      <c r="BX64" s="332"/>
      <c r="BY64" s="325"/>
      <c r="BZ64" s="282"/>
      <c r="CA64" s="282"/>
      <c r="CB64" s="299"/>
      <c r="CO64" s="397"/>
      <c r="CU64" s="401"/>
      <c r="CV64" s="206"/>
      <c r="CW64" s="206"/>
      <c r="DP64" s="299"/>
      <c r="DQ64" s="299"/>
      <c r="DR64" s="299"/>
      <c r="DS64" s="299"/>
      <c r="DT64" s="299"/>
      <c r="DU64" s="299"/>
      <c r="DV64" s="299"/>
      <c r="DW64" s="299"/>
      <c r="DX64" s="299"/>
      <c r="DY64" s="299"/>
      <c r="DZ64" s="299"/>
    </row>
    <row r="65" spans="6:130" x14ac:dyDescent="0.25">
      <c r="F65" s="50"/>
      <c r="G65" s="52"/>
      <c r="H65" s="52"/>
      <c r="I65" s="53"/>
      <c r="Q65" s="50"/>
      <c r="R65" s="52"/>
      <c r="S65" s="52"/>
      <c r="T65" s="53"/>
      <c r="AA65" t="s">
        <v>843</v>
      </c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778</v>
      </c>
      <c r="BK65" s="216" t="str">
        <f>INDEX('STATIC DATA'!C20:BB20,1,MATCH($A$1,'STATIC DATA'!$C$4:$BB$4,0))</f>
        <v>NBR:NYB</v>
      </c>
      <c r="BL65" s="53"/>
      <c r="BN65" s="206"/>
      <c r="BO65" s="206"/>
      <c r="BP65" s="206"/>
      <c r="BQ65" s="206"/>
      <c r="BR65" s="206"/>
      <c r="BS65" s="206"/>
      <c r="BT65" s="50"/>
      <c r="BU65" s="55"/>
      <c r="BV65" s="55"/>
      <c r="BW65" s="55"/>
      <c r="BX65" s="332"/>
      <c r="BY65" s="325"/>
      <c r="BZ65" s="282"/>
      <c r="CA65" s="282"/>
      <c r="CB65" s="299"/>
      <c r="CO65" s="397"/>
      <c r="CU65" s="401"/>
      <c r="CV65" s="206"/>
      <c r="CW65" s="206"/>
      <c r="DP65" s="299"/>
      <c r="DQ65" s="299"/>
      <c r="DR65" s="299"/>
      <c r="DS65" s="299"/>
      <c r="DT65" s="299"/>
      <c r="DU65" s="299"/>
      <c r="DV65" s="299"/>
      <c r="DW65" s="299"/>
      <c r="DX65" s="299"/>
      <c r="DY65" s="299"/>
      <c r="DZ65" s="299"/>
    </row>
    <row r="66" spans="6:130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788</v>
      </c>
      <c r="AD66" s="219" t="b">
        <v>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779</v>
      </c>
      <c r="BK66" s="257" t="str">
        <f>INDEX('STATIC DATA'!C29:BB29,1,MATCH($A$1,'STATIC DATA'!$C$4:$BB$4,0))</f>
        <v>2D</v>
      </c>
      <c r="BL66" s="53"/>
      <c r="BN66" s="206"/>
      <c r="BO66" s="206"/>
      <c r="BP66" s="206"/>
      <c r="BQ66" s="206"/>
      <c r="BR66" s="206"/>
      <c r="BS66" s="206"/>
      <c r="BT66" s="50"/>
      <c r="BU66" s="52"/>
      <c r="BV66" s="52"/>
      <c r="BW66" s="52"/>
      <c r="BX66" s="299"/>
      <c r="BY66" s="325"/>
      <c r="BZ66" s="282"/>
      <c r="CA66" s="282"/>
      <c r="CB66" s="299"/>
      <c r="CO66" s="397"/>
      <c r="CU66" s="401"/>
      <c r="CV66" s="206"/>
      <c r="CW66" s="206"/>
      <c r="DP66" s="299"/>
      <c r="DQ66" s="299"/>
      <c r="DR66" s="299"/>
      <c r="DS66" s="299"/>
      <c r="DT66" s="299"/>
      <c r="DU66" s="299"/>
      <c r="DV66" s="299"/>
      <c r="DW66" s="299"/>
      <c r="DX66" s="299"/>
      <c r="DY66" s="299"/>
      <c r="DZ66" s="299"/>
    </row>
    <row r="67" spans="6:130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22" t="s">
        <v>780</v>
      </c>
      <c r="BK67" s="216" t="s">
        <v>687</v>
      </c>
      <c r="BL67" s="53"/>
      <c r="BN67" s="206"/>
      <c r="BO67" s="206"/>
      <c r="BP67" s="206"/>
      <c r="BQ67" s="206"/>
      <c r="BR67" s="206"/>
      <c r="BS67" s="206"/>
      <c r="BT67" s="50"/>
      <c r="BU67" s="52"/>
      <c r="BV67" s="52"/>
      <c r="BW67" s="52"/>
      <c r="BX67" s="299"/>
      <c r="BY67" s="325"/>
      <c r="BZ67" s="282"/>
      <c r="CA67" s="282"/>
      <c r="CB67" s="299"/>
      <c r="CO67" s="397"/>
      <c r="CU67" s="401"/>
      <c r="CV67" s="206"/>
      <c r="CW67" s="206"/>
      <c r="DP67" s="299"/>
      <c r="DQ67" s="299"/>
      <c r="DR67" s="299"/>
      <c r="DS67" s="299"/>
      <c r="DT67" s="299"/>
      <c r="DU67" s="299"/>
      <c r="DV67" s="299"/>
      <c r="DW67" s="299"/>
      <c r="DX67" s="299"/>
      <c r="DY67" s="299"/>
      <c r="DZ67" s="299"/>
    </row>
    <row r="68" spans="6:130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33" t="s">
        <v>781</v>
      </c>
      <c r="BK68" s="241" t="s">
        <v>810</v>
      </c>
      <c r="BL68" s="53"/>
      <c r="BN68" s="206"/>
      <c r="BO68" s="206"/>
      <c r="BP68" s="206"/>
      <c r="BQ68" s="206"/>
      <c r="BR68" s="206"/>
      <c r="BS68" s="206"/>
      <c r="BT68" s="50"/>
      <c r="BU68" s="52"/>
      <c r="BV68" s="52"/>
      <c r="BW68" s="52"/>
      <c r="BX68" s="299"/>
      <c r="BY68" s="325"/>
      <c r="BZ68" s="282"/>
      <c r="CA68" s="282"/>
      <c r="CB68" s="299"/>
      <c r="CO68" s="397"/>
      <c r="CU68" s="401"/>
      <c r="CV68" s="206"/>
      <c r="CW68" s="206"/>
      <c r="CX68" s="206"/>
      <c r="DP68" s="299"/>
      <c r="DQ68" s="299"/>
      <c r="DR68" s="299"/>
      <c r="DS68" s="299"/>
      <c r="DT68" s="299"/>
      <c r="DU68" s="299"/>
      <c r="DV68" s="299"/>
      <c r="DW68" s="299"/>
      <c r="DX68" s="299"/>
      <c r="DY68" s="299"/>
      <c r="DZ68" s="299"/>
    </row>
    <row r="69" spans="6:130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2" t="s">
        <v>811</v>
      </c>
      <c r="BK69" s="216" t="b">
        <v>0</v>
      </c>
      <c r="BL69" s="53"/>
      <c r="BN69" s="206"/>
      <c r="BO69" s="206"/>
      <c r="BP69" s="206"/>
      <c r="BQ69" s="206"/>
      <c r="BR69" s="206"/>
      <c r="BS69" s="206"/>
      <c r="BT69" s="50"/>
      <c r="BU69" s="52"/>
      <c r="BV69" s="52"/>
      <c r="BW69" s="52"/>
      <c r="BX69" s="299"/>
      <c r="BY69" s="325"/>
      <c r="BZ69" s="282"/>
      <c r="CA69" s="282"/>
      <c r="CB69" s="299"/>
      <c r="CO69" s="397"/>
      <c r="CU69" s="401"/>
      <c r="CV69" s="206"/>
      <c r="CW69" s="206"/>
      <c r="CX69" s="206"/>
      <c r="DP69" s="299"/>
      <c r="DQ69" s="299"/>
      <c r="DR69" s="299"/>
      <c r="DS69" s="299"/>
      <c r="DT69" s="299"/>
      <c r="DU69" s="299"/>
      <c r="DV69" s="299"/>
      <c r="DW69" s="299"/>
      <c r="DX69" s="299"/>
      <c r="DY69" s="299"/>
      <c r="DZ69" s="299"/>
    </row>
    <row r="70" spans="6:130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812</v>
      </c>
      <c r="BK70" s="216" t="b">
        <v>1</v>
      </c>
      <c r="BL70" s="53"/>
      <c r="BN70" s="206"/>
      <c r="BO70" s="206"/>
      <c r="BP70" s="206"/>
      <c r="BQ70" s="206"/>
      <c r="BR70" s="206"/>
      <c r="BS70" s="206"/>
      <c r="BT70" s="50"/>
      <c r="BU70" s="52"/>
      <c r="BV70" s="52"/>
      <c r="BW70" s="52"/>
      <c r="BX70" s="299"/>
      <c r="BY70" s="325"/>
      <c r="BZ70" s="282"/>
      <c r="CA70" s="282"/>
      <c r="CB70" s="299"/>
      <c r="CO70" s="397"/>
      <c r="CU70" s="401"/>
      <c r="CV70" s="206"/>
      <c r="CW70" s="206"/>
      <c r="CX70" s="206"/>
      <c r="DP70" s="299"/>
      <c r="DQ70" s="299"/>
      <c r="DR70" s="299"/>
      <c r="DS70" s="299"/>
      <c r="DT70" s="299"/>
      <c r="DU70" s="299"/>
      <c r="DV70" s="299"/>
      <c r="DW70" s="299"/>
      <c r="DX70" s="299"/>
      <c r="DY70" s="299"/>
      <c r="DZ70" s="299"/>
    </row>
    <row r="71" spans="6:130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688</v>
      </c>
      <c r="BK71" s="216">
        <v>31</v>
      </c>
      <c r="BL71" s="53"/>
      <c r="BN71" s="206"/>
      <c r="BO71" s="206"/>
      <c r="BP71" s="206"/>
      <c r="BQ71" s="206"/>
      <c r="BR71" s="206"/>
      <c r="BS71" s="206"/>
      <c r="BT71" s="50"/>
      <c r="BU71" s="52"/>
      <c r="BV71" s="52"/>
      <c r="BW71" s="52"/>
      <c r="BX71" s="299"/>
      <c r="BY71" s="325"/>
      <c r="BZ71" s="282"/>
      <c r="CA71" s="282"/>
      <c r="CB71" s="299"/>
      <c r="CO71" s="397"/>
      <c r="CU71" s="401"/>
      <c r="CV71" s="206"/>
      <c r="CW71" s="206"/>
      <c r="CX71" s="206"/>
      <c r="DP71" s="299"/>
      <c r="DQ71" s="299"/>
      <c r="DR71" s="299"/>
      <c r="DS71" s="299"/>
      <c r="DT71" s="299"/>
      <c r="DU71" s="299"/>
      <c r="DV71" s="299"/>
      <c r="DW71" s="299"/>
      <c r="DX71" s="299"/>
      <c r="DY71" s="299"/>
      <c r="DZ71" s="299"/>
    </row>
    <row r="72" spans="6:130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689</v>
      </c>
      <c r="BK72" s="216" t="b">
        <v>1</v>
      </c>
      <c r="BL72" s="53"/>
      <c r="BN72" s="206"/>
      <c r="BO72" s="206"/>
      <c r="BP72" s="206"/>
      <c r="BQ72" s="206"/>
      <c r="BR72" s="206"/>
      <c r="BS72" s="206"/>
      <c r="BT72" s="50"/>
      <c r="BU72" s="52"/>
      <c r="BV72" s="52"/>
      <c r="BW72" s="52"/>
      <c r="BX72" s="299"/>
      <c r="BY72" s="325"/>
      <c r="BZ72" s="282"/>
      <c r="CA72" s="282"/>
      <c r="CB72" s="299"/>
      <c r="CO72" s="397"/>
      <c r="CU72" s="401"/>
      <c r="CV72" s="206"/>
      <c r="CW72" s="206"/>
      <c r="CX72" s="206"/>
      <c r="DP72" s="299"/>
      <c r="DQ72" s="299"/>
      <c r="DR72" s="299"/>
      <c r="DS72" s="299"/>
      <c r="DT72" s="299"/>
      <c r="DU72" s="299"/>
      <c r="DV72" s="299"/>
      <c r="DW72" s="299"/>
      <c r="DX72" s="299"/>
      <c r="DY72" s="299"/>
      <c r="DZ72" s="299"/>
    </row>
    <row r="73" spans="6:130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22" t="s">
        <v>740</v>
      </c>
      <c r="BK73" s="216" t="b">
        <v>1</v>
      </c>
      <c r="BL73" s="53"/>
      <c r="BN73" s="206"/>
      <c r="BO73" s="206"/>
      <c r="BP73" s="206"/>
      <c r="BQ73" s="206"/>
      <c r="BR73" s="206"/>
      <c r="BS73" s="206"/>
      <c r="BT73" s="50"/>
      <c r="BU73" s="52"/>
      <c r="BV73" s="52"/>
      <c r="BW73" s="52"/>
      <c r="BX73" s="299"/>
      <c r="BY73" s="325"/>
      <c r="BZ73" s="282"/>
      <c r="CA73" s="282"/>
      <c r="CB73" s="299"/>
      <c r="CO73" s="397"/>
      <c r="CU73" s="401"/>
      <c r="CV73" s="206"/>
      <c r="CW73" s="206"/>
      <c r="CX73" s="206"/>
      <c r="DP73" s="299"/>
      <c r="DQ73" s="299"/>
      <c r="DR73" s="299"/>
      <c r="DS73" s="299"/>
      <c r="DT73" s="299"/>
      <c r="DU73" s="299"/>
      <c r="DV73" s="299"/>
      <c r="DW73" s="299"/>
      <c r="DX73" s="299"/>
      <c r="DY73" s="299"/>
      <c r="DZ73" s="299"/>
    </row>
    <row r="74" spans="6:130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22" t="s">
        <v>813</v>
      </c>
      <c r="BK74" s="216" t="b">
        <v>0</v>
      </c>
      <c r="BL74" s="53"/>
      <c r="BN74" s="206"/>
      <c r="BO74" s="206"/>
      <c r="BP74" s="206"/>
      <c r="BQ74" s="206"/>
      <c r="BR74" s="206"/>
      <c r="BS74" s="206"/>
      <c r="BT74" s="50"/>
      <c r="BU74" s="52"/>
      <c r="BV74" s="52"/>
      <c r="BW74" s="52"/>
      <c r="BX74" s="299"/>
      <c r="BY74" s="325"/>
      <c r="BZ74" s="282"/>
      <c r="CA74" s="282"/>
      <c r="CB74" s="299"/>
      <c r="CO74" s="397"/>
      <c r="CU74" s="401"/>
      <c r="CV74" s="206"/>
      <c r="CW74" s="206"/>
      <c r="CX74" s="206"/>
      <c r="DP74" s="299"/>
      <c r="DQ74" s="299"/>
      <c r="DR74" s="299"/>
      <c r="DS74" s="299"/>
      <c r="DT74" s="299"/>
      <c r="DU74" s="299"/>
      <c r="DV74" s="299"/>
      <c r="DW74" s="299"/>
      <c r="DX74" s="299"/>
      <c r="DY74" s="299"/>
      <c r="DZ74" s="299"/>
    </row>
    <row r="75" spans="6:130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33"/>
      <c r="BK75" s="246"/>
      <c r="BL75" s="53"/>
      <c r="BN75" s="206"/>
      <c r="BO75" s="206"/>
      <c r="BP75" s="206"/>
      <c r="BQ75" s="206"/>
      <c r="BR75" s="206"/>
      <c r="BS75" s="206"/>
      <c r="BT75" s="50"/>
      <c r="BU75" s="52"/>
      <c r="BV75" s="52"/>
      <c r="BW75" s="52"/>
      <c r="BX75" s="299"/>
      <c r="BY75" s="313"/>
      <c r="BZ75" s="265"/>
      <c r="CA75" s="265"/>
      <c r="CB75" s="299"/>
      <c r="CO75" s="397"/>
      <c r="CU75" s="401"/>
      <c r="CV75" s="206"/>
      <c r="CW75" s="206"/>
      <c r="CX75" s="206"/>
      <c r="DP75" s="299"/>
      <c r="DQ75" s="299"/>
      <c r="DR75" s="299"/>
      <c r="DS75" s="299"/>
      <c r="DT75" s="299"/>
      <c r="DU75" s="299"/>
      <c r="DV75" s="299"/>
      <c r="DW75" s="299"/>
      <c r="DX75" s="299"/>
      <c r="DY75" s="299"/>
      <c r="DZ75" s="299"/>
    </row>
    <row r="76" spans="6:130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52"/>
      <c r="BK76" s="253"/>
      <c r="BL76" s="53"/>
      <c r="BN76" s="206"/>
      <c r="BO76" s="206"/>
      <c r="BP76" s="206"/>
      <c r="BQ76" s="206"/>
      <c r="BR76" s="206"/>
      <c r="BS76" s="206"/>
      <c r="BT76" s="50"/>
      <c r="BU76" s="52"/>
      <c r="BV76" s="52"/>
      <c r="BW76" s="52"/>
      <c r="BX76" s="299"/>
      <c r="BY76" s="313"/>
      <c r="BZ76" s="265"/>
      <c r="CA76" s="265"/>
      <c r="CB76" s="299"/>
      <c r="CO76" s="397"/>
      <c r="CU76" s="401"/>
      <c r="CV76" s="206"/>
      <c r="CW76" s="206"/>
      <c r="CX76" s="206"/>
      <c r="DP76" s="299"/>
      <c r="DQ76" s="299"/>
      <c r="DR76" s="299"/>
      <c r="DS76" s="299"/>
      <c r="DT76" s="299"/>
      <c r="DU76" s="299"/>
      <c r="DV76" s="299"/>
      <c r="DW76" s="299"/>
      <c r="DX76" s="299"/>
      <c r="DY76" s="299"/>
      <c r="DZ76" s="299"/>
    </row>
    <row r="77" spans="6:130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250"/>
      <c r="BK77" s="254"/>
      <c r="BL77" s="53"/>
      <c r="BN77" s="206"/>
      <c r="BO77" s="206"/>
      <c r="BP77" s="206"/>
      <c r="BQ77" s="206"/>
      <c r="BR77" s="206"/>
      <c r="BS77" s="206"/>
      <c r="BT77" s="50"/>
      <c r="BU77" s="52"/>
      <c r="BV77" s="52"/>
      <c r="BW77" s="52"/>
      <c r="BX77" s="299"/>
      <c r="CB77" s="299"/>
      <c r="CO77" s="397"/>
      <c r="CU77" s="401"/>
      <c r="CV77" s="206"/>
      <c r="CW77" s="206"/>
      <c r="CX77" s="206"/>
      <c r="DP77" s="299"/>
      <c r="DQ77" s="299"/>
      <c r="DR77" s="299"/>
      <c r="DS77" s="299"/>
      <c r="DT77" s="299"/>
      <c r="DU77" s="299"/>
      <c r="DV77" s="299"/>
      <c r="DW77" s="299"/>
      <c r="DX77" s="299"/>
      <c r="DY77" s="299"/>
      <c r="DZ77" s="299"/>
    </row>
    <row r="78" spans="6:130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N78" s="206"/>
      <c r="BO78" s="206"/>
      <c r="BP78" s="206"/>
      <c r="BQ78" s="206"/>
      <c r="BR78" s="206"/>
      <c r="BS78" s="206"/>
      <c r="BT78" s="50"/>
      <c r="BU78" s="52"/>
      <c r="BV78" s="52"/>
      <c r="BW78" s="52"/>
      <c r="BX78" s="299"/>
      <c r="CB78" s="299"/>
      <c r="CO78" s="397"/>
      <c r="CU78" s="401"/>
      <c r="CV78" s="206"/>
      <c r="CW78" s="206"/>
      <c r="CX78" s="206"/>
      <c r="DP78" s="299"/>
      <c r="DQ78" s="299"/>
      <c r="DR78" s="299"/>
      <c r="DS78" s="299"/>
      <c r="DT78" s="299"/>
      <c r="DU78" s="299"/>
      <c r="DV78" s="299"/>
      <c r="DW78" s="299"/>
      <c r="DX78" s="299"/>
      <c r="DY78" s="299"/>
      <c r="DZ78" s="299"/>
    </row>
    <row r="79" spans="6:130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N79" s="206"/>
      <c r="BO79" s="206"/>
      <c r="BP79" s="206"/>
      <c r="BQ79" s="206"/>
      <c r="BR79" s="206"/>
      <c r="BS79" s="206"/>
      <c r="BT79" s="50"/>
      <c r="BU79" s="52"/>
      <c r="BV79" s="52"/>
      <c r="BW79" s="52"/>
      <c r="BX79" s="299"/>
      <c r="CB79" s="299"/>
      <c r="CO79" s="397"/>
      <c r="CU79" s="401"/>
      <c r="CV79" s="206"/>
      <c r="CW79" s="206"/>
      <c r="CX79" s="206"/>
      <c r="DP79" s="299"/>
      <c r="DQ79" s="299"/>
      <c r="DR79" s="299"/>
      <c r="DS79" s="299"/>
      <c r="DT79" s="299"/>
      <c r="DU79" s="299"/>
      <c r="DV79" s="299"/>
      <c r="DW79" s="299"/>
      <c r="DX79" s="299"/>
      <c r="DY79" s="299"/>
      <c r="DZ79" s="299"/>
    </row>
    <row r="80" spans="6:130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N80" s="206"/>
      <c r="BO80" s="206"/>
      <c r="BP80" s="206"/>
      <c r="BQ80" s="206"/>
      <c r="BR80" s="206"/>
      <c r="BS80" s="206"/>
      <c r="BT80" s="50"/>
      <c r="BU80" s="52"/>
      <c r="BV80" s="52"/>
      <c r="BW80" s="52"/>
      <c r="BX80" s="299"/>
      <c r="BY80" s="332"/>
      <c r="BZ80" s="332"/>
      <c r="CA80" s="332"/>
      <c r="CB80" s="299"/>
      <c r="CO80" s="397"/>
      <c r="CU80" s="401"/>
      <c r="CV80" s="206"/>
      <c r="CW80" s="206"/>
      <c r="CX80" s="206"/>
      <c r="DP80" s="299"/>
      <c r="DQ80" s="299"/>
      <c r="DR80" s="299"/>
      <c r="DS80" s="299"/>
      <c r="DT80" s="299"/>
      <c r="DU80" s="299"/>
      <c r="DV80" s="299"/>
      <c r="DW80" s="299"/>
      <c r="DX80" s="299"/>
      <c r="DY80" s="299"/>
      <c r="DZ80" s="299"/>
    </row>
    <row r="81" spans="6:130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N81" s="206"/>
      <c r="BO81" s="206"/>
      <c r="BP81" s="206"/>
      <c r="BQ81" s="206"/>
      <c r="BR81" s="206"/>
      <c r="BS81" s="206"/>
      <c r="BT81" s="50"/>
      <c r="BU81" s="52"/>
      <c r="BV81" s="52"/>
      <c r="BW81" s="52"/>
      <c r="BX81" s="299"/>
      <c r="BY81" s="332"/>
      <c r="BZ81" s="332"/>
      <c r="CA81" s="332"/>
      <c r="CB81" s="299"/>
      <c r="CO81" s="397"/>
      <c r="CU81" s="401"/>
      <c r="CV81" s="206"/>
      <c r="CW81" s="206"/>
      <c r="CX81" s="206"/>
      <c r="DP81" s="299"/>
      <c r="DQ81" s="299"/>
      <c r="DR81" s="299"/>
      <c r="DS81" s="299"/>
      <c r="DT81" s="299"/>
      <c r="DU81" s="299"/>
      <c r="DV81" s="299"/>
      <c r="DW81" s="299"/>
      <c r="DX81" s="299"/>
      <c r="DY81" s="299"/>
      <c r="DZ81" s="299"/>
    </row>
    <row r="82" spans="6:130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N82" s="206"/>
      <c r="BO82" s="206"/>
      <c r="BP82" s="206"/>
      <c r="BQ82" s="206"/>
      <c r="BR82" s="206"/>
      <c r="BS82" s="206"/>
      <c r="BT82" s="50"/>
      <c r="BU82" s="52"/>
      <c r="BV82" s="52"/>
      <c r="BW82" s="52"/>
      <c r="BX82" s="299"/>
      <c r="BY82" s="332"/>
      <c r="BZ82" s="332"/>
      <c r="CA82" s="332"/>
      <c r="CB82" s="299"/>
      <c r="CO82" s="397"/>
      <c r="CU82" s="401"/>
      <c r="CV82" s="206"/>
      <c r="CW82" s="206"/>
      <c r="CX82" s="206"/>
      <c r="DP82" s="299"/>
      <c r="DQ82" s="299"/>
      <c r="DR82" s="299"/>
      <c r="DS82" s="299"/>
      <c r="DT82" s="299"/>
      <c r="DU82" s="299"/>
      <c r="DV82" s="299"/>
      <c r="DW82" s="299"/>
      <c r="DX82" s="299"/>
      <c r="DY82" s="299"/>
      <c r="DZ82" s="299"/>
    </row>
    <row r="83" spans="6:130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N83" s="206"/>
      <c r="BO83" s="206"/>
      <c r="BP83" s="206"/>
      <c r="BQ83" s="206"/>
      <c r="BR83" s="206"/>
      <c r="BS83" s="206"/>
      <c r="BT83" s="50"/>
      <c r="BU83" s="52"/>
      <c r="BV83" s="52"/>
      <c r="BW83" s="52"/>
      <c r="BX83" s="299"/>
      <c r="BY83" s="332"/>
      <c r="BZ83" s="332"/>
      <c r="CA83" s="332"/>
      <c r="CB83" s="299"/>
      <c r="CO83" s="397"/>
      <c r="CU83" s="401"/>
      <c r="CV83" s="206"/>
      <c r="CW83" s="206"/>
      <c r="CX83" s="206"/>
      <c r="DP83" s="299"/>
      <c r="DQ83" s="299"/>
      <c r="DR83" s="299"/>
      <c r="DS83" s="299"/>
      <c r="DT83" s="299"/>
      <c r="DU83" s="299"/>
      <c r="DV83" s="299"/>
      <c r="DW83" s="299"/>
      <c r="DX83" s="299"/>
      <c r="DY83" s="299"/>
      <c r="DZ83" s="299"/>
    </row>
    <row r="84" spans="6:130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N84" s="206"/>
      <c r="BO84" s="206"/>
      <c r="BP84" s="206"/>
      <c r="BQ84" s="206"/>
      <c r="BR84" s="206"/>
      <c r="BS84" s="206"/>
      <c r="BT84" s="50"/>
      <c r="BU84" s="52"/>
      <c r="BV84" s="52"/>
      <c r="BW84" s="52"/>
      <c r="BX84" s="299"/>
      <c r="BY84" s="332"/>
      <c r="BZ84" s="332"/>
      <c r="CA84" s="332"/>
      <c r="CB84" s="299"/>
      <c r="CO84" s="397"/>
      <c r="CU84" s="401"/>
      <c r="CV84" s="206"/>
      <c r="CW84" s="206"/>
      <c r="CX84" s="206"/>
      <c r="DP84" s="332"/>
      <c r="DQ84" s="332"/>
      <c r="DR84" s="332"/>
      <c r="DS84" s="299"/>
      <c r="DT84" s="299"/>
      <c r="DU84" s="299"/>
      <c r="DV84" s="299"/>
      <c r="DW84" s="299"/>
      <c r="DX84" s="299"/>
      <c r="DY84" s="299"/>
      <c r="DZ84" s="299"/>
    </row>
    <row r="85" spans="6:130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N85" s="206"/>
      <c r="BO85" s="206"/>
      <c r="BP85" s="206"/>
      <c r="BQ85" s="206"/>
      <c r="BR85" s="206"/>
      <c r="BS85" s="206"/>
      <c r="BT85" s="50"/>
      <c r="BU85" s="52"/>
      <c r="BV85" s="52"/>
      <c r="BW85" s="52"/>
      <c r="BX85" s="299"/>
      <c r="BY85" s="332"/>
      <c r="BZ85" s="332"/>
      <c r="CA85" s="332"/>
      <c r="CB85" s="332"/>
      <c r="CO85" s="397"/>
      <c r="CU85" s="401"/>
      <c r="CV85" s="206"/>
      <c r="CW85" s="206"/>
      <c r="CX85" s="206"/>
      <c r="DP85" s="332"/>
      <c r="DQ85" s="332"/>
      <c r="DR85" s="332"/>
      <c r="DS85" s="299"/>
      <c r="DT85" s="299"/>
      <c r="DU85" s="299"/>
      <c r="DV85" s="299"/>
      <c r="DW85" s="299"/>
      <c r="DX85" s="299"/>
      <c r="DY85" s="299"/>
      <c r="DZ85" s="299"/>
    </row>
    <row r="86" spans="6:130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N86" s="206"/>
      <c r="BO86" s="206"/>
      <c r="BP86" s="206"/>
      <c r="BQ86" s="206"/>
      <c r="BR86" s="206"/>
      <c r="BS86" s="206"/>
      <c r="BT86" s="50"/>
      <c r="BU86" s="52"/>
      <c r="BV86" s="52"/>
      <c r="BW86" s="52"/>
      <c r="BX86" s="299"/>
      <c r="BY86" s="332"/>
      <c r="BZ86" s="332"/>
      <c r="CA86" s="332"/>
      <c r="CB86" s="332"/>
      <c r="CO86" s="397"/>
      <c r="CU86" s="401"/>
      <c r="CV86" s="206"/>
      <c r="CW86" s="206"/>
      <c r="CX86" s="206"/>
      <c r="DP86" s="332"/>
      <c r="DQ86" s="332"/>
      <c r="DR86" s="332"/>
      <c r="DS86" s="299"/>
      <c r="DT86" s="299"/>
      <c r="DU86" s="299"/>
      <c r="DV86" s="299"/>
      <c r="DW86" s="299"/>
      <c r="DX86" s="299"/>
      <c r="DY86" s="299"/>
      <c r="DZ86" s="299"/>
    </row>
    <row r="87" spans="6:130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N87" s="206"/>
      <c r="BO87" s="206"/>
      <c r="BP87" s="206"/>
      <c r="BQ87" s="206"/>
      <c r="BR87" s="206"/>
      <c r="BS87" s="206"/>
      <c r="BT87" s="50"/>
      <c r="BU87" s="52"/>
      <c r="BV87" s="52"/>
      <c r="BW87" s="52"/>
      <c r="BX87" s="299"/>
      <c r="BY87" s="332"/>
      <c r="BZ87" s="332"/>
      <c r="CA87" s="332"/>
      <c r="CB87" s="332"/>
      <c r="CO87" s="397"/>
      <c r="CU87" s="401"/>
      <c r="CV87" s="206"/>
      <c r="CW87" s="206"/>
      <c r="CX87" s="206"/>
      <c r="DP87" s="332"/>
      <c r="DQ87" s="332"/>
      <c r="DR87" s="332"/>
      <c r="DS87" s="299"/>
      <c r="DT87" s="299"/>
      <c r="DU87" s="299"/>
      <c r="DV87" s="299"/>
      <c r="DW87" s="299"/>
      <c r="DX87" s="299"/>
      <c r="DY87" s="299"/>
      <c r="DZ87" s="299"/>
    </row>
    <row r="88" spans="6:130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N88" s="206"/>
      <c r="BO88" s="206"/>
      <c r="BP88" s="206"/>
      <c r="BQ88" s="206"/>
      <c r="BR88" s="206"/>
      <c r="BS88" s="206"/>
      <c r="BT88" s="50"/>
      <c r="BU88" s="52"/>
      <c r="BV88" s="52"/>
      <c r="BW88" s="52"/>
      <c r="BX88" s="299"/>
      <c r="BY88" s="332"/>
      <c r="BZ88" s="332"/>
      <c r="CA88" s="332"/>
      <c r="CB88" s="332"/>
      <c r="CO88" s="397"/>
      <c r="CU88" s="401"/>
      <c r="CV88" s="206"/>
      <c r="CW88" s="206"/>
      <c r="CX88" s="206"/>
      <c r="DP88" s="332"/>
      <c r="DQ88" s="332"/>
      <c r="DR88" s="332"/>
      <c r="DS88" s="299"/>
      <c r="DT88" s="299"/>
      <c r="DU88" s="299"/>
      <c r="DV88" s="299"/>
      <c r="DW88" s="299"/>
      <c r="DX88" s="299"/>
      <c r="DY88" s="299"/>
      <c r="DZ88" s="299"/>
    </row>
    <row r="89" spans="6:130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N89" s="206"/>
      <c r="BO89" s="206"/>
      <c r="BP89" s="206"/>
      <c r="BQ89" s="206"/>
      <c r="BR89" s="206"/>
      <c r="BS89" s="206"/>
      <c r="BT89" s="50"/>
      <c r="BU89" s="52"/>
      <c r="BV89" s="52"/>
      <c r="BW89" s="52"/>
      <c r="BX89" s="299"/>
      <c r="BY89" s="332"/>
      <c r="BZ89" s="332"/>
      <c r="CA89" s="332"/>
      <c r="CB89" s="332"/>
      <c r="CO89" s="397"/>
      <c r="CU89" s="401"/>
      <c r="CV89" s="206"/>
      <c r="CW89" s="206"/>
      <c r="CX89" s="206"/>
      <c r="DP89" s="332"/>
      <c r="DQ89" s="332"/>
      <c r="DR89" s="332"/>
      <c r="DS89" s="299"/>
      <c r="DT89" s="299"/>
      <c r="DU89" s="299"/>
      <c r="DV89" s="299"/>
      <c r="DW89" s="299"/>
      <c r="DX89" s="299"/>
      <c r="DY89" s="299"/>
      <c r="DZ89" s="299"/>
    </row>
    <row r="90" spans="6:130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N90" s="206"/>
      <c r="BO90" s="206"/>
      <c r="BP90" s="206"/>
      <c r="BQ90" s="206"/>
      <c r="BR90" s="206"/>
      <c r="BS90" s="206"/>
      <c r="BT90" s="50"/>
      <c r="BU90" s="52"/>
      <c r="BV90" s="52"/>
      <c r="BW90" s="52"/>
      <c r="BX90" s="299"/>
      <c r="BY90" s="332"/>
      <c r="BZ90" s="332"/>
      <c r="CA90" s="332"/>
      <c r="CB90" s="332"/>
      <c r="CO90" s="397"/>
      <c r="CU90" s="401"/>
      <c r="CV90" s="206"/>
      <c r="CW90" s="206"/>
      <c r="CX90" s="206"/>
      <c r="DP90" s="332"/>
      <c r="DQ90" s="332"/>
      <c r="DR90" s="332"/>
      <c r="DS90" s="299"/>
      <c r="DT90" s="299"/>
      <c r="DU90" s="299"/>
      <c r="DV90" s="299"/>
      <c r="DW90" s="299"/>
      <c r="DX90" s="299"/>
      <c r="DY90" s="299"/>
      <c r="DZ90" s="299"/>
    </row>
    <row r="91" spans="6:130" x14ac:dyDescent="0.25">
      <c r="F91" s="75"/>
      <c r="G91" s="76"/>
      <c r="H91" s="76"/>
      <c r="I91" s="77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N91" s="206"/>
      <c r="BO91" s="206"/>
      <c r="BP91" s="206"/>
      <c r="BQ91" s="206"/>
      <c r="BR91" s="206"/>
      <c r="BS91" s="206"/>
      <c r="BT91" s="50"/>
      <c r="BU91" s="52"/>
      <c r="BV91" s="52"/>
      <c r="BW91" s="52"/>
      <c r="BX91" s="299"/>
      <c r="BY91" s="332"/>
      <c r="BZ91" s="332"/>
      <c r="CA91" s="332"/>
      <c r="CB91" s="332"/>
      <c r="CO91" s="397"/>
      <c r="CU91" s="401"/>
      <c r="CV91" s="206"/>
      <c r="CW91" s="206"/>
      <c r="CX91" s="206"/>
      <c r="DP91" s="332"/>
      <c r="DQ91" s="332"/>
      <c r="DR91" s="332"/>
      <c r="DS91" s="299"/>
      <c r="DT91" s="299"/>
      <c r="DU91" s="299"/>
      <c r="DV91" s="299"/>
      <c r="DW91" s="299"/>
      <c r="DX91" s="299"/>
      <c r="DY91" s="299"/>
      <c r="DZ91" s="299"/>
    </row>
    <row r="92" spans="6:130" x14ac:dyDescent="0.25"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N92" s="206"/>
      <c r="BO92" s="206"/>
      <c r="BP92" s="206"/>
      <c r="BQ92" s="206"/>
      <c r="BR92" s="206"/>
      <c r="BS92" s="206"/>
      <c r="BT92" s="50"/>
      <c r="BU92" s="52"/>
      <c r="BV92" s="52"/>
      <c r="BW92" s="52"/>
      <c r="BX92" s="299"/>
      <c r="CB92" s="332"/>
      <c r="CO92" s="397"/>
      <c r="CU92" s="401"/>
      <c r="CV92" s="206"/>
      <c r="CW92" s="206"/>
      <c r="CX92" s="206"/>
      <c r="DP92" s="299"/>
      <c r="DQ92" s="299"/>
      <c r="DR92" s="299"/>
      <c r="DS92" s="299"/>
      <c r="DT92" s="299"/>
      <c r="DU92" s="299"/>
      <c r="DV92" s="299"/>
      <c r="DW92" s="299"/>
      <c r="DX92" s="299"/>
      <c r="DY92" s="299"/>
      <c r="DZ92" s="299"/>
    </row>
    <row r="93" spans="6:130" x14ac:dyDescent="0.25"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N93" s="206"/>
      <c r="BO93" s="206"/>
      <c r="BP93" s="206"/>
      <c r="BQ93" s="206"/>
      <c r="BR93" s="206"/>
      <c r="BS93" s="206"/>
      <c r="BT93" s="50"/>
      <c r="BU93" s="52"/>
      <c r="BV93" s="52"/>
      <c r="BW93" s="52"/>
      <c r="BX93" s="299"/>
      <c r="CB93" s="299"/>
      <c r="CO93" s="397"/>
      <c r="CU93" s="401"/>
      <c r="CV93" s="206"/>
      <c r="CW93" s="206"/>
      <c r="CX93" s="206"/>
      <c r="DP93" s="299"/>
      <c r="DQ93" s="299"/>
      <c r="DR93" s="299"/>
      <c r="DS93" s="299"/>
      <c r="DT93" s="299"/>
      <c r="DU93" s="299"/>
      <c r="DV93" s="299"/>
      <c r="DW93" s="299"/>
      <c r="DX93" s="299"/>
      <c r="DY93" s="299"/>
      <c r="DZ93" s="299"/>
    </row>
    <row r="94" spans="6:130" x14ac:dyDescent="0.25"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N94" s="206"/>
      <c r="BO94" s="206"/>
      <c r="BP94" s="206"/>
      <c r="BQ94" s="206"/>
      <c r="BR94" s="206"/>
      <c r="BS94" s="206"/>
      <c r="BT94" s="50"/>
      <c r="BU94" s="52"/>
      <c r="BV94" s="52"/>
      <c r="BW94" s="52"/>
      <c r="BX94" s="299"/>
      <c r="CB94" s="299"/>
      <c r="CO94" s="397"/>
      <c r="CU94" s="401"/>
      <c r="CV94" s="206"/>
      <c r="CW94" s="206"/>
      <c r="CX94" s="206"/>
      <c r="DP94" s="299"/>
      <c r="DQ94" s="299"/>
      <c r="DR94" s="299"/>
      <c r="DS94" s="298"/>
      <c r="DT94" s="298"/>
      <c r="DU94" s="298"/>
      <c r="DV94" s="298"/>
      <c r="DW94" s="298"/>
      <c r="DX94" s="298"/>
      <c r="DY94" s="298"/>
      <c r="DZ94" s="298"/>
    </row>
    <row r="95" spans="6:130" x14ac:dyDescent="0.25"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N95" s="206"/>
      <c r="BO95" s="206"/>
      <c r="BP95" s="206"/>
      <c r="BQ95" s="206"/>
      <c r="BR95" s="206"/>
      <c r="BS95" s="206"/>
      <c r="BT95" s="50"/>
      <c r="BU95" s="52"/>
      <c r="BV95" s="52"/>
      <c r="BW95" s="52"/>
      <c r="BX95" s="299"/>
      <c r="CB95" s="299"/>
      <c r="CO95" s="397"/>
      <c r="CU95" s="401"/>
      <c r="CV95" s="206"/>
      <c r="CW95" s="206"/>
      <c r="CX95" s="206"/>
      <c r="DP95" s="299"/>
      <c r="DQ95" s="299"/>
      <c r="DR95" s="299"/>
      <c r="DS95" s="206"/>
      <c r="DT95" s="206"/>
      <c r="DU95" s="206"/>
      <c r="DV95" s="206"/>
      <c r="DW95" s="206"/>
      <c r="DX95" s="206"/>
      <c r="DY95" s="206"/>
      <c r="DZ95" s="206"/>
    </row>
    <row r="96" spans="6:130" x14ac:dyDescent="0.25"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N96" s="206"/>
      <c r="BO96" s="206"/>
      <c r="BP96" s="206"/>
      <c r="BQ96" s="206"/>
      <c r="BR96" s="206"/>
      <c r="BS96" s="206"/>
      <c r="BT96" s="50"/>
      <c r="BU96" s="52"/>
      <c r="BV96" s="52"/>
      <c r="BW96" s="52"/>
      <c r="BX96" s="299"/>
      <c r="CB96" s="299"/>
      <c r="CO96" s="397"/>
      <c r="CU96" s="401"/>
      <c r="CV96" s="206"/>
      <c r="CW96" s="206"/>
      <c r="CX96" s="206"/>
      <c r="DP96" s="299"/>
      <c r="DQ96" s="299"/>
      <c r="DR96" s="299"/>
      <c r="DS96" s="206"/>
      <c r="DT96" s="206"/>
      <c r="DU96" s="206"/>
      <c r="DV96" s="206"/>
      <c r="DW96" s="206"/>
      <c r="DX96" s="206"/>
      <c r="DY96" s="206"/>
      <c r="DZ96" s="206"/>
    </row>
    <row r="97" spans="28:122" x14ac:dyDescent="0.25"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N97" s="206"/>
      <c r="BO97" s="206"/>
      <c r="BP97" s="206"/>
      <c r="BQ97" s="206"/>
      <c r="BR97" s="206"/>
      <c r="BS97" s="206"/>
      <c r="BT97" s="50"/>
      <c r="BU97" s="52"/>
      <c r="BV97" s="52"/>
      <c r="BW97" s="52"/>
      <c r="BX97" s="299"/>
      <c r="CB97" s="299"/>
      <c r="CO97" s="397"/>
      <c r="DP97" s="299"/>
      <c r="DQ97" s="299"/>
      <c r="DR97" s="299"/>
    </row>
    <row r="98" spans="28:122" x14ac:dyDescent="0.25"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N98" s="206"/>
      <c r="BO98" s="206"/>
      <c r="BP98" s="206"/>
      <c r="BQ98" s="206"/>
      <c r="BR98" s="206"/>
      <c r="BS98" s="206"/>
      <c r="BT98" s="75"/>
      <c r="BU98" s="52"/>
      <c r="BV98" s="52"/>
      <c r="BW98" s="52"/>
      <c r="BX98" s="299"/>
      <c r="CB98" s="299"/>
      <c r="CO98" s="397"/>
      <c r="DP98" s="299"/>
      <c r="DQ98" s="299"/>
      <c r="DR98" s="299"/>
    </row>
    <row r="99" spans="28:122" x14ac:dyDescent="0.25">
      <c r="BN99" s="206"/>
      <c r="BO99" s="206"/>
      <c r="BP99" s="206"/>
      <c r="BQ99" s="206"/>
      <c r="BR99" s="206"/>
      <c r="BS99" s="206"/>
      <c r="BT99" s="206"/>
      <c r="BU99" s="298"/>
      <c r="BV99" s="298"/>
      <c r="BW99" s="298"/>
      <c r="BX99" s="299"/>
      <c r="CB99" s="299"/>
      <c r="CO99" s="397"/>
      <c r="CY99" s="206"/>
      <c r="CZ99" s="206"/>
      <c r="DA99" s="206"/>
      <c r="DB99" s="206"/>
      <c r="DC99" s="206"/>
      <c r="DD99" s="206"/>
      <c r="DE99" s="206"/>
      <c r="DP99" s="299"/>
      <c r="DQ99" s="299"/>
      <c r="DR99" s="299"/>
    </row>
    <row r="100" spans="28:122" x14ac:dyDescent="0.25">
      <c r="BN100" s="206"/>
      <c r="BO100" s="206"/>
      <c r="BP100" s="206"/>
      <c r="BQ100" s="206"/>
      <c r="BR100" s="206"/>
      <c r="BS100" s="206"/>
      <c r="BT100" s="206"/>
      <c r="BU100" s="206"/>
      <c r="BV100" s="206"/>
      <c r="BW100" s="206"/>
      <c r="CB100" s="299"/>
      <c r="CO100" s="397"/>
      <c r="CY100" s="206"/>
      <c r="CZ100" s="206"/>
      <c r="DA100" s="206"/>
      <c r="DB100" s="206"/>
      <c r="DC100" s="206"/>
      <c r="DD100" s="206"/>
      <c r="DE100" s="206"/>
      <c r="DP100" s="299"/>
      <c r="DQ100" s="299"/>
      <c r="DR100" s="299"/>
    </row>
    <row r="101" spans="28:122" x14ac:dyDescent="0.25">
      <c r="BN101" s="206"/>
      <c r="BO101" s="206"/>
      <c r="BP101" s="206"/>
      <c r="BQ101" s="206"/>
      <c r="BR101" s="206"/>
      <c r="BS101" s="206"/>
      <c r="BT101" s="206"/>
      <c r="BU101" s="206"/>
      <c r="BV101" s="206"/>
      <c r="BW101" s="206"/>
      <c r="CB101" s="299"/>
      <c r="CO101" s="397"/>
      <c r="CY101" s="206"/>
      <c r="CZ101" s="206"/>
      <c r="DA101" s="206"/>
      <c r="DB101" s="206"/>
      <c r="DC101" s="206"/>
      <c r="DD101" s="206"/>
      <c r="DE101" s="206"/>
      <c r="DP101" s="299"/>
      <c r="DQ101" s="299"/>
      <c r="DR101" s="299"/>
    </row>
    <row r="102" spans="28:122" x14ac:dyDescent="0.25">
      <c r="BN102" s="206"/>
      <c r="BO102" s="206"/>
      <c r="BP102" s="206"/>
      <c r="BQ102" s="206"/>
      <c r="BR102" s="206"/>
      <c r="BS102" s="206"/>
      <c r="BT102" s="206"/>
      <c r="BU102" s="206"/>
      <c r="BV102" s="206"/>
      <c r="BW102" s="206"/>
      <c r="CB102" s="299"/>
      <c r="CO102" s="397"/>
      <c r="CY102" s="206"/>
      <c r="CZ102" s="206"/>
      <c r="DA102" s="206"/>
      <c r="DB102" s="206"/>
      <c r="DC102" s="206"/>
      <c r="DD102" s="206"/>
      <c r="DE102" s="206"/>
      <c r="DP102" s="299"/>
      <c r="DQ102" s="299"/>
      <c r="DR102" s="299"/>
    </row>
    <row r="103" spans="28:122" x14ac:dyDescent="0.25">
      <c r="BN103" s="206"/>
      <c r="BO103" s="206"/>
      <c r="BP103" s="206"/>
      <c r="BQ103" s="206"/>
      <c r="BR103" s="206"/>
      <c r="BS103" s="206"/>
      <c r="BT103" s="206"/>
      <c r="BU103" s="206"/>
      <c r="BV103" s="206"/>
      <c r="BW103" s="206"/>
      <c r="CB103" s="299"/>
      <c r="CO103" s="397"/>
      <c r="CY103" s="206"/>
      <c r="CZ103" s="206"/>
      <c r="DA103" s="206"/>
      <c r="DB103" s="206"/>
      <c r="DC103" s="206"/>
      <c r="DD103" s="206"/>
      <c r="DE103" s="206"/>
      <c r="DP103" s="299"/>
      <c r="DQ103" s="299"/>
      <c r="DR103" s="299"/>
    </row>
    <row r="104" spans="28:122" x14ac:dyDescent="0.25">
      <c r="BN104" s="206"/>
      <c r="BO104" s="206"/>
      <c r="BP104" s="206"/>
      <c r="BQ104" s="206"/>
      <c r="BR104" s="206"/>
      <c r="BS104" s="206"/>
      <c r="BT104" s="206"/>
      <c r="BU104" s="206"/>
      <c r="BV104" s="206"/>
      <c r="BW104" s="206"/>
      <c r="CB104" s="299"/>
      <c r="CO104" s="397"/>
      <c r="CY104" s="206"/>
      <c r="CZ104" s="206"/>
      <c r="DA104" s="206"/>
      <c r="DB104" s="206"/>
      <c r="DC104" s="206"/>
      <c r="DD104" s="206"/>
      <c r="DE104" s="206"/>
      <c r="DP104" s="299"/>
      <c r="DQ104" s="299"/>
      <c r="DR104" s="299"/>
    </row>
    <row r="105" spans="28:122" x14ac:dyDescent="0.25">
      <c r="BN105" s="206"/>
      <c r="BO105" s="206"/>
      <c r="BP105" s="206"/>
      <c r="BQ105" s="206"/>
      <c r="BR105" s="206"/>
      <c r="BS105" s="206"/>
      <c r="BT105" s="206"/>
      <c r="BU105" s="206"/>
      <c r="BV105" s="206"/>
      <c r="BW105" s="206"/>
      <c r="CB105" s="299"/>
      <c r="CO105" s="397"/>
      <c r="CY105" s="206"/>
      <c r="CZ105" s="206"/>
      <c r="DA105" s="206"/>
      <c r="DB105" s="206"/>
      <c r="DC105" s="206"/>
      <c r="DD105" s="206"/>
      <c r="DE105" s="206"/>
      <c r="DP105" s="299"/>
      <c r="DQ105" s="299"/>
      <c r="DR105" s="299"/>
    </row>
    <row r="106" spans="28:122" x14ac:dyDescent="0.25">
      <c r="BN106" s="502"/>
      <c r="BO106" s="501"/>
      <c r="BP106" s="206"/>
      <c r="BQ106" s="206"/>
      <c r="BR106" s="206"/>
      <c r="BS106" s="206"/>
      <c r="BT106" s="206"/>
      <c r="BU106" s="206"/>
      <c r="BV106" s="206"/>
      <c r="BW106" s="206"/>
      <c r="CB106" s="299"/>
      <c r="CO106" s="397"/>
      <c r="CY106" s="206"/>
      <c r="CZ106" s="206"/>
      <c r="DA106" s="206"/>
      <c r="DB106" s="206"/>
      <c r="DC106" s="206"/>
      <c r="DD106" s="206"/>
      <c r="DE106" s="206"/>
      <c r="DP106" s="299"/>
      <c r="DQ106" s="299"/>
      <c r="DR106" s="299"/>
    </row>
    <row r="107" spans="28:122" x14ac:dyDescent="0.25">
      <c r="BN107" s="206"/>
      <c r="BO107" s="501"/>
      <c r="BP107" s="206"/>
      <c r="BQ107" s="206"/>
      <c r="BR107" s="206"/>
      <c r="BS107" s="206"/>
      <c r="BT107" s="206"/>
      <c r="BU107" s="206"/>
      <c r="BV107" s="206"/>
      <c r="BW107" s="206"/>
      <c r="CB107" s="299"/>
      <c r="CO107" s="397"/>
      <c r="CY107" s="206"/>
      <c r="CZ107" s="206"/>
      <c r="DA107" s="206"/>
      <c r="DB107" s="206"/>
      <c r="DC107" s="206"/>
      <c r="DD107" s="206"/>
      <c r="DE107" s="206"/>
      <c r="DP107" s="299"/>
      <c r="DQ107" s="299"/>
      <c r="DR107" s="299"/>
    </row>
    <row r="108" spans="28:122" x14ac:dyDescent="0.25">
      <c r="BN108" s="206"/>
      <c r="BO108" s="501"/>
      <c r="BP108" s="206"/>
      <c r="BQ108" s="206"/>
      <c r="BR108" s="206"/>
      <c r="BS108" s="206"/>
      <c r="BT108" s="206"/>
      <c r="BU108" s="206"/>
      <c r="BV108" s="206"/>
      <c r="BW108" s="206"/>
      <c r="CB108" s="299"/>
      <c r="CO108" s="397"/>
      <c r="CY108" s="206"/>
      <c r="CZ108" s="206"/>
      <c r="DA108" s="206"/>
      <c r="DB108" s="206"/>
      <c r="DC108" s="206"/>
      <c r="DD108" s="206"/>
      <c r="DE108" s="206"/>
      <c r="DP108" s="299"/>
      <c r="DQ108" s="299"/>
      <c r="DR108" s="299"/>
    </row>
    <row r="109" spans="28:122" x14ac:dyDescent="0.25">
      <c r="BN109" s="206"/>
      <c r="BO109" s="206"/>
      <c r="BP109" s="206"/>
      <c r="BQ109" s="206"/>
      <c r="BR109" s="206"/>
      <c r="BS109" s="206"/>
      <c r="BT109" s="206"/>
      <c r="BU109" s="206"/>
      <c r="BV109" s="206"/>
      <c r="BW109" s="206"/>
      <c r="CB109" s="299"/>
      <c r="CO109" s="397"/>
      <c r="CY109" s="206"/>
      <c r="CZ109" s="206"/>
      <c r="DA109" s="206"/>
      <c r="DB109" s="206"/>
      <c r="DC109" s="206"/>
      <c r="DD109" s="206"/>
      <c r="DE109" s="206"/>
      <c r="DP109" s="299"/>
      <c r="DQ109" s="299"/>
      <c r="DR109" s="299"/>
    </row>
    <row r="110" spans="28:122" x14ac:dyDescent="0.25">
      <c r="BN110" s="206"/>
      <c r="BO110" s="206"/>
      <c r="BP110" s="206"/>
      <c r="BQ110" s="206"/>
      <c r="BR110" s="206"/>
      <c r="BS110" s="206"/>
      <c r="BT110" s="206"/>
      <c r="BU110" s="206"/>
      <c r="BV110" s="206"/>
      <c r="BW110" s="206"/>
      <c r="CB110" s="299"/>
      <c r="CO110" s="397"/>
      <c r="CY110" s="206"/>
      <c r="CZ110" s="206"/>
      <c r="DA110" s="206"/>
      <c r="DB110" s="206"/>
      <c r="DC110" s="206"/>
      <c r="DD110" s="206"/>
      <c r="DE110" s="206"/>
      <c r="DP110" s="299"/>
      <c r="DQ110" s="299"/>
      <c r="DR110" s="299"/>
    </row>
    <row r="111" spans="28:122" x14ac:dyDescent="0.25">
      <c r="BN111" s="206"/>
      <c r="BO111" s="206"/>
      <c r="BP111" s="206"/>
      <c r="BQ111" s="206"/>
      <c r="BR111" s="206"/>
      <c r="BS111" s="206"/>
      <c r="BT111" s="206"/>
      <c r="BU111" s="206"/>
      <c r="BV111" s="206"/>
      <c r="BW111" s="206"/>
      <c r="CB111" s="299"/>
      <c r="CO111" s="397"/>
      <c r="CY111" s="206"/>
      <c r="CZ111" s="206"/>
      <c r="DA111" s="206"/>
      <c r="DB111" s="206"/>
      <c r="DC111" s="206"/>
      <c r="DD111" s="206"/>
      <c r="DE111" s="206"/>
      <c r="DP111" s="299"/>
      <c r="DQ111" s="299"/>
      <c r="DR111" s="299"/>
    </row>
    <row r="112" spans="28:122" x14ac:dyDescent="0.25">
      <c r="BN112" s="206"/>
      <c r="BO112" s="206"/>
      <c r="BP112" s="206"/>
      <c r="BQ112" s="206"/>
      <c r="BR112" s="206"/>
      <c r="BS112" s="206"/>
      <c r="BT112" s="206"/>
      <c r="BU112" s="206"/>
      <c r="BV112" s="206"/>
      <c r="BW112" s="206"/>
      <c r="CB112" s="299"/>
      <c r="CO112" s="397"/>
      <c r="CY112" s="206"/>
      <c r="CZ112" s="206"/>
      <c r="DA112" s="206"/>
      <c r="DB112" s="206"/>
      <c r="DC112" s="206"/>
      <c r="DD112" s="206"/>
      <c r="DE112" s="206"/>
      <c r="DP112" s="299"/>
      <c r="DQ112" s="299"/>
      <c r="DR112" s="299"/>
    </row>
    <row r="113" spans="66:122" x14ac:dyDescent="0.25">
      <c r="BN113" s="206"/>
      <c r="BO113" s="206"/>
      <c r="BP113" s="206"/>
      <c r="BQ113" s="206"/>
      <c r="BR113" s="206"/>
      <c r="BS113" s="206"/>
      <c r="BT113" s="206"/>
      <c r="BU113" s="206"/>
      <c r="BV113" s="206"/>
      <c r="BW113" s="206"/>
      <c r="CB113" s="299"/>
      <c r="CO113" s="397"/>
      <c r="CY113" s="206"/>
      <c r="CZ113" s="206"/>
      <c r="DA113" s="206"/>
      <c r="DB113" s="206"/>
      <c r="DC113" s="206"/>
      <c r="DD113" s="206"/>
      <c r="DE113" s="206"/>
      <c r="DP113" s="299"/>
      <c r="DQ113" s="299"/>
      <c r="DR113" s="299"/>
    </row>
    <row r="114" spans="66:122" x14ac:dyDescent="0.25">
      <c r="BN114" s="206"/>
      <c r="BO114" s="206"/>
      <c r="BP114" s="206"/>
      <c r="BQ114" s="206"/>
      <c r="BR114" s="206"/>
      <c r="BS114" s="206"/>
      <c r="BT114" s="206"/>
      <c r="BU114" s="206"/>
      <c r="BV114" s="206"/>
      <c r="BW114" s="206"/>
      <c r="CB114" s="299"/>
      <c r="CO114" s="397"/>
      <c r="CY114" s="206"/>
      <c r="CZ114" s="206"/>
      <c r="DA114" s="206"/>
      <c r="DB114" s="206"/>
      <c r="DC114" s="206"/>
      <c r="DD114" s="206"/>
      <c r="DE114" s="206"/>
      <c r="DP114" s="299"/>
      <c r="DQ114" s="299"/>
      <c r="DR114" s="299"/>
    </row>
    <row r="115" spans="66:122" x14ac:dyDescent="0.25">
      <c r="BN115" s="206"/>
      <c r="BO115" s="206"/>
      <c r="BP115" s="206"/>
      <c r="BQ115" s="206"/>
      <c r="BR115" s="206"/>
      <c r="BS115" s="206"/>
      <c r="BT115" s="206"/>
      <c r="BU115" s="206"/>
      <c r="BV115" s="206"/>
      <c r="BW115" s="206"/>
      <c r="CB115" s="299"/>
      <c r="CO115" s="397"/>
      <c r="CY115" s="206"/>
      <c r="CZ115" s="206"/>
      <c r="DA115" s="206"/>
      <c r="DB115" s="206"/>
      <c r="DC115" s="206"/>
      <c r="DD115" s="206"/>
      <c r="DE115" s="206"/>
      <c r="DP115" s="299"/>
      <c r="DQ115" s="299"/>
      <c r="DR115" s="299"/>
    </row>
    <row r="116" spans="66:122" x14ac:dyDescent="0.25">
      <c r="BN116" s="206"/>
      <c r="BO116" s="206"/>
      <c r="BP116" s="206"/>
      <c r="BQ116" s="206"/>
      <c r="BR116" s="206"/>
      <c r="BS116" s="206"/>
      <c r="BT116" s="206"/>
      <c r="BU116" s="206"/>
      <c r="BV116" s="206"/>
      <c r="BW116" s="206"/>
      <c r="CB116" s="299"/>
      <c r="CO116" s="397"/>
      <c r="CY116" s="206"/>
      <c r="CZ116" s="206"/>
      <c r="DA116" s="206"/>
      <c r="DB116" s="206"/>
      <c r="DC116" s="206"/>
      <c r="DD116" s="206"/>
      <c r="DE116" s="206"/>
      <c r="DP116" s="299"/>
      <c r="DQ116" s="299"/>
      <c r="DR116" s="299"/>
    </row>
    <row r="117" spans="66:122" x14ac:dyDescent="0.25">
      <c r="BN117" s="206"/>
      <c r="BO117" s="206"/>
      <c r="BP117" s="206"/>
      <c r="BQ117" s="206"/>
      <c r="BR117" s="206"/>
      <c r="BS117" s="206"/>
      <c r="BT117" s="206"/>
      <c r="BU117" s="206"/>
      <c r="BV117" s="206"/>
      <c r="BW117" s="206"/>
      <c r="CB117" s="299"/>
      <c r="CO117" s="397"/>
      <c r="CY117" s="206"/>
      <c r="CZ117" s="206"/>
      <c r="DA117" s="206"/>
      <c r="DB117" s="206"/>
      <c r="DC117" s="206"/>
      <c r="DD117" s="206"/>
      <c r="DE117" s="206"/>
      <c r="DP117" s="299"/>
      <c r="DQ117" s="299"/>
      <c r="DR117" s="299"/>
    </row>
    <row r="118" spans="66:122" x14ac:dyDescent="0.25">
      <c r="BN118" s="206"/>
      <c r="BO118" s="206"/>
      <c r="BP118" s="206"/>
      <c r="BQ118" s="206"/>
      <c r="BR118" s="206"/>
      <c r="BS118" s="206"/>
      <c r="BT118" s="206"/>
      <c r="BU118" s="206"/>
      <c r="BV118" s="206"/>
      <c r="BW118" s="206"/>
      <c r="CB118" s="299"/>
      <c r="CO118" s="397"/>
      <c r="CY118" s="206"/>
      <c r="CZ118" s="206"/>
      <c r="DA118" s="206"/>
      <c r="DB118" s="206"/>
      <c r="DC118" s="206"/>
      <c r="DD118" s="206"/>
      <c r="DE118" s="206"/>
      <c r="DP118" s="299"/>
      <c r="DQ118" s="299"/>
      <c r="DR118" s="299"/>
    </row>
    <row r="119" spans="66:122" x14ac:dyDescent="0.25">
      <c r="BN119" s="206"/>
      <c r="BO119" s="206"/>
      <c r="BP119" s="206"/>
      <c r="BQ119" s="206"/>
      <c r="BR119" s="206"/>
      <c r="BS119" s="206"/>
      <c r="BT119" s="206"/>
      <c r="BU119" s="206"/>
      <c r="BV119" s="206"/>
      <c r="BW119" s="206"/>
      <c r="CB119" s="299"/>
      <c r="CO119" s="397"/>
      <c r="CY119" s="206"/>
      <c r="CZ119" s="206"/>
      <c r="DA119" s="206"/>
      <c r="DB119" s="206"/>
      <c r="DC119" s="206"/>
      <c r="DD119" s="206"/>
      <c r="DE119" s="206"/>
      <c r="DP119" s="299"/>
      <c r="DQ119" s="299"/>
      <c r="DR119" s="299"/>
    </row>
    <row r="120" spans="66:122" x14ac:dyDescent="0.25">
      <c r="BN120" s="206"/>
      <c r="BO120" s="206"/>
      <c r="BP120" s="206"/>
      <c r="BQ120" s="206"/>
      <c r="BR120" s="206"/>
      <c r="BS120" s="206"/>
      <c r="BT120" s="206"/>
      <c r="BU120" s="206"/>
      <c r="BV120" s="206"/>
      <c r="BW120" s="206"/>
      <c r="CB120" s="299"/>
      <c r="CO120" s="397"/>
      <c r="CY120" s="206"/>
      <c r="CZ120" s="206"/>
      <c r="DA120" s="206"/>
      <c r="DB120" s="206"/>
      <c r="DC120" s="206"/>
      <c r="DD120" s="206"/>
      <c r="DE120" s="206"/>
      <c r="DP120" s="299"/>
      <c r="DQ120" s="299"/>
      <c r="DR120" s="299"/>
    </row>
    <row r="121" spans="66:122" x14ac:dyDescent="0.25">
      <c r="BN121" s="206"/>
      <c r="BO121" s="206"/>
      <c r="BP121" s="206"/>
      <c r="BQ121" s="206"/>
      <c r="BR121" s="206"/>
      <c r="BS121" s="206"/>
      <c r="BT121" s="206"/>
      <c r="BU121" s="206"/>
      <c r="BV121" s="206"/>
      <c r="BW121" s="206"/>
      <c r="CB121" s="299"/>
      <c r="CO121" s="397"/>
      <c r="CY121" s="206"/>
      <c r="CZ121" s="206"/>
      <c r="DA121" s="206"/>
      <c r="DB121" s="206"/>
      <c r="DC121" s="206"/>
      <c r="DD121" s="206"/>
      <c r="DE121" s="206"/>
      <c r="DP121" s="299"/>
      <c r="DQ121" s="299"/>
      <c r="DR121" s="299"/>
    </row>
    <row r="122" spans="66:122" x14ac:dyDescent="0.25">
      <c r="BN122" s="206"/>
      <c r="BO122" s="206"/>
      <c r="BP122" s="206"/>
      <c r="BQ122" s="206"/>
      <c r="BR122" s="206"/>
      <c r="BS122" s="206"/>
      <c r="BT122" s="206"/>
      <c r="BU122" s="206"/>
      <c r="BV122" s="206"/>
      <c r="BW122" s="206"/>
      <c r="CB122" s="299"/>
      <c r="CO122" s="397"/>
      <c r="CY122" s="206"/>
      <c r="CZ122" s="206"/>
      <c r="DA122" s="206"/>
      <c r="DB122" s="206"/>
      <c r="DC122" s="206"/>
      <c r="DD122" s="206"/>
      <c r="DE122" s="206"/>
      <c r="DP122" s="299"/>
      <c r="DQ122" s="299"/>
      <c r="DR122" s="299"/>
    </row>
    <row r="123" spans="66:122" x14ac:dyDescent="0.25">
      <c r="BN123" s="206"/>
      <c r="BO123" s="206"/>
      <c r="BP123" s="206"/>
      <c r="BQ123" s="206"/>
      <c r="BR123" s="206"/>
      <c r="BS123" s="206"/>
      <c r="BT123" s="206"/>
      <c r="BU123" s="206"/>
      <c r="BV123" s="206"/>
      <c r="BW123" s="206"/>
      <c r="CB123" s="299"/>
      <c r="CO123" s="397"/>
      <c r="CY123" s="206"/>
      <c r="CZ123" s="206"/>
      <c r="DA123" s="206"/>
      <c r="DB123" s="206"/>
      <c r="DC123" s="206"/>
      <c r="DD123" s="206"/>
      <c r="DE123" s="206"/>
      <c r="DP123" s="299"/>
      <c r="DQ123" s="299"/>
      <c r="DR123" s="299"/>
    </row>
    <row r="124" spans="66:122" x14ac:dyDescent="0.25">
      <c r="BN124" s="206"/>
      <c r="BO124" s="206"/>
      <c r="BP124" s="206"/>
      <c r="BQ124" s="206"/>
      <c r="BR124" s="206"/>
      <c r="BS124" s="206"/>
      <c r="BT124" s="206"/>
      <c r="BU124" s="206"/>
      <c r="BV124" s="206"/>
      <c r="BW124" s="206"/>
      <c r="CB124" s="299"/>
      <c r="CO124" s="397"/>
      <c r="CY124" s="206"/>
      <c r="CZ124" s="206"/>
      <c r="DA124" s="206"/>
      <c r="DB124" s="206"/>
      <c r="DC124" s="206"/>
      <c r="DD124" s="206"/>
      <c r="DE124" s="206"/>
      <c r="DP124" s="299"/>
      <c r="DQ124" s="299"/>
      <c r="DR124" s="299"/>
    </row>
    <row r="125" spans="66:122" x14ac:dyDescent="0.25">
      <c r="BN125" s="206"/>
      <c r="BO125" s="206"/>
      <c r="BP125" s="206"/>
      <c r="BQ125" s="206"/>
      <c r="BR125" s="206"/>
      <c r="BS125" s="206"/>
      <c r="BT125" s="206"/>
      <c r="BU125" s="206"/>
      <c r="BV125" s="206"/>
      <c r="BW125" s="206"/>
      <c r="CB125" s="299"/>
      <c r="CO125" s="397"/>
      <c r="CY125" s="206"/>
      <c r="CZ125" s="206"/>
      <c r="DA125" s="206"/>
      <c r="DB125" s="206"/>
      <c r="DC125" s="206"/>
      <c r="DD125" s="206"/>
      <c r="DE125" s="206"/>
      <c r="DP125" s="298"/>
      <c r="DQ125" s="298"/>
      <c r="DR125" s="298"/>
    </row>
    <row r="126" spans="66:122" x14ac:dyDescent="0.25">
      <c r="BN126" s="206"/>
      <c r="BO126" s="206"/>
      <c r="BP126" s="206"/>
      <c r="BQ126" s="206"/>
      <c r="BR126" s="206"/>
      <c r="BS126" s="206"/>
      <c r="BT126" s="206"/>
      <c r="BU126" s="206"/>
      <c r="BV126" s="206"/>
      <c r="BW126" s="206"/>
      <c r="CB126" s="298"/>
      <c r="CO126" s="397"/>
      <c r="CY126" s="206"/>
      <c r="CZ126" s="206"/>
      <c r="DA126" s="206"/>
      <c r="DB126" s="206"/>
      <c r="DC126" s="206"/>
      <c r="DD126" s="206"/>
      <c r="DE126" s="206"/>
      <c r="DP126" s="206"/>
      <c r="DQ126" s="206"/>
      <c r="DR126" s="206"/>
    </row>
    <row r="127" spans="66:122" x14ac:dyDescent="0.25">
      <c r="BN127" s="206"/>
      <c r="BO127" s="206"/>
      <c r="BP127" s="206"/>
      <c r="BQ127" s="206"/>
      <c r="BR127" s="206"/>
      <c r="BS127" s="206"/>
      <c r="BT127" s="206"/>
      <c r="BU127" s="206"/>
      <c r="BV127" s="206"/>
      <c r="BW127" s="206"/>
      <c r="CB127" s="206"/>
      <c r="CO127" s="397"/>
      <c r="CY127" s="206"/>
      <c r="CZ127" s="206"/>
      <c r="DA127" s="206"/>
      <c r="DB127" s="206"/>
      <c r="DC127" s="206"/>
      <c r="DD127" s="206"/>
      <c r="DE127" s="206"/>
      <c r="DP127" s="206"/>
      <c r="DQ127" s="206"/>
      <c r="DR127" s="206"/>
    </row>
    <row r="128" spans="66:122" x14ac:dyDescent="0.25">
      <c r="BN128" s="206"/>
      <c r="BO128" s="206"/>
      <c r="BP128" s="206"/>
      <c r="BQ128" s="206"/>
      <c r="BR128" s="206"/>
      <c r="BS128" s="206"/>
      <c r="CB128" s="206"/>
      <c r="CO128" s="397"/>
    </row>
    <row r="129" spans="66:71" x14ac:dyDescent="0.25">
      <c r="BN129" s="206"/>
      <c r="BO129" s="206"/>
      <c r="BP129" s="206"/>
      <c r="BQ129" s="206"/>
      <c r="BR129" s="206"/>
      <c r="BS129" s="206"/>
    </row>
    <row r="130" spans="66:71" x14ac:dyDescent="0.25">
      <c r="BN130" s="206"/>
      <c r="BO130" s="206"/>
      <c r="BP130" s="206"/>
      <c r="BQ130" s="206"/>
      <c r="BR130" s="206"/>
      <c r="BS130" s="206"/>
    </row>
    <row r="131" spans="66:71" x14ac:dyDescent="0.25">
      <c r="BN131" s="206"/>
      <c r="BO131" s="206"/>
      <c r="BP131" s="206"/>
      <c r="BQ131" s="206"/>
      <c r="BR131" s="206"/>
      <c r="BS131" s="206"/>
    </row>
    <row r="132" spans="66:71" x14ac:dyDescent="0.25">
      <c r="BN132" s="206"/>
      <c r="BO132" s="206"/>
      <c r="BP132" s="206"/>
      <c r="BQ132" s="206"/>
      <c r="BR132" s="206"/>
      <c r="BS132" s="206"/>
    </row>
    <row r="133" spans="66:71" x14ac:dyDescent="0.25">
      <c r="BN133" s="206"/>
      <c r="BO133" s="206"/>
      <c r="BP133" s="206"/>
      <c r="BQ133" s="206"/>
      <c r="BR133" s="206"/>
      <c r="BS133" s="206"/>
    </row>
    <row r="134" spans="66:71" x14ac:dyDescent="0.25">
      <c r="BN134" s="206"/>
      <c r="BO134" s="206"/>
      <c r="BP134" s="206"/>
      <c r="BQ134" s="206"/>
      <c r="BR134" s="206"/>
      <c r="BS134" s="206"/>
    </row>
    <row r="135" spans="66:71" x14ac:dyDescent="0.25">
      <c r="BN135" s="206"/>
      <c r="BO135" s="206"/>
      <c r="BP135" s="206"/>
      <c r="BQ135" s="206"/>
      <c r="BR135" s="206"/>
      <c r="BS135" s="206"/>
    </row>
    <row r="136" spans="66:71" x14ac:dyDescent="0.25">
      <c r="BN136" s="206"/>
      <c r="BO136" s="206"/>
      <c r="BP136" s="206"/>
      <c r="BQ136" s="206"/>
      <c r="BR136" s="206"/>
      <c r="BS136" s="206"/>
    </row>
    <row r="137" spans="66:71" x14ac:dyDescent="0.25">
      <c r="BN137" s="206"/>
      <c r="BO137" s="206"/>
      <c r="BP137" s="206"/>
      <c r="BQ137" s="206"/>
      <c r="BR137" s="206"/>
      <c r="BS137" s="206"/>
    </row>
    <row r="138" spans="66:71" x14ac:dyDescent="0.25">
      <c r="BN138" s="206"/>
      <c r="BO138" s="206"/>
      <c r="BP138" s="206"/>
      <c r="BQ138" s="206"/>
      <c r="BR138" s="206"/>
      <c r="BS138" s="206"/>
    </row>
    <row r="139" spans="66:71" x14ac:dyDescent="0.25">
      <c r="BN139" s="206"/>
      <c r="BO139" s="206"/>
      <c r="BP139" s="206"/>
      <c r="BQ139" s="206"/>
      <c r="BR139" s="206"/>
      <c r="BS139" s="206"/>
    </row>
    <row r="140" spans="66:71" x14ac:dyDescent="0.25">
      <c r="BN140" s="206"/>
      <c r="BO140" s="206"/>
      <c r="BP140" s="206"/>
      <c r="BQ140" s="206"/>
      <c r="BR140" s="206"/>
      <c r="BS140" s="206"/>
    </row>
    <row r="141" spans="66:71" x14ac:dyDescent="0.25">
      <c r="BN141" s="206"/>
      <c r="BO141" s="206"/>
      <c r="BP141" s="206"/>
      <c r="BQ141" s="206"/>
      <c r="BR141" s="206"/>
      <c r="BS141" s="206"/>
    </row>
    <row r="142" spans="66:71" x14ac:dyDescent="0.25">
      <c r="BN142" s="206"/>
      <c r="BO142" s="206"/>
      <c r="BP142" s="206"/>
      <c r="BQ142" s="206"/>
      <c r="BR142" s="206"/>
      <c r="BS142" s="206"/>
    </row>
    <row r="143" spans="66:71" x14ac:dyDescent="0.25">
      <c r="BN143" s="206"/>
      <c r="BO143" s="206"/>
      <c r="BP143" s="206"/>
      <c r="BQ143" s="206"/>
      <c r="BR143" s="206"/>
      <c r="BS143" s="206"/>
    </row>
    <row r="144" spans="66:71" x14ac:dyDescent="0.25">
      <c r="BN144" s="206"/>
      <c r="BO144" s="206"/>
      <c r="BP144" s="206"/>
      <c r="BQ144" s="206"/>
      <c r="BR144" s="206"/>
      <c r="BS144" s="206"/>
    </row>
    <row r="145" spans="66:71" x14ac:dyDescent="0.25">
      <c r="BN145" s="206"/>
      <c r="BO145" s="206"/>
      <c r="BP145" s="206"/>
      <c r="BQ145" s="206"/>
      <c r="BR145" s="206"/>
      <c r="BS145" s="206"/>
    </row>
    <row r="146" spans="66:71" x14ac:dyDescent="0.25">
      <c r="BN146" s="206"/>
      <c r="BO146" s="206"/>
      <c r="BP146" s="206"/>
      <c r="BQ146" s="206"/>
      <c r="BR146" s="206"/>
      <c r="BS146" s="206"/>
    </row>
    <row r="147" spans="66:71" x14ac:dyDescent="0.25">
      <c r="BN147" s="206"/>
      <c r="BO147" s="206"/>
      <c r="BP147" s="206"/>
      <c r="BQ147" s="206"/>
      <c r="BR147" s="206"/>
      <c r="BS147" s="206"/>
    </row>
    <row r="148" spans="66:71" x14ac:dyDescent="0.25">
      <c r="BN148" s="206"/>
      <c r="BO148" s="206"/>
      <c r="BP148" s="206"/>
      <c r="BQ148" s="206"/>
      <c r="BR148" s="206"/>
      <c r="BS148" s="206"/>
    </row>
    <row r="149" spans="66:71" x14ac:dyDescent="0.25">
      <c r="BN149" s="206"/>
      <c r="BO149" s="206"/>
      <c r="BP149" s="206"/>
      <c r="BQ149" s="206"/>
      <c r="BR149" s="206"/>
      <c r="BS149" s="206"/>
    </row>
    <row r="150" spans="66:71" x14ac:dyDescent="0.25">
      <c r="BN150" s="206"/>
      <c r="BO150" s="206"/>
      <c r="BP150" s="206"/>
      <c r="BQ150" s="206"/>
      <c r="BR150" s="206"/>
      <c r="BS150" s="206"/>
    </row>
    <row r="151" spans="66:71" x14ac:dyDescent="0.25">
      <c r="BN151" s="206"/>
      <c r="BO151" s="206"/>
      <c r="BP151" s="206"/>
      <c r="BQ151" s="206"/>
      <c r="BR151" s="206"/>
      <c r="BS151" s="206"/>
    </row>
    <row r="152" spans="66:71" x14ac:dyDescent="0.25">
      <c r="BN152" s="206"/>
      <c r="BO152" s="206"/>
      <c r="BP152" s="206"/>
      <c r="BQ152" s="206"/>
      <c r="BR152" s="206"/>
      <c r="BS152" s="206"/>
    </row>
    <row r="153" spans="66:71" x14ac:dyDescent="0.25">
      <c r="BN153" s="206"/>
      <c r="BO153" s="206"/>
      <c r="BP153" s="206"/>
      <c r="BQ153" s="206"/>
      <c r="BR153" s="206"/>
      <c r="BS153" s="206"/>
    </row>
    <row r="154" spans="66:71" x14ac:dyDescent="0.25">
      <c r="BN154" s="206"/>
      <c r="BO154" s="206"/>
      <c r="BP154" s="206"/>
      <c r="BQ154" s="206"/>
      <c r="BR154" s="206"/>
      <c r="BS154" s="206"/>
    </row>
    <row r="155" spans="66:71" x14ac:dyDescent="0.25">
      <c r="BN155" s="206"/>
      <c r="BO155" s="206"/>
      <c r="BP155" s="206"/>
      <c r="BQ155" s="206"/>
      <c r="BR155" s="206"/>
      <c r="BS155" s="206"/>
    </row>
  </sheetData>
  <dataValidations disablePrompts="1" count="3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O106">
      <formula1>"FXSPOTS,FXFWDS,XCCYSWAPS"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CY149"/>
  <sheetViews>
    <sheetView showGridLines="0" zoomScale="70" zoomScaleNormal="70" workbookViewId="0"/>
  </sheetViews>
  <sheetFormatPr defaultRowHeight="15" outlineLevelCol="2" x14ac:dyDescent="0.25"/>
  <cols>
    <col min="1" max="2" width="9.140625" customWidth="1"/>
    <col min="6" max="6" width="9.140625" hidden="1" customWidth="1" outlineLevel="2"/>
    <col min="7" max="7" width="30.7109375" hidden="1" customWidth="1" outlineLevel="2"/>
    <col min="8" max="8" width="40.7109375" hidden="1" customWidth="1" outlineLevel="2"/>
    <col min="9" max="9" width="9.140625" hidden="1" customWidth="1" outlineLevel="2"/>
    <col min="10" max="10" width="9.140625" customWidth="1" collapsed="1"/>
    <col min="11" max="11" width="18.140625" customWidth="1"/>
    <col min="12" max="12" width="46.140625" bestFit="1" customWidth="1"/>
    <col min="13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16.7109375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14.57031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6" hidden="1" customWidth="1" outlineLevel="2"/>
    <col min="45" max="48" width="9.140625" hidden="1" customWidth="1" outlineLevel="2"/>
    <col min="49" max="49" width="9.140625" collapsed="1"/>
    <col min="50" max="50" width="9.140625" customWidth="1" outlineLevel="1"/>
    <col min="51" max="51" width="30.7109375" customWidth="1" outlineLevel="1"/>
    <col min="52" max="52" width="40.7109375" customWidth="1" outlineLevel="1"/>
    <col min="53" max="54" width="9.140625" customWidth="1" outlineLevel="1"/>
    <col min="55" max="55" width="14.28515625" customWidth="1" outlineLevel="1"/>
    <col min="56" max="59" width="10.7109375" customWidth="1" outlineLevel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25.7109375" bestFit="1" customWidth="1"/>
    <col min="67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25.42578125" bestFit="1" customWidth="1"/>
    <col min="79" max="79" width="9.28515625" bestFit="1" customWidth="1"/>
    <col min="80" max="80" width="9.140625" customWidth="1"/>
    <col min="81" max="81" width="22.28515625" customWidth="1" outlineLevel="1"/>
    <col min="82" max="82" width="20.7109375" customWidth="1" outlineLevel="1"/>
    <col min="83" max="83" width="38.28515625" customWidth="1" outlineLevel="1"/>
    <col min="84" max="84" width="12.85546875" customWidth="1" outlineLevel="1"/>
    <col min="85" max="85" width="9.85546875" customWidth="1" outlineLevel="1"/>
    <col min="86" max="86" width="11.28515625" customWidth="1" outlineLevel="1"/>
    <col min="87" max="87" width="20.7109375" customWidth="1" outlineLevel="1"/>
    <col min="88" max="88" width="29.7109375" customWidth="1" outlineLevel="1"/>
    <col min="89" max="89" width="20.7109375" customWidth="1" outlineLevel="1"/>
    <col min="90" max="90" width="9.140625" customWidth="1" outlineLevel="1"/>
    <col min="91" max="91" width="20.7109375" customWidth="1" outlineLevel="1"/>
    <col min="92" max="92" width="20.7109375" customWidth="1"/>
    <col min="93" max="93" width="13.28515625" customWidth="1"/>
  </cols>
  <sheetData>
    <row r="1" spans="1:97" x14ac:dyDescent="0.25">
      <c r="A1" t="s">
        <v>96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M1" s="304"/>
      <c r="CN1" s="206"/>
      <c r="CO1" s="390" t="s">
        <v>1212</v>
      </c>
      <c r="CP1" s="206"/>
      <c r="CQ1" s="206"/>
    </row>
    <row r="2" spans="1:97" x14ac:dyDescent="0.25">
      <c r="F2" s="237" t="s">
        <v>712</v>
      </c>
      <c r="K2" s="2" t="str">
        <f>A1&amp;"_OIS"</f>
        <v>CAD_OIS</v>
      </c>
      <c r="L2" s="5"/>
      <c r="M2" s="5"/>
      <c r="N2" s="5"/>
      <c r="O2" s="5"/>
      <c r="Q2" s="237"/>
      <c r="V2" s="2" t="str">
        <f>A1&amp;"_SWAP_3M"</f>
        <v>CAD_SWAP_3M</v>
      </c>
      <c r="W2" s="5"/>
      <c r="X2" s="5"/>
      <c r="Z2" s="5"/>
      <c r="AB2" s="237"/>
      <c r="AG2" s="2" t="str">
        <f>A1&amp;"_BASIS_6M"</f>
        <v>CAD_BASIS_6M</v>
      </c>
      <c r="AH2" s="5"/>
      <c r="AI2" s="5"/>
      <c r="AJ2" s="5"/>
      <c r="AK2" s="5"/>
      <c r="AR2" s="2" t="str">
        <f>A1&amp;"_BASIS_12M"</f>
        <v>CAD_BASIS_12M</v>
      </c>
      <c r="BC2" s="2" t="str">
        <f>A1&amp;"_BASIS_1M"</f>
        <v>CAD_BASIS_1M</v>
      </c>
      <c r="BN2" s="2" t="str">
        <f>A1&amp;"_XCCYBASIS"</f>
        <v>CAD_XCCYBASIS</v>
      </c>
      <c r="BO2" s="5"/>
      <c r="BP2" s="5"/>
      <c r="BQ2" s="5"/>
      <c r="BR2" s="5"/>
      <c r="BY2" s="432" t="s">
        <v>822</v>
      </c>
      <c r="CM2" s="308"/>
      <c r="CN2" s="308"/>
      <c r="CO2" s="393" t="s">
        <v>1213</v>
      </c>
      <c r="CP2" s="206"/>
      <c r="CQ2" s="206"/>
    </row>
    <row r="3" spans="1:97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9"/>
      <c r="CM3" s="311"/>
      <c r="CN3" s="312"/>
      <c r="CO3" s="394" t="s">
        <v>1199</v>
      </c>
      <c r="CP3" s="206"/>
      <c r="CQ3" s="206"/>
    </row>
    <row r="4" spans="1:97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F4">
        <v>-4</v>
      </c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3"/>
      <c r="CM4" s="318"/>
      <c r="CN4" s="319"/>
      <c r="CO4" s="394" t="s">
        <v>1215</v>
      </c>
      <c r="CP4" s="206"/>
      <c r="CQ4" s="206"/>
    </row>
    <row r="5" spans="1:97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Z5" s="262"/>
      <c r="CC5" s="50"/>
      <c r="CD5" s="54" t="s">
        <v>1586</v>
      </c>
      <c r="CE5" s="228"/>
      <c r="CF5" s="53"/>
      <c r="CI5" s="50"/>
      <c r="CJ5" s="54" t="s">
        <v>1586</v>
      </c>
      <c r="CK5" s="228"/>
      <c r="CL5" s="53"/>
      <c r="CM5" s="318"/>
      <c r="CN5" s="319"/>
      <c r="CO5" s="394" t="s">
        <v>1214</v>
      </c>
      <c r="CP5" s="206"/>
      <c r="CQ5" s="206"/>
    </row>
    <row r="6" spans="1:97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3"/>
      <c r="CM6" s="318"/>
      <c r="CN6" s="319"/>
      <c r="CO6" s="206"/>
      <c r="CP6" s="206"/>
      <c r="CQ6" s="206"/>
    </row>
    <row r="7" spans="1:97" x14ac:dyDescent="0.25">
      <c r="F7" s="50"/>
      <c r="G7" s="59" t="s">
        <v>711</v>
      </c>
      <c r="H7" s="211" t="str">
        <f>$A$1&amp;"_OIS"</f>
        <v>CAD_OIS</v>
      </c>
      <c r="I7" s="53"/>
      <c r="K7" t="s">
        <v>298</v>
      </c>
      <c r="L7" s="368">
        <f>O7+N7/10000</f>
        <v>2.5000000000000001E-3</v>
      </c>
      <c r="M7" s="5" t="b">
        <v>1</v>
      </c>
      <c r="N7" s="5">
        <f>$N$4</f>
        <v>0</v>
      </c>
      <c r="O7" s="358">
        <f>CAD_DATA!M7</f>
        <v>2.5000000000000001E-3</v>
      </c>
      <c r="Q7" s="50"/>
      <c r="R7" s="59" t="s">
        <v>711</v>
      </c>
      <c r="S7" s="211" t="str">
        <f>$A$1&amp;"_SWAP_"&amp;"3M"</f>
        <v>CAD_SWAP_3M</v>
      </c>
      <c r="T7" s="53"/>
      <c r="V7" t="s">
        <v>298</v>
      </c>
      <c r="W7" s="367">
        <f t="shared" ref="W7:W26" si="0">Z7+Y7/10000</f>
        <v>4.8124999999999999E-3</v>
      </c>
      <c r="X7" s="5" t="b">
        <v>1</v>
      </c>
      <c r="Y7" s="5">
        <f t="shared" ref="Y7:Y26" si="1">$Y$4</f>
        <v>0</v>
      </c>
      <c r="Z7" s="368">
        <f>CAD_DATA!U7</f>
        <v>4.8124999999999999E-3</v>
      </c>
      <c r="AA7" s="203"/>
      <c r="AB7" s="50"/>
      <c r="AC7" s="59" t="s">
        <v>711</v>
      </c>
      <c r="AD7" s="211" t="str">
        <f>$A$1&amp;"_BASIS_3M6M"</f>
        <v>CAD_BASIS_3M6M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ZAR_DATA!Z7</f>
        <v>1E-3</v>
      </c>
      <c r="AL7" s="207"/>
      <c r="AM7" s="50"/>
      <c r="AN7" s="59" t="s">
        <v>711</v>
      </c>
      <c r="AO7" s="211" t="str">
        <f>A1&amp;"_BASIS_3X12"</f>
        <v>CAD_BASIS_3X12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CAD_BASIS_1X3</v>
      </c>
      <c r="BA7" s="53"/>
      <c r="BC7" t="s">
        <v>300</v>
      </c>
      <c r="BD7" s="203">
        <f>BG7</f>
        <v>4.8124999999999999E-3</v>
      </c>
      <c r="BE7" t="b">
        <v>1</v>
      </c>
      <c r="BG7">
        <f>CAD_DATA!AE8</f>
        <v>4.8124999999999999E-3</v>
      </c>
      <c r="BI7" s="50"/>
      <c r="BJ7" s="59" t="s">
        <v>711</v>
      </c>
      <c r="BK7" s="211" t="str">
        <f>$A$1&amp;"_XCCY"</f>
        <v>CAD_XCCY</v>
      </c>
      <c r="BL7" s="53"/>
      <c r="BN7" t="s">
        <v>2</v>
      </c>
      <c r="BO7" s="5" t="s">
        <v>96</v>
      </c>
      <c r="BP7" s="5">
        <f>BR7</f>
        <v>1.3226</v>
      </c>
      <c r="BQ7" s="5"/>
      <c r="BR7" s="391">
        <f>CAD_DATA!AZ7</f>
        <v>1.3226</v>
      </c>
      <c r="BT7" s="50"/>
      <c r="BU7" s="270" t="s">
        <v>830</v>
      </c>
      <c r="BV7" s="271" t="str">
        <f>"FX_CURVE_USD"&amp;$A$1</f>
        <v>FX_CURVE_USDCAD</v>
      </c>
      <c r="BW7" s="52"/>
      <c r="BX7" s="299"/>
      <c r="BY7" t="s">
        <v>836</v>
      </c>
      <c r="BZ7" s="296">
        <f>ZAR_DATA!BB7</f>
        <v>16.792100000000001</v>
      </c>
      <c r="CA7" s="296">
        <f>ZAR_DATA!BC7</f>
        <v>16.798200000000001</v>
      </c>
      <c r="CC7" s="50"/>
      <c r="CD7" s="59" t="s">
        <v>711</v>
      </c>
      <c r="CE7" s="211" t="str">
        <f>$A$1&amp;"_EURCSA"</f>
        <v>CAD_EURCSA</v>
      </c>
      <c r="CF7" s="53"/>
      <c r="CI7" s="50"/>
      <c r="CJ7" s="59" t="s">
        <v>711</v>
      </c>
      <c r="CK7" s="211" t="str">
        <f>$A$1&amp;"_JPYCSA"</f>
        <v>CAD_JPYCSA</v>
      </c>
      <c r="CL7" s="53"/>
      <c r="CM7" s="318"/>
      <c r="CN7" s="319"/>
      <c r="CO7" s="206" t="str">
        <f t="array" ref="CO7:CS149">_xll.meUtilityResize(_xll.meLWOCurveForwardRatesTable(CO1,CO2:CO5,,,,,,"QUARTERLY"),144,5)</f>
        <v>Fixing Dates</v>
      </c>
      <c r="CP7" s="206" t="str">
        <v>CADOIS</v>
      </c>
      <c r="CQ7" s="206" t="str">
        <v>CAD3M</v>
      </c>
      <c r="CR7" t="str">
        <v>CAD6M</v>
      </c>
      <c r="CS7" t="str">
        <v>CADDF_USDCSA</v>
      </c>
    </row>
    <row r="8" spans="1:97" x14ac:dyDescent="0.25">
      <c r="F8" s="50"/>
      <c r="G8" s="72" t="s">
        <v>670</v>
      </c>
      <c r="H8" s="35" t="str">
        <f>IF(H$6,_xll.meLWOCurveGeneratorCreate(H$7,"CURVEPROPERTIES",G12:H18,"OIS",G23:H37),"Disabled")</f>
        <v>CAD_OIS@79:0</v>
      </c>
      <c r="I8" s="53" t="s">
        <v>424</v>
      </c>
      <c r="K8" t="s">
        <v>305</v>
      </c>
      <c r="L8" s="368">
        <f t="shared" ref="L8:L26" si="2">O8+N8/10000</f>
        <v>2.47E-3</v>
      </c>
      <c r="M8" s="5" t="b">
        <v>1</v>
      </c>
      <c r="N8" s="5">
        <f t="shared" ref="N8:N26" si="3">$N$4</f>
        <v>0</v>
      </c>
      <c r="O8" s="358">
        <f>CAD_DATA!M8</f>
        <v>2.47E-3</v>
      </c>
      <c r="Q8" s="50"/>
      <c r="R8" s="72" t="s">
        <v>670</v>
      </c>
      <c r="S8" s="35" t="str">
        <f>IF(S$6,_xll.meLWOCurveGeneratorCreate(S$7,"CURVEPROPERTIES",R12:S25,"MONEYMARKET",R28:S30,"LIBORFIXINGS",R33:S37,"SWAPS",R48:S61),"Disabled")</f>
        <v>CAD_SWAP_3M@73:0</v>
      </c>
      <c r="T8" s="53" t="s">
        <v>424</v>
      </c>
      <c r="V8" t="s">
        <v>300</v>
      </c>
      <c r="W8" s="367">
        <f t="shared" si="0"/>
        <v>4.8124999999999999E-3</v>
      </c>
      <c r="X8" s="5" t="b">
        <v>1</v>
      </c>
      <c r="Y8" s="5">
        <f t="shared" si="1"/>
        <v>0</v>
      </c>
      <c r="Z8" s="368">
        <f>CAD_DATA!U8</f>
        <v>4.8124999999999999E-3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CAD_BASIS_3M6M@78:0</v>
      </c>
      <c r="AE8" s="53" t="s">
        <v>424</v>
      </c>
      <c r="AG8" t="s">
        <v>308</v>
      </c>
      <c r="AH8" s="358">
        <f t="shared" ref="AH8:AH23" si="4">AK8+AJ8/10000</f>
        <v>1E-3</v>
      </c>
      <c r="AI8" s="5" t="b">
        <v>1</v>
      </c>
      <c r="AJ8" s="5">
        <f t="shared" ref="AJ8:AJ23" si="5">$AJ$4</f>
        <v>0</v>
      </c>
      <c r="AK8" s="357">
        <f>ZAR_DATA!Z8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CAD_BASIS_3X12@72:0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CAD_BASIS_1X3@76:0</v>
      </c>
      <c r="BA8" s="53" t="s">
        <v>424</v>
      </c>
      <c r="BC8" t="s">
        <v>47</v>
      </c>
      <c r="BD8" s="203">
        <f>BG8+BF8/10000</f>
        <v>5.8E-4</v>
      </c>
      <c r="BE8" t="b">
        <v>1</v>
      </c>
      <c r="BF8">
        <f>$BF$4</f>
        <v>-4</v>
      </c>
      <c r="BG8">
        <f>CAD_DATA!AE9</f>
        <v>9.7999999999999997E-4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CAD_XCCY@75:0</v>
      </c>
      <c r="BL8" s="53" t="s">
        <v>424</v>
      </c>
      <c r="BN8" t="s">
        <v>298</v>
      </c>
      <c r="BO8" s="5">
        <f>BR8</f>
        <v>-2.5999999999999999E-2</v>
      </c>
      <c r="BP8" s="5" t="b">
        <v>1</v>
      </c>
      <c r="BQ8" s="5"/>
      <c r="BR8" s="5">
        <f>CAD_DATA!AZ8</f>
        <v>-2.5999999999999999E-2</v>
      </c>
      <c r="BT8" s="50"/>
      <c r="BU8" t="s">
        <v>670</v>
      </c>
      <c r="BV8" s="263" t="str">
        <f>IF(BV6,_xll.meLWOCurveGeneratorCreate(BV7,"CURVEPROPERTIES",BU12:BV15,"FXFWDS",BU20:BV25),"DISABLED")</f>
        <v>FX_CURVE_USDCAD@74:0</v>
      </c>
      <c r="BW8" s="52"/>
      <c r="BX8" s="299"/>
      <c r="BY8" s="377" t="s">
        <v>298</v>
      </c>
      <c r="BZ8" s="373">
        <f>ZAR_DATA!BB8</f>
        <v>19</v>
      </c>
      <c r="CA8" s="373">
        <f>ZAR_DATA!BC8</f>
        <v>21.5</v>
      </c>
      <c r="CC8" s="50"/>
      <c r="CD8" s="72" t="s">
        <v>670</v>
      </c>
      <c r="CE8" s="35" t="str">
        <f>IF(CE$6,_xll.meLWOCurveGeneratorCreate(CE$7,"CURVEPROPERTIES",CD12:CE20,"FWDFXCONST",CD27:CE31),"Disabled")</f>
        <v>CAD_EURCSA@77:0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CAD_JPYCSA@80:0</v>
      </c>
      <c r="CL8" s="53" t="s">
        <v>424</v>
      </c>
      <c r="CM8" s="318"/>
      <c r="CN8" s="319"/>
      <c r="CO8" s="206">
        <v>44083</v>
      </c>
      <c r="CP8" s="401">
        <v>2.5278045866006199E-3</v>
      </c>
      <c r="CQ8" s="401">
        <v>5.0499999999998298E-3</v>
      </c>
      <c r="CR8" s="203">
        <v>6.03327785102352E-3</v>
      </c>
      <c r="CS8" s="203">
        <v>-7.4227486632277802E-5</v>
      </c>
    </row>
    <row r="9" spans="1:97" x14ac:dyDescent="0.25">
      <c r="F9" s="50"/>
      <c r="G9" s="289"/>
      <c r="H9" s="289"/>
      <c r="I9" s="53" t="s">
        <v>424</v>
      </c>
      <c r="K9" t="s">
        <v>313</v>
      </c>
      <c r="L9" s="368">
        <f t="shared" si="2"/>
        <v>2.3699999999999997E-3</v>
      </c>
      <c r="M9" s="5" t="b">
        <v>1</v>
      </c>
      <c r="N9" s="5">
        <f t="shared" si="3"/>
        <v>0</v>
      </c>
      <c r="O9" s="358">
        <f>CAD_DATA!M9</f>
        <v>2.3699999999999997E-3</v>
      </c>
      <c r="Q9" s="50"/>
      <c r="R9" s="52"/>
      <c r="S9" s="52"/>
      <c r="T9" s="53"/>
      <c r="V9" t="s">
        <v>49</v>
      </c>
      <c r="W9" s="367">
        <f t="shared" si="0"/>
        <v>5.0499999999999998E-3</v>
      </c>
      <c r="X9" s="5" t="b">
        <v>1</v>
      </c>
      <c r="Y9" s="5">
        <f t="shared" si="1"/>
        <v>0</v>
      </c>
      <c r="Z9" s="368">
        <f>CAD_DATA!U9</f>
        <v>5.0499999999999998E-3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ZAR_DATA!Z9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308</v>
      </c>
      <c r="BD9" s="203">
        <f t="shared" ref="BD9:BD17" si="6">BG9+BF9/10000</f>
        <v>4.2499999999999998E-4</v>
      </c>
      <c r="BE9" t="b">
        <v>1</v>
      </c>
      <c r="BF9">
        <f t="shared" ref="BF9:BF17" si="7">$BF$4</f>
        <v>-4</v>
      </c>
      <c r="BG9">
        <f>CAD_DATA!AE10</f>
        <v>8.25E-4</v>
      </c>
      <c r="BI9" s="50"/>
      <c r="BJ9" s="52"/>
      <c r="BK9" s="52"/>
      <c r="BL9" s="53"/>
      <c r="BN9" t="s">
        <v>506</v>
      </c>
      <c r="BO9" s="5">
        <f t="shared" ref="BO9:BO16" si="8">BR9</f>
        <v>-2.5000000000000001E-2</v>
      </c>
      <c r="BP9" s="5" t="b">
        <v>1</v>
      </c>
      <c r="BQ9" s="5"/>
      <c r="BR9" s="5">
        <f>CAD_DATA!AZ9</f>
        <v>-2.5000000000000001E-2</v>
      </c>
      <c r="BT9" s="50"/>
      <c r="BU9" s="57"/>
      <c r="BV9" s="57"/>
      <c r="BW9" s="52"/>
      <c r="BX9" s="299"/>
      <c r="BY9" s="378" t="s">
        <v>506</v>
      </c>
      <c r="BZ9" s="373">
        <f>ZAR_DATA!BB9</f>
        <v>21.5</v>
      </c>
      <c r="CA9" s="373">
        <f>ZAR_DATA!BC9</f>
        <v>22.3</v>
      </c>
      <c r="CC9" s="50"/>
      <c r="CD9" s="52"/>
      <c r="CE9" s="52"/>
      <c r="CF9" s="53"/>
      <c r="CI9" s="50"/>
      <c r="CJ9" s="52"/>
      <c r="CK9" s="52"/>
      <c r="CL9" s="53"/>
      <c r="CM9" s="318"/>
      <c r="CN9" s="319"/>
      <c r="CO9" s="206">
        <v>44174</v>
      </c>
      <c r="CP9" s="401">
        <v>2.3579651595229002E-3</v>
      </c>
      <c r="CQ9" s="401">
        <v>5.1545312513605604E-3</v>
      </c>
      <c r="CR9" s="203">
        <v>6.0933106217110101E-3</v>
      </c>
      <c r="CS9" s="203">
        <v>-9.3120337064211999E-4</v>
      </c>
    </row>
    <row r="10" spans="1:97" x14ac:dyDescent="0.25">
      <c r="F10" s="50"/>
      <c r="G10" s="289"/>
      <c r="H10" s="289"/>
      <c r="I10" s="53"/>
      <c r="K10" t="s">
        <v>300</v>
      </c>
      <c r="L10" s="368">
        <f t="shared" si="2"/>
        <v>2.3999999999999998E-3</v>
      </c>
      <c r="M10" s="5" t="b">
        <v>1</v>
      </c>
      <c r="N10" s="5">
        <f t="shared" si="3"/>
        <v>0</v>
      </c>
      <c r="O10" s="358">
        <f>CAD_DATA!M10</f>
        <v>2.3999999999999998E-3</v>
      </c>
      <c r="Q10" s="50"/>
      <c r="R10" s="52"/>
      <c r="S10" s="52"/>
      <c r="T10" s="53"/>
      <c r="V10" t="s">
        <v>46</v>
      </c>
      <c r="W10" s="367">
        <f t="shared" si="0"/>
        <v>7.0499999999999998E-3</v>
      </c>
      <c r="X10" s="5" t="b">
        <v>0</v>
      </c>
      <c r="Y10" s="5">
        <f t="shared" si="1"/>
        <v>0</v>
      </c>
      <c r="Z10" s="368">
        <f>CAD_DATA!U10</f>
        <v>7.0499999999999998E-3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ZAR_DATA!Z10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316</v>
      </c>
      <c r="BD10" s="203">
        <f t="shared" si="6"/>
        <v>2.9499999999999996E-4</v>
      </c>
      <c r="BE10" t="b">
        <v>1</v>
      </c>
      <c r="BF10">
        <f t="shared" si="7"/>
        <v>-4</v>
      </c>
      <c r="BG10">
        <f>CAD_DATA!AE11</f>
        <v>6.9499999999999998E-4</v>
      </c>
      <c r="BI10" s="50"/>
      <c r="BJ10" s="52"/>
      <c r="BK10" s="52"/>
      <c r="BL10" s="53"/>
      <c r="BN10" t="s">
        <v>305</v>
      </c>
      <c r="BO10" s="5">
        <f t="shared" si="8"/>
        <v>-0.17</v>
      </c>
      <c r="BP10" s="5" t="b">
        <v>1</v>
      </c>
      <c r="BQ10" s="5"/>
      <c r="BR10" s="5">
        <f>CAD_DATA!AZ10</f>
        <v>-0.17</v>
      </c>
      <c r="BT10" s="50"/>
      <c r="BU10" s="57"/>
      <c r="BV10" s="57"/>
      <c r="BW10" s="52"/>
      <c r="BX10" s="299"/>
      <c r="BY10" s="378" t="s">
        <v>305</v>
      </c>
      <c r="BZ10" s="373">
        <f>ZAR_DATA!BB10</f>
        <v>138</v>
      </c>
      <c r="CA10" s="373">
        <f>ZAR_DATA!BC10</f>
        <v>143</v>
      </c>
      <c r="CC10" s="50"/>
      <c r="CD10" s="52"/>
      <c r="CE10" s="52"/>
      <c r="CF10" s="53"/>
      <c r="CI10" s="50"/>
      <c r="CJ10" s="52"/>
      <c r="CK10" s="52"/>
      <c r="CL10" s="53"/>
      <c r="CM10" s="318"/>
      <c r="CN10" s="319"/>
      <c r="CO10" s="206">
        <v>44264</v>
      </c>
      <c r="CP10" s="401">
        <v>2.2666224958123398E-3</v>
      </c>
      <c r="CQ10" s="401">
        <v>5.0779128009547404E-3</v>
      </c>
      <c r="CR10" s="203">
        <v>6.1903086223822302E-3</v>
      </c>
      <c r="CS10" s="203">
        <v>9.4670896680893401E-4</v>
      </c>
    </row>
    <row r="11" spans="1:97" x14ac:dyDescent="0.25">
      <c r="F11" s="50"/>
      <c r="G11" s="54" t="s">
        <v>671</v>
      </c>
      <c r="H11" s="52"/>
      <c r="I11" s="53"/>
      <c r="K11" t="s">
        <v>335</v>
      </c>
      <c r="L11" s="368">
        <f t="shared" si="2"/>
        <v>2.3899999999999998E-3</v>
      </c>
      <c r="M11" s="5" t="b">
        <v>1</v>
      </c>
      <c r="N11" s="5">
        <f t="shared" si="3"/>
        <v>0</v>
      </c>
      <c r="O11" s="358">
        <f>CAD_DATA!M11</f>
        <v>2.3899999999999998E-3</v>
      </c>
      <c r="Q11" s="50"/>
      <c r="R11" s="54" t="s">
        <v>671</v>
      </c>
      <c r="S11" s="52" t="s">
        <v>713</v>
      </c>
      <c r="T11" s="53"/>
      <c r="V11" t="s">
        <v>49</v>
      </c>
      <c r="W11" s="367">
        <f t="shared" si="0"/>
        <v>5.0499999999999998E-3</v>
      </c>
      <c r="X11" s="5" t="b">
        <v>0</v>
      </c>
      <c r="Y11" s="5">
        <f t="shared" si="1"/>
        <v>0</v>
      </c>
      <c r="Z11" s="368">
        <f>CAD_DATA!U11</f>
        <v>5.0499999999999998E-3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ZAR_DATA!Z11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324</v>
      </c>
      <c r="BD11" s="203">
        <f t="shared" si="6"/>
        <v>1.9999999999999993E-4</v>
      </c>
      <c r="BE11" t="b">
        <v>1</v>
      </c>
      <c r="BF11">
        <f t="shared" si="7"/>
        <v>-4</v>
      </c>
      <c r="BG11">
        <f>CAD_DATA!AE12</f>
        <v>5.9999999999999995E-4</v>
      </c>
      <c r="BI11" s="50"/>
      <c r="BJ11" s="54" t="s">
        <v>671</v>
      </c>
      <c r="BK11" s="85"/>
      <c r="BL11" s="53"/>
      <c r="BN11" t="s">
        <v>313</v>
      </c>
      <c r="BO11" s="5">
        <f t="shared" si="8"/>
        <v>-0.4</v>
      </c>
      <c r="BP11" s="5" t="b">
        <v>1</v>
      </c>
      <c r="BQ11" s="5"/>
      <c r="BR11" s="5">
        <f>CAD_DATA!AZ11</f>
        <v>-0.4</v>
      </c>
      <c r="BT11" s="50"/>
      <c r="BU11" s="56" t="s">
        <v>671</v>
      </c>
      <c r="BV11" s="272" t="s">
        <v>825</v>
      </c>
      <c r="BW11" s="52"/>
      <c r="BX11" s="299"/>
      <c r="BY11" s="378" t="s">
        <v>313</v>
      </c>
      <c r="BZ11" s="373">
        <f>ZAR_DATA!BB11</f>
        <v>274</v>
      </c>
      <c r="CA11" s="373">
        <f>ZAR_DATA!BC11</f>
        <v>280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M11" s="318"/>
      <c r="CN11" s="319"/>
      <c r="CO11" s="206">
        <v>44356</v>
      </c>
      <c r="CP11" s="401">
        <v>2.4806867027149602E-3</v>
      </c>
      <c r="CQ11" s="401">
        <v>5.1518760662282101E-3</v>
      </c>
      <c r="CR11" s="203">
        <v>6.32781545208111E-3</v>
      </c>
      <c r="CS11" s="203">
        <v>8.1084260836210699E-4</v>
      </c>
    </row>
    <row r="12" spans="1:97" x14ac:dyDescent="0.25">
      <c r="F12" s="50"/>
      <c r="G12" s="212" t="s">
        <v>435</v>
      </c>
      <c r="H12" s="213" t="s">
        <v>426</v>
      </c>
      <c r="I12" s="53"/>
      <c r="K12" t="s">
        <v>49</v>
      </c>
      <c r="L12" s="368">
        <f t="shared" si="2"/>
        <v>2.3799999999999997E-3</v>
      </c>
      <c r="M12" s="5" t="b">
        <v>1</v>
      </c>
      <c r="N12" s="5">
        <f t="shared" si="3"/>
        <v>0</v>
      </c>
      <c r="O12" s="358">
        <f>CAD_DATA!M12</f>
        <v>2.3799999999999997E-3</v>
      </c>
      <c r="Q12" s="50"/>
      <c r="R12" s="220" t="s">
        <v>435</v>
      </c>
      <c r="S12" s="221" t="s">
        <v>463</v>
      </c>
      <c r="T12" s="53"/>
      <c r="V12" t="s">
        <v>46</v>
      </c>
      <c r="W12" s="367">
        <f t="shared" si="0"/>
        <v>5.078E-3</v>
      </c>
      <c r="X12" s="5" t="b">
        <v>0</v>
      </c>
      <c r="Y12" s="5">
        <f t="shared" si="1"/>
        <v>0</v>
      </c>
      <c r="Z12" s="368">
        <f>CAD_DATA!U12</f>
        <v>5.078E-3</v>
      </c>
      <c r="AA12" s="203"/>
      <c r="AB12" s="50"/>
      <c r="AC12" s="220" t="s">
        <v>434</v>
      </c>
      <c r="AD12" s="238" t="str">
        <f>$A$1</f>
        <v>CAD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ZAR_DATA!Z12</f>
        <v>1E-3</v>
      </c>
      <c r="AL12" s="207"/>
      <c r="AM12" s="50"/>
      <c r="AN12" s="220" t="s">
        <v>434</v>
      </c>
      <c r="AO12" s="238" t="str">
        <f>$A$1</f>
        <v>CAD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CAD</v>
      </c>
      <c r="BA12" s="53"/>
      <c r="BC12" t="s">
        <v>331</v>
      </c>
      <c r="BD12" s="203">
        <f t="shared" si="6"/>
        <v>1.3999999999999999E-4</v>
      </c>
      <c r="BE12" t="b">
        <v>1</v>
      </c>
      <c r="BF12">
        <f t="shared" si="7"/>
        <v>-4</v>
      </c>
      <c r="BG12">
        <f>CAD_DATA!AE13</f>
        <v>5.4000000000000001E-4</v>
      </c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8"/>
        <v>-1.38</v>
      </c>
      <c r="BP12" s="5" t="b">
        <v>1</v>
      </c>
      <c r="BQ12" s="5"/>
      <c r="BR12" s="5">
        <f>CAD_DATA!AZ12</f>
        <v>-1.38</v>
      </c>
      <c r="BT12" s="50"/>
      <c r="BU12" s="238" t="s">
        <v>434</v>
      </c>
      <c r="BV12" s="238" t="s">
        <v>974</v>
      </c>
      <c r="BW12" s="52"/>
      <c r="BX12" s="299"/>
      <c r="BY12" s="378" t="s">
        <v>300</v>
      </c>
      <c r="BZ12" s="373">
        <f>ZAR_DATA!BB12</f>
        <v>612</v>
      </c>
      <c r="CA12" s="373">
        <f>ZAR_DATA!BC12</f>
        <v>622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M12" s="318"/>
      <c r="CN12" s="319"/>
      <c r="CO12" s="206">
        <v>44448</v>
      </c>
      <c r="CP12" s="401">
        <v>2.1610777994972899E-3</v>
      </c>
      <c r="CQ12" s="401">
        <v>5.3550076657632702E-3</v>
      </c>
      <c r="CR12" s="203">
        <v>6.5051032214077098E-3</v>
      </c>
      <c r="CS12" s="203">
        <v>1.0276185778848701E-3</v>
      </c>
    </row>
    <row r="13" spans="1:97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368">
        <f t="shared" si="2"/>
        <v>2.3499999999999997E-3</v>
      </c>
      <c r="M13" s="5" t="b">
        <v>1</v>
      </c>
      <c r="N13" s="5">
        <f t="shared" si="3"/>
        <v>0</v>
      </c>
      <c r="O13" s="358">
        <f>CAD_DATA!M13</f>
        <v>2.3499999999999997E-3</v>
      </c>
      <c r="Q13" s="50"/>
      <c r="R13" s="222" t="s">
        <v>438</v>
      </c>
      <c r="S13" s="223" t="s">
        <v>458</v>
      </c>
      <c r="T13" s="53"/>
      <c r="V13" t="s">
        <v>376</v>
      </c>
      <c r="W13" s="367">
        <f t="shared" si="0"/>
        <v>5.0829999999999998E-3</v>
      </c>
      <c r="X13" s="5" t="b">
        <v>0</v>
      </c>
      <c r="Y13" s="5">
        <f t="shared" si="1"/>
        <v>0</v>
      </c>
      <c r="Z13" s="368">
        <f>CAD_DATA!U13</f>
        <v>5.0829999999999998E-3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ZAR_DATA!Z13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339</v>
      </c>
      <c r="BD13" s="203">
        <f t="shared" si="6"/>
        <v>9.9999999999999991E-5</v>
      </c>
      <c r="BE13" t="b">
        <v>1</v>
      </c>
      <c r="BF13">
        <f t="shared" si="7"/>
        <v>-4</v>
      </c>
      <c r="BG13">
        <f>CAD_DATA!AE14</f>
        <v>5.0000000000000001E-4</v>
      </c>
      <c r="BI13" s="50"/>
      <c r="BJ13" s="222" t="s">
        <v>438</v>
      </c>
      <c r="BK13" s="216" t="str">
        <f>IF(INDEX('STATIC DATA'!C56:AB56,1,MATCH(A1,'STATIC DATA'!C4:AB4,0))="1Y","ANNUAL",(IF(INDEX('STATIC DATA'!C56:AB56,1,MATCH($A$1,'STATIC DATA'!C4:AB4,0))="6M","SEMI-ANNUAL","QUARTERLY")))</f>
        <v>QUARTERLY</v>
      </c>
      <c r="BL13" s="53"/>
      <c r="BN13" t="s">
        <v>335</v>
      </c>
      <c r="BO13" s="5">
        <f t="shared" si="8"/>
        <v>-2.11</v>
      </c>
      <c r="BP13" s="5" t="b">
        <v>1</v>
      </c>
      <c r="BQ13" s="5"/>
      <c r="BR13" s="5">
        <f>CAD_DATA!AZ13</f>
        <v>-2.11</v>
      </c>
      <c r="BT13" s="50"/>
      <c r="BU13" s="216" t="s">
        <v>724</v>
      </c>
      <c r="BV13" s="216" t="s">
        <v>1594</v>
      </c>
      <c r="BW13" s="52"/>
      <c r="BX13" s="299"/>
      <c r="BY13" s="378" t="s">
        <v>335</v>
      </c>
      <c r="BZ13" s="373">
        <f>ZAR_DATA!BB13</f>
        <v>1133</v>
      </c>
      <c r="CA13" s="373">
        <f>ZAR_DATA!BC13</f>
        <v>1163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M13" s="318"/>
      <c r="CN13" s="319"/>
      <c r="CO13" s="206">
        <v>44539</v>
      </c>
      <c r="CP13" s="401">
        <v>1.28203334683103E-3</v>
      </c>
      <c r="CQ13" s="401">
        <v>5.5972525308305198E-3</v>
      </c>
      <c r="CR13" s="203">
        <v>6.7246517361775398E-3</v>
      </c>
      <c r="CS13" s="203">
        <v>1.53598600928187E-3</v>
      </c>
    </row>
    <row r="14" spans="1:97" x14ac:dyDescent="0.25">
      <c r="F14" s="50"/>
      <c r="G14" s="214" t="s">
        <v>672</v>
      </c>
      <c r="H14" s="215" t="s">
        <v>426</v>
      </c>
      <c r="I14" s="53"/>
      <c r="K14" t="s">
        <v>376</v>
      </c>
      <c r="L14" s="368">
        <f t="shared" si="2"/>
        <v>2.3400000000000001E-3</v>
      </c>
      <c r="M14" s="5" t="b">
        <v>1</v>
      </c>
      <c r="N14" s="5">
        <f t="shared" si="3"/>
        <v>0</v>
      </c>
      <c r="O14" s="358">
        <f>CAD_DATA!M14</f>
        <v>2.3400000000000001E-3</v>
      </c>
      <c r="Q14" s="50"/>
      <c r="R14" s="222" t="s">
        <v>672</v>
      </c>
      <c r="S14" s="223" t="s">
        <v>714</v>
      </c>
      <c r="T14" s="53"/>
      <c r="V14" t="s">
        <v>47</v>
      </c>
      <c r="W14" s="367">
        <f t="shared" si="0"/>
        <v>5.11E-3</v>
      </c>
      <c r="X14" s="5" t="b">
        <v>1</v>
      </c>
      <c r="Y14" s="5">
        <f t="shared" si="1"/>
        <v>0</v>
      </c>
      <c r="Z14" s="368">
        <f>CAD_DATA!U14</f>
        <v>5.11E-3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ZAR_DATA!Z14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342</v>
      </c>
      <c r="BD14" s="203">
        <f t="shared" si="6"/>
        <v>7.499999999999998E-5</v>
      </c>
      <c r="BE14" t="b">
        <v>1</v>
      </c>
      <c r="BF14">
        <f t="shared" si="7"/>
        <v>-4</v>
      </c>
      <c r="BG14">
        <f>CAD_DATA!AE15</f>
        <v>4.75E-4</v>
      </c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8"/>
        <v>-2.95</v>
      </c>
      <c r="BP14" s="5" t="b">
        <v>1</v>
      </c>
      <c r="BQ14" s="5"/>
      <c r="BR14" s="5">
        <f>CAD_DATA!AZ14</f>
        <v>-2.95</v>
      </c>
      <c r="BT14" s="50"/>
      <c r="BU14" s="216" t="s">
        <v>435</v>
      </c>
      <c r="BV14" s="216" t="s">
        <v>820</v>
      </c>
      <c r="BW14" s="52"/>
      <c r="BX14" s="299"/>
      <c r="BY14" s="378" t="s">
        <v>49</v>
      </c>
      <c r="BZ14" s="373">
        <f>ZAR_DATA!BB14</f>
        <v>1659</v>
      </c>
      <c r="CA14" s="373">
        <f>ZAR_DATA!BC14</f>
        <v>1666</v>
      </c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M14" s="318"/>
      <c r="CN14" s="319"/>
      <c r="CO14" s="206">
        <v>44629</v>
      </c>
      <c r="CP14" s="401">
        <v>9.46041814303731E-4</v>
      </c>
      <c r="CQ14" s="401">
        <v>5.8605628263824301E-3</v>
      </c>
      <c r="CR14" s="203">
        <v>6.9840422021872697E-3</v>
      </c>
      <c r="CS14" s="203">
        <v>2.0090414793063698E-3</v>
      </c>
    </row>
    <row r="15" spans="1:97" x14ac:dyDescent="0.25">
      <c r="F15" s="50"/>
      <c r="G15" s="235" t="s">
        <v>673</v>
      </c>
      <c r="H15" s="236" t="str">
        <f>H14&amp;":"&amp;$A$1&amp;H12</f>
        <v>OIS:CADOIS</v>
      </c>
      <c r="I15" s="53" t="s">
        <v>424</v>
      </c>
      <c r="K15" t="s">
        <v>47</v>
      </c>
      <c r="L15" s="368">
        <f t="shared" si="2"/>
        <v>2.3699999999999997E-3</v>
      </c>
      <c r="M15" s="5" t="b">
        <v>1</v>
      </c>
      <c r="N15" s="5">
        <f t="shared" si="3"/>
        <v>0</v>
      </c>
      <c r="O15" s="358">
        <f>CAD_DATA!M15</f>
        <v>2.3699999999999997E-3</v>
      </c>
      <c r="Q15" s="50"/>
      <c r="R15" s="233" t="s">
        <v>673</v>
      </c>
      <c r="S15" s="230" t="s">
        <v>1196</v>
      </c>
      <c r="T15" s="53"/>
      <c r="V15" t="s">
        <v>308</v>
      </c>
      <c r="W15" s="367">
        <f t="shared" si="0"/>
        <v>5.4259999999999994E-3</v>
      </c>
      <c r="X15" s="5" t="b">
        <v>1</v>
      </c>
      <c r="Y15" s="5">
        <f t="shared" si="1"/>
        <v>0</v>
      </c>
      <c r="Z15" s="368">
        <f>CAD_DATA!U15</f>
        <v>5.4259999999999994E-3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ZAR_DATA!Z15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355</v>
      </c>
      <c r="BD15" s="203">
        <f t="shared" si="6"/>
        <v>5.4999999999999982E-5</v>
      </c>
      <c r="BE15" t="b">
        <v>1</v>
      </c>
      <c r="BF15">
        <f t="shared" si="7"/>
        <v>-4</v>
      </c>
      <c r="BG15">
        <f>CAD_DATA!AE16</f>
        <v>4.55E-4</v>
      </c>
      <c r="BI15" s="50"/>
      <c r="BJ15" s="222" t="s">
        <v>673</v>
      </c>
      <c r="BK15" s="216" t="s">
        <v>1197</v>
      </c>
      <c r="BL15" s="53"/>
      <c r="BN15" t="s">
        <v>46</v>
      </c>
      <c r="BO15" s="5">
        <f t="shared" si="8"/>
        <v>-7.9</v>
      </c>
      <c r="BP15" s="5" t="b">
        <v>1</v>
      </c>
      <c r="BQ15" s="5"/>
      <c r="BR15" s="5">
        <f>CAD_DATA!AZ15</f>
        <v>-7.9</v>
      </c>
      <c r="BT15" s="50"/>
      <c r="BU15" s="219" t="s">
        <v>826</v>
      </c>
      <c r="BV15" s="219" t="s">
        <v>828</v>
      </c>
      <c r="BW15" s="52"/>
      <c r="BX15" s="299"/>
      <c r="BY15" s="378" t="s">
        <v>46</v>
      </c>
      <c r="BZ15" s="373">
        <f>ZAR_DATA!BB17</f>
        <v>3094</v>
      </c>
      <c r="CA15" s="373">
        <f>ZAR_DATA!BC17</f>
        <v>3164</v>
      </c>
      <c r="CC15" s="50"/>
      <c r="CD15" s="222" t="s">
        <v>673</v>
      </c>
      <c r="CE15" s="216" t="s">
        <v>1216</v>
      </c>
      <c r="CF15" s="53"/>
      <c r="CI15" s="50"/>
      <c r="CJ15" s="222" t="s">
        <v>673</v>
      </c>
      <c r="CK15" s="216" t="s">
        <v>1219</v>
      </c>
      <c r="CL15" s="53"/>
      <c r="CM15" s="318"/>
      <c r="CN15" s="319"/>
      <c r="CO15" s="206">
        <v>44721</v>
      </c>
      <c r="CP15" s="401">
        <v>1.1515929201144201E-3</v>
      </c>
      <c r="CQ15" s="401">
        <v>6.14656630931341E-3</v>
      </c>
      <c r="CR15" s="203">
        <v>7.2905483859575003E-3</v>
      </c>
      <c r="CS15" s="203">
        <v>2.4485828411394701E-3</v>
      </c>
    </row>
    <row r="16" spans="1:97" x14ac:dyDescent="0.25">
      <c r="F16" s="50"/>
      <c r="G16" s="214" t="s">
        <v>434</v>
      </c>
      <c r="H16" s="216" t="str">
        <f>$A$1</f>
        <v>CAD</v>
      </c>
      <c r="I16" s="53"/>
      <c r="K16" t="s">
        <v>308</v>
      </c>
      <c r="L16" s="368">
        <f t="shared" si="2"/>
        <v>1.8399999999999996E-3</v>
      </c>
      <c r="M16" s="5" t="b">
        <v>1</v>
      </c>
      <c r="N16" s="5">
        <f t="shared" si="3"/>
        <v>0</v>
      </c>
      <c r="O16" s="358">
        <f>CAD_DATA!M16</f>
        <v>1.8399999999999996E-3</v>
      </c>
      <c r="Q16" s="50"/>
      <c r="R16" s="222" t="s">
        <v>434</v>
      </c>
      <c r="S16" s="223" t="str">
        <f>$A$1</f>
        <v>CAD</v>
      </c>
      <c r="T16" s="53"/>
      <c r="V16" t="s">
        <v>316</v>
      </c>
      <c r="W16" s="367">
        <f t="shared" si="0"/>
        <v>6.0150000000000004E-3</v>
      </c>
      <c r="X16" s="5" t="b">
        <v>1</v>
      </c>
      <c r="Y16" s="5">
        <f t="shared" si="1"/>
        <v>0</v>
      </c>
      <c r="Z16" s="368">
        <f>CAD_DATA!U16</f>
        <v>6.0150000000000004E-3</v>
      </c>
      <c r="AA16" s="203"/>
      <c r="AB16" s="50"/>
      <c r="AC16" s="233" t="s">
        <v>673</v>
      </c>
      <c r="AD16" s="230" t="s">
        <v>1221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ZAR_DATA!Z16</f>
        <v>1E-3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T16" t="b">
        <v>1</v>
      </c>
      <c r="AX16" s="50"/>
      <c r="AY16" s="233" t="s">
        <v>673</v>
      </c>
      <c r="AZ16" s="230" t="s">
        <v>1631</v>
      </c>
      <c r="BA16" s="53"/>
      <c r="BC16" t="s">
        <v>364</v>
      </c>
      <c r="BD16" s="203">
        <f t="shared" si="6"/>
        <v>3.4999999999999929E-5</v>
      </c>
      <c r="BE16" t="b">
        <v>1</v>
      </c>
      <c r="BF16">
        <f t="shared" si="7"/>
        <v>-4</v>
      </c>
      <c r="BG16">
        <f>CAD_DATA!AE17</f>
        <v>4.3499999999999995E-4</v>
      </c>
      <c r="BI16" s="50"/>
      <c r="BJ16" s="233" t="s">
        <v>434</v>
      </c>
      <c r="BK16" s="230" t="str">
        <f>$A$1</f>
        <v>CAD</v>
      </c>
      <c r="BL16" s="53"/>
      <c r="BN16" t="s">
        <v>376</v>
      </c>
      <c r="BO16" s="5">
        <f t="shared" si="8"/>
        <v>-7.01</v>
      </c>
      <c r="BP16" s="5" t="b">
        <v>1</v>
      </c>
      <c r="BQ16" s="5"/>
      <c r="BR16" s="5">
        <f>CAD_DATA!AZ16</f>
        <v>-7.01</v>
      </c>
      <c r="BT16" s="50"/>
      <c r="BU16" s="57"/>
      <c r="BV16" s="57"/>
      <c r="BW16" s="52"/>
      <c r="BX16" s="299"/>
      <c r="BY16" s="378" t="s">
        <v>376</v>
      </c>
      <c r="BZ16" s="373">
        <f>ZAR_DATA!BB20</f>
        <v>4515</v>
      </c>
      <c r="CA16" s="373">
        <f>ZAR_DATA!BC20</f>
        <v>4634</v>
      </c>
      <c r="CC16" s="50"/>
      <c r="CD16" s="233" t="s">
        <v>434</v>
      </c>
      <c r="CE16" s="230" t="s">
        <v>96</v>
      </c>
      <c r="CF16" s="53"/>
      <c r="CI16" s="50"/>
      <c r="CJ16" s="233" t="s">
        <v>434</v>
      </c>
      <c r="CK16" s="230" t="s">
        <v>96</v>
      </c>
      <c r="CL16" s="53"/>
      <c r="CM16" s="318"/>
      <c r="CN16" s="319"/>
      <c r="CO16" s="206">
        <v>44813</v>
      </c>
      <c r="CP16" s="401">
        <v>1.92405255481109E-3</v>
      </c>
      <c r="CQ16" s="401">
        <v>6.4648487959014104E-3</v>
      </c>
      <c r="CR16" s="203">
        <v>7.6648218680654403E-3</v>
      </c>
      <c r="CS16" s="203">
        <v>2.8689221549911999E-3</v>
      </c>
    </row>
    <row r="17" spans="6:97" x14ac:dyDescent="0.25">
      <c r="F17" s="50"/>
      <c r="G17" s="217" t="s">
        <v>674</v>
      </c>
      <c r="H17" s="216" t="s">
        <v>675</v>
      </c>
      <c r="I17" s="53"/>
      <c r="K17" t="s">
        <v>316</v>
      </c>
      <c r="L17" s="368">
        <f t="shared" si="2"/>
        <v>2.1899999999999997E-3</v>
      </c>
      <c r="M17" s="5" t="b">
        <v>1</v>
      </c>
      <c r="N17" s="5">
        <f t="shared" si="3"/>
        <v>0</v>
      </c>
      <c r="O17" s="358">
        <f>CAD_DATA!M17</f>
        <v>2.1899999999999997E-3</v>
      </c>
      <c r="Q17" s="50"/>
      <c r="R17" s="222" t="s">
        <v>674</v>
      </c>
      <c r="S17" s="223" t="s">
        <v>1655</v>
      </c>
      <c r="T17" s="53"/>
      <c r="V17" t="s">
        <v>324</v>
      </c>
      <c r="W17" s="367">
        <f t="shared" si="0"/>
        <v>6.7679999999999997E-3</v>
      </c>
      <c r="X17" s="5" t="b">
        <v>1</v>
      </c>
      <c r="Y17" s="5">
        <f t="shared" si="1"/>
        <v>0</v>
      </c>
      <c r="Z17" s="368">
        <f>CAD_DATA!U17</f>
        <v>6.7679999999999997E-3</v>
      </c>
      <c r="AA17" s="203"/>
      <c r="AB17" s="50"/>
      <c r="AC17" s="222" t="s">
        <v>674</v>
      </c>
      <c r="AD17" s="216" t="s">
        <v>1655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ZAR_DATA!Z17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1655</v>
      </c>
      <c r="BA17" s="53"/>
      <c r="BC17" t="s">
        <v>349</v>
      </c>
      <c r="BD17" s="203">
        <f t="shared" si="6"/>
        <v>2.4999999999999957E-5</v>
      </c>
      <c r="BE17" t="b">
        <v>1</v>
      </c>
      <c r="BF17">
        <f t="shared" si="7"/>
        <v>-4</v>
      </c>
      <c r="BG17">
        <f>CAD_DATA!AE18</f>
        <v>4.2499999999999998E-4</v>
      </c>
      <c r="BI17" s="50"/>
      <c r="BJ17" s="222" t="s">
        <v>674</v>
      </c>
      <c r="BK17" s="639" t="s">
        <v>1655</v>
      </c>
      <c r="BL17" s="53"/>
      <c r="BN17" t="s">
        <v>322</v>
      </c>
      <c r="BO17" s="358">
        <f>BR17+BQ17/10000</f>
        <v>-3.0249999999999999E-3</v>
      </c>
      <c r="BP17" s="5" t="b">
        <v>1</v>
      </c>
      <c r="BQ17" s="5">
        <f>$BQ$4</f>
        <v>0</v>
      </c>
      <c r="BR17" s="368">
        <f>CAD_DATA!AR10/10000</f>
        <v>-3.0249999999999999E-3</v>
      </c>
      <c r="BT17" s="50"/>
      <c r="BU17" s="57"/>
      <c r="BV17" s="57"/>
      <c r="BW17" s="52"/>
      <c r="BX17" s="299"/>
      <c r="BY17" s="378" t="s">
        <v>322</v>
      </c>
      <c r="BZ17" s="373">
        <f>ZAR_DATA!BB23</f>
        <v>5998</v>
      </c>
      <c r="CA17" s="373">
        <f>ZAR_DATA!BC23</f>
        <v>6112</v>
      </c>
      <c r="CC17" s="50"/>
      <c r="CD17" s="222" t="s">
        <v>674</v>
      </c>
      <c r="CE17" s="639" t="s">
        <v>1655</v>
      </c>
      <c r="CF17" s="53"/>
      <c r="CI17" s="50"/>
      <c r="CJ17" s="222" t="s">
        <v>674</v>
      </c>
      <c r="CK17" s="639" t="s">
        <v>1655</v>
      </c>
      <c r="CL17" s="53"/>
      <c r="CM17" s="318"/>
      <c r="CN17" s="319"/>
      <c r="CO17" s="206">
        <v>44904</v>
      </c>
      <c r="CP17" s="401">
        <v>2.7426379948932802E-3</v>
      </c>
      <c r="CQ17" s="401">
        <v>6.8687087774248904E-3</v>
      </c>
      <c r="CR17" s="203">
        <v>8.1365281487041207E-3</v>
      </c>
      <c r="CS17" s="203">
        <v>3.3549911979421799E-3</v>
      </c>
    </row>
    <row r="18" spans="6:97" x14ac:dyDescent="0.25">
      <c r="F18" s="50"/>
      <c r="G18" s="214" t="s">
        <v>676</v>
      </c>
      <c r="H18" s="216" t="s">
        <v>675</v>
      </c>
      <c r="I18" s="53"/>
      <c r="K18" t="s">
        <v>324</v>
      </c>
      <c r="L18" s="368">
        <f t="shared" si="2"/>
        <v>2.2299999999999998E-3</v>
      </c>
      <c r="M18" s="5" t="b">
        <v>1</v>
      </c>
      <c r="N18" s="5">
        <f t="shared" si="3"/>
        <v>0</v>
      </c>
      <c r="O18" s="358">
        <f>CAD_DATA!M18</f>
        <v>2.2299999999999998E-3</v>
      </c>
      <c r="Q18" s="50"/>
      <c r="R18" s="222" t="s">
        <v>676</v>
      </c>
      <c r="S18" s="223" t="s">
        <v>1655</v>
      </c>
      <c r="T18" s="53"/>
      <c r="V18" t="s">
        <v>331</v>
      </c>
      <c r="W18" s="367">
        <f t="shared" si="0"/>
        <v>7.4780000000000003E-3</v>
      </c>
      <c r="X18" s="5" t="b">
        <v>1</v>
      </c>
      <c r="Y18" s="5">
        <f t="shared" si="1"/>
        <v>0</v>
      </c>
      <c r="Z18" s="368">
        <f>CAD_DATA!U18</f>
        <v>7.4780000000000003E-3</v>
      </c>
      <c r="AA18" s="203"/>
      <c r="AB18" s="50"/>
      <c r="AC18" s="222" t="s">
        <v>676</v>
      </c>
      <c r="AD18" s="639" t="s">
        <v>1655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ZAR_DATA!Z18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639" t="s">
        <v>1655</v>
      </c>
      <c r="BA18" s="53"/>
      <c r="BI18" s="50"/>
      <c r="BJ18" s="222" t="s">
        <v>676</v>
      </c>
      <c r="BK18" s="639" t="s">
        <v>1655</v>
      </c>
      <c r="BL18" s="53"/>
      <c r="BN18" t="s">
        <v>308</v>
      </c>
      <c r="BO18" s="358">
        <f>BR18+BQ18/10000</f>
        <v>-2.5000000000000001E-3</v>
      </c>
      <c r="BP18" s="5" t="b">
        <v>1</v>
      </c>
      <c r="BQ18" s="5">
        <f>$BQ$4</f>
        <v>0</v>
      </c>
      <c r="BR18" s="368">
        <f>CAD_DATA!AR11/10000</f>
        <v>-2.5000000000000001E-3</v>
      </c>
      <c r="BT18" s="50"/>
      <c r="BU18" s="57"/>
      <c r="BV18" s="57"/>
      <c r="BW18" s="52"/>
      <c r="BX18" s="299"/>
      <c r="BY18" s="378" t="s">
        <v>823</v>
      </c>
      <c r="BZ18" s="380">
        <f>(BZ17+BZ19)*0.5</f>
        <v>7591.35</v>
      </c>
      <c r="CA18" s="381">
        <f>(CA17+CA19)*0.5</f>
        <v>7924.2</v>
      </c>
      <c r="CC18" s="50"/>
      <c r="CD18" s="222" t="s">
        <v>676</v>
      </c>
      <c r="CE18" s="639" t="s">
        <v>1655</v>
      </c>
      <c r="CF18" s="53"/>
      <c r="CI18" s="50"/>
      <c r="CJ18" s="222" t="s">
        <v>676</v>
      </c>
      <c r="CK18" s="639" t="s">
        <v>1655</v>
      </c>
      <c r="CL18" s="53"/>
      <c r="CM18" s="318"/>
      <c r="CN18" s="319"/>
      <c r="CO18" s="206">
        <v>44994</v>
      </c>
      <c r="CP18" s="401">
        <v>3.1558736161573201E-3</v>
      </c>
      <c r="CQ18" s="401">
        <v>7.3788632844178003E-3</v>
      </c>
      <c r="CR18" s="203">
        <v>8.7121870948849607E-3</v>
      </c>
      <c r="CS18" s="203">
        <v>3.9367564449674002E-3</v>
      </c>
    </row>
    <row r="19" spans="6:97" x14ac:dyDescent="0.25">
      <c r="F19" s="50"/>
      <c r="G19" s="214"/>
      <c r="H19" s="216"/>
      <c r="I19" s="53"/>
      <c r="K19" t="s">
        <v>331</v>
      </c>
      <c r="L19" s="368">
        <f t="shared" si="2"/>
        <v>2.5399999999999997E-3</v>
      </c>
      <c r="M19" s="5" t="b">
        <v>1</v>
      </c>
      <c r="N19" s="5">
        <f t="shared" si="3"/>
        <v>0</v>
      </c>
      <c r="O19" s="358">
        <f>CAD_DATA!M19</f>
        <v>2.5399999999999997E-3</v>
      </c>
      <c r="Q19" s="50"/>
      <c r="R19" s="222" t="s">
        <v>716</v>
      </c>
      <c r="S19" s="223" t="s">
        <v>1655</v>
      </c>
      <c r="T19" s="53"/>
      <c r="V19" t="s">
        <v>339</v>
      </c>
      <c r="W19" s="367">
        <f t="shared" si="0"/>
        <v>8.7500000000000008E-3</v>
      </c>
      <c r="X19" s="5" t="b">
        <v>1</v>
      </c>
      <c r="Y19" s="5">
        <f t="shared" si="1"/>
        <v>0</v>
      </c>
      <c r="Z19" s="368">
        <f>CAD_DATA!U19</f>
        <v>8.7500000000000008E-3</v>
      </c>
      <c r="AA19" s="203"/>
      <c r="AB19" s="50"/>
      <c r="AC19" s="222" t="s">
        <v>746</v>
      </c>
      <c r="AD19" s="639" t="s">
        <v>1655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ZAR_DATA!Z19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639" t="s">
        <v>1655</v>
      </c>
      <c r="BA19" s="53"/>
      <c r="BI19" s="50"/>
      <c r="BJ19" s="222" t="s">
        <v>746</v>
      </c>
      <c r="BK19" s="639" t="s">
        <v>1655</v>
      </c>
      <c r="BL19" s="53"/>
      <c r="BN19" t="s">
        <v>316</v>
      </c>
      <c r="BO19" s="358">
        <f t="shared" ref="BO19:BO21" si="9">BR19+BQ19/10000</f>
        <v>-2.15E-3</v>
      </c>
      <c r="BP19" s="5" t="b">
        <v>1</v>
      </c>
      <c r="BQ19" s="5">
        <f t="shared" ref="BQ19:BQ25" si="10">$BQ$4</f>
        <v>0</v>
      </c>
      <c r="BR19" s="368">
        <f>CAD_DATA!AR12/10000</f>
        <v>-2.15E-3</v>
      </c>
      <c r="BT19" s="50"/>
      <c r="BU19" s="56" t="s">
        <v>814</v>
      </c>
      <c r="BV19" s="57"/>
      <c r="BW19" s="262"/>
      <c r="BX19" s="303"/>
      <c r="BY19" s="378" t="s">
        <v>501</v>
      </c>
      <c r="BZ19" s="373">
        <f>ZAR_DATA!BB25</f>
        <v>9184.7000000000007</v>
      </c>
      <c r="CA19" s="373">
        <f>ZAR_DATA!BC25</f>
        <v>9736.4</v>
      </c>
      <c r="CC19" s="50"/>
      <c r="CD19" s="222" t="s">
        <v>746</v>
      </c>
      <c r="CE19" s="639" t="s">
        <v>1655</v>
      </c>
      <c r="CF19" s="53"/>
      <c r="CI19" s="50"/>
      <c r="CJ19" s="222" t="s">
        <v>746</v>
      </c>
      <c r="CK19" s="639" t="s">
        <v>1655</v>
      </c>
      <c r="CL19" s="53"/>
      <c r="CM19" s="318"/>
      <c r="CN19" s="319"/>
      <c r="CO19" s="206">
        <v>45086</v>
      </c>
      <c r="CP19" s="401">
        <v>3.1774050553339101E-3</v>
      </c>
      <c r="CQ19" s="401">
        <v>8.0076260779510695E-3</v>
      </c>
      <c r="CR19" s="203">
        <v>9.3520029137752498E-3</v>
      </c>
      <c r="CS19" s="203">
        <v>4.6274249069223703E-3</v>
      </c>
    </row>
    <row r="20" spans="6:97" x14ac:dyDescent="0.25">
      <c r="F20" s="50"/>
      <c r="G20" s="218"/>
      <c r="H20" s="219"/>
      <c r="I20" s="53"/>
      <c r="K20" t="s">
        <v>339</v>
      </c>
      <c r="L20" s="368">
        <f t="shared" si="2"/>
        <v>3.1199999999999995E-3</v>
      </c>
      <c r="M20" s="5" t="b">
        <v>1</v>
      </c>
      <c r="N20" s="5">
        <f t="shared" si="3"/>
        <v>0</v>
      </c>
      <c r="O20" s="358">
        <f>CAD_DATA!M20</f>
        <v>3.1199999999999995E-3</v>
      </c>
      <c r="Q20" s="50"/>
      <c r="R20" s="233" t="s">
        <v>717</v>
      </c>
      <c r="S20" s="230" t="b">
        <v>0</v>
      </c>
      <c r="T20" s="53"/>
      <c r="V20" t="s">
        <v>342</v>
      </c>
      <c r="W20" s="367">
        <f t="shared" si="0"/>
        <v>8.7539999999999996E-3</v>
      </c>
      <c r="X20" s="5" t="b">
        <v>1</v>
      </c>
      <c r="Y20" s="5">
        <f t="shared" si="1"/>
        <v>0</v>
      </c>
      <c r="Z20" s="368">
        <f>CAD_DATA!U20</f>
        <v>8.7539999999999996E-3</v>
      </c>
      <c r="AA20" s="203"/>
      <c r="AB20" s="50"/>
      <c r="AC20" s="222" t="s">
        <v>747</v>
      </c>
      <c r="AD20" s="216" t="s">
        <v>720</v>
      </c>
      <c r="AE20" s="53"/>
      <c r="AG20" t="s">
        <v>382</v>
      </c>
      <c r="AH20" s="358">
        <f t="shared" si="4"/>
        <v>1E-3</v>
      </c>
      <c r="AI20" s="5" t="b">
        <v>1</v>
      </c>
      <c r="AJ20" s="5">
        <f t="shared" si="5"/>
        <v>0</v>
      </c>
      <c r="AK20" s="357">
        <f>ZAR_DATA!Z20</f>
        <v>1E-3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I20" s="50"/>
      <c r="BJ20" s="222" t="s">
        <v>747</v>
      </c>
      <c r="BK20" s="216" t="b">
        <v>0</v>
      </c>
      <c r="BL20" s="53"/>
      <c r="BN20" t="s">
        <v>324</v>
      </c>
      <c r="BO20" s="358">
        <f t="shared" si="9"/>
        <v>-1.8500000000000001E-3</v>
      </c>
      <c r="BP20" s="5" t="b">
        <v>1</v>
      </c>
      <c r="BQ20" s="5">
        <f t="shared" si="10"/>
        <v>0</v>
      </c>
      <c r="BR20" s="368">
        <f>CAD_DATA!AR13/10000</f>
        <v>-1.8500000000000001E-3</v>
      </c>
      <c r="BT20" s="50"/>
      <c r="BU20" s="147" t="s">
        <v>704</v>
      </c>
      <c r="BV20" s="221" t="str">
        <f>INDEX('STATIC DATA'!C30:AB30,1,MATCH($A$1,'STATIC DATA'!$C$4:$AB$4,0))</f>
        <v>MOB:NYB:LNB</v>
      </c>
      <c r="BW20" s="52"/>
      <c r="BX20" s="299"/>
      <c r="BY20" s="378" t="s">
        <v>834</v>
      </c>
      <c r="BZ20" s="380">
        <f>(BZ19+BZ21)*0.5</f>
        <v>10795.95</v>
      </c>
      <c r="CA20" s="381">
        <f>(CA19+CA21)*0.5</f>
        <v>11561.2</v>
      </c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M20" s="318"/>
      <c r="CN20" s="319"/>
      <c r="CO20" s="206">
        <v>45180</v>
      </c>
      <c r="CP20" s="401">
        <v>2.7783131734885501E-3</v>
      </c>
      <c r="CQ20" s="401">
        <v>8.6750119976654605E-3</v>
      </c>
      <c r="CR20" s="203">
        <v>9.90779228843011E-3</v>
      </c>
      <c r="CS20" s="203">
        <v>5.3701305203376201E-3</v>
      </c>
    </row>
    <row r="21" spans="6:97" x14ac:dyDescent="0.25">
      <c r="F21" s="50"/>
      <c r="G21" s="52"/>
      <c r="H21" s="52"/>
      <c r="I21" s="53"/>
      <c r="K21" t="s">
        <v>342</v>
      </c>
      <c r="L21" s="368">
        <f t="shared" si="2"/>
        <v>3.8349999999999999E-3</v>
      </c>
      <c r="M21" s="5" t="b">
        <v>1</v>
      </c>
      <c r="N21" s="5">
        <f t="shared" si="3"/>
        <v>0</v>
      </c>
      <c r="O21" s="358">
        <f>CAD_DATA!M21</f>
        <v>3.8349999999999999E-3</v>
      </c>
      <c r="Q21" s="50"/>
      <c r="R21" s="233" t="s">
        <v>719</v>
      </c>
      <c r="S21" s="230" t="s">
        <v>720</v>
      </c>
      <c r="T21" s="53"/>
      <c r="V21" t="s">
        <v>355</v>
      </c>
      <c r="W21" s="367">
        <f t="shared" si="0"/>
        <v>9.3550000000000005E-3</v>
      </c>
      <c r="X21" s="5" t="b">
        <v>1</v>
      </c>
      <c r="Y21" s="5">
        <f t="shared" si="1"/>
        <v>0</v>
      </c>
      <c r="Z21" s="368">
        <f>CAD_DATA!U21</f>
        <v>9.3550000000000005E-3</v>
      </c>
      <c r="AA21" s="203"/>
      <c r="AB21" s="50"/>
      <c r="AC21" s="234" t="s">
        <v>748</v>
      </c>
      <c r="AD21" s="232" t="s">
        <v>426</v>
      </c>
      <c r="AE21" s="53"/>
      <c r="AG21" t="s">
        <v>389</v>
      </c>
      <c r="AH21" s="358">
        <f t="shared" si="4"/>
        <v>1E-3</v>
      </c>
      <c r="AI21" s="5" t="b">
        <v>1</v>
      </c>
      <c r="AJ21" s="5">
        <f t="shared" si="5"/>
        <v>0</v>
      </c>
      <c r="AK21" s="357">
        <f>ZAR_DATA!Z21</f>
        <v>1E-3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I21" s="50"/>
      <c r="BJ21" s="234" t="s">
        <v>717</v>
      </c>
      <c r="BK21" s="232" t="b">
        <v>0</v>
      </c>
      <c r="BL21" s="53"/>
      <c r="BN21" t="s">
        <v>331</v>
      </c>
      <c r="BO21" s="358">
        <f t="shared" si="9"/>
        <v>-1.6750000000000001E-3</v>
      </c>
      <c r="BP21" s="5" t="b">
        <v>1</v>
      </c>
      <c r="BQ21" s="5">
        <f t="shared" si="10"/>
        <v>0</v>
      </c>
      <c r="BR21" s="368">
        <f>CAD_DATA!AR14/10000</f>
        <v>-1.6750000000000001E-3</v>
      </c>
      <c r="BT21" s="50"/>
      <c r="BU21" s="149" t="s">
        <v>732</v>
      </c>
      <c r="BV21" s="223" t="str">
        <f>INDEX('STATIC DATA'!C19:AB19,1,MATCH($A$1,'STATIC DATA'!$C$4:$AB$4,0))</f>
        <v>1D</v>
      </c>
      <c r="BW21" s="52"/>
      <c r="BX21" s="299"/>
      <c r="BY21" s="378" t="s">
        <v>308</v>
      </c>
      <c r="BZ21" s="373">
        <f>ZAR_DATA!BB27</f>
        <v>12407.2</v>
      </c>
      <c r="CA21" s="373">
        <f>ZAR_DATA!BC27</f>
        <v>13386</v>
      </c>
      <c r="CM21" s="318"/>
      <c r="CN21" s="319"/>
      <c r="CO21" s="206">
        <v>45271</v>
      </c>
      <c r="CP21" s="401">
        <v>2.32735949681531E-3</v>
      </c>
      <c r="CQ21" s="401">
        <v>9.1120855794303499E-3</v>
      </c>
      <c r="CR21" s="203">
        <v>1.02008204563646E-2</v>
      </c>
      <c r="CS21" s="203">
        <v>5.9939891694308096E-3</v>
      </c>
    </row>
    <row r="22" spans="6:97" x14ac:dyDescent="0.25">
      <c r="F22" s="50"/>
      <c r="G22" s="54" t="s">
        <v>426</v>
      </c>
      <c r="H22" s="52"/>
      <c r="I22" s="53"/>
      <c r="K22" t="s">
        <v>355</v>
      </c>
      <c r="L22" s="368">
        <f t="shared" si="2"/>
        <v>4.5500000000000002E-3</v>
      </c>
      <c r="M22" s="5" t="b">
        <v>1</v>
      </c>
      <c r="N22" s="5">
        <f t="shared" si="3"/>
        <v>0</v>
      </c>
      <c r="O22" s="358">
        <f>CAD_DATA!M22</f>
        <v>4.5500000000000002E-3</v>
      </c>
      <c r="Q22" s="50"/>
      <c r="R22" s="222" t="s">
        <v>706</v>
      </c>
      <c r="S22" s="223" t="s">
        <v>721</v>
      </c>
      <c r="T22" s="53"/>
      <c r="V22" t="s">
        <v>364</v>
      </c>
      <c r="W22" s="367">
        <f t="shared" si="0"/>
        <v>9.9010000000000001E-3</v>
      </c>
      <c r="X22" s="5" t="b">
        <v>1</v>
      </c>
      <c r="Y22" s="5">
        <f t="shared" si="1"/>
        <v>0</v>
      </c>
      <c r="Z22" s="368">
        <f>CAD_DATA!U22</f>
        <v>9.9010000000000001E-3</v>
      </c>
      <c r="AA22" s="203"/>
      <c r="AB22" s="50"/>
      <c r="AC22" s="222" t="s">
        <v>713</v>
      </c>
      <c r="AD22" s="216" t="s">
        <v>713</v>
      </c>
      <c r="AE22" s="53"/>
      <c r="AG22" t="s">
        <v>445</v>
      </c>
      <c r="AH22" s="358">
        <f t="shared" si="4"/>
        <v>1E-3</v>
      </c>
      <c r="AI22" s="5" t="b">
        <v>1</v>
      </c>
      <c r="AJ22" s="5">
        <f t="shared" si="5"/>
        <v>0</v>
      </c>
      <c r="AK22" s="357">
        <f>ZAR_DATA!Z22</f>
        <v>1E-3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I22" s="50"/>
      <c r="BJ22" s="222" t="s">
        <v>805</v>
      </c>
      <c r="BK22" s="216" t="b">
        <v>1</v>
      </c>
      <c r="BL22" s="53"/>
      <c r="BN22" t="s">
        <v>342</v>
      </c>
      <c r="BO22" s="358">
        <f t="shared" ref="BO22:BO25" si="11">BR22+BQ22/10000</f>
        <v>-1.4E-3</v>
      </c>
      <c r="BP22" s="5" t="b">
        <v>1</v>
      </c>
      <c r="BQ22" s="5">
        <f t="shared" si="10"/>
        <v>0</v>
      </c>
      <c r="BR22" s="368">
        <f>CAD_DATA!AR15/10000</f>
        <v>-1.4E-3</v>
      </c>
      <c r="BT22" s="50"/>
      <c r="BU22" s="149" t="s">
        <v>707</v>
      </c>
      <c r="BV22" s="223" t="s">
        <v>687</v>
      </c>
      <c r="BW22" s="52"/>
      <c r="BX22" s="299"/>
      <c r="BY22" s="378" t="s">
        <v>316</v>
      </c>
      <c r="BZ22" s="373">
        <f>ZAR_DATA!BB28</f>
        <v>25303.4</v>
      </c>
      <c r="CA22" s="373">
        <f>ZAR_DATA!BC28</f>
        <v>27491.9</v>
      </c>
      <c r="CM22" s="318"/>
      <c r="CN22" s="319"/>
      <c r="CO22" s="206">
        <v>45362</v>
      </c>
      <c r="CP22" s="401">
        <v>2.1608809278697498E-3</v>
      </c>
      <c r="CQ22" s="401">
        <v>9.2643883564023002E-3</v>
      </c>
      <c r="CR22" s="203">
        <v>1.02058735008702E-2</v>
      </c>
      <c r="CS22" s="203">
        <v>6.4725944877163802E-3</v>
      </c>
    </row>
    <row r="23" spans="6:97" x14ac:dyDescent="0.25">
      <c r="F23" s="50"/>
      <c r="G23" s="220" t="s">
        <v>677</v>
      </c>
      <c r="H23" s="221" t="s">
        <v>1195</v>
      </c>
      <c r="I23" s="53"/>
      <c r="K23" t="s">
        <v>364</v>
      </c>
      <c r="L23" s="368">
        <f t="shared" si="2"/>
        <v>5.2133333333333328E-3</v>
      </c>
      <c r="M23" s="5" t="b">
        <v>1</v>
      </c>
      <c r="N23" s="5">
        <f t="shared" si="3"/>
        <v>0</v>
      </c>
      <c r="O23" s="358">
        <f>CAD_DATA!M23</f>
        <v>5.2133333333333328E-3</v>
      </c>
      <c r="Q23" s="50"/>
      <c r="R23" s="222" t="s">
        <v>722</v>
      </c>
      <c r="S23" s="223" t="s">
        <v>718</v>
      </c>
      <c r="T23" s="53"/>
      <c r="V23" t="s">
        <v>349</v>
      </c>
      <c r="W23" s="367">
        <f t="shared" si="0"/>
        <v>1.0465E-2</v>
      </c>
      <c r="X23" s="5" t="b">
        <v>1</v>
      </c>
      <c r="Y23" s="5">
        <f t="shared" si="1"/>
        <v>0</v>
      </c>
      <c r="Z23" s="368">
        <f>CAD_DATA!U23</f>
        <v>1.0465E-2</v>
      </c>
      <c r="AA23" s="203"/>
      <c r="AB23" s="50"/>
      <c r="AC23" s="234" t="s">
        <v>713</v>
      </c>
      <c r="AD23" s="232" t="s">
        <v>713</v>
      </c>
      <c r="AE23" s="53"/>
      <c r="AG23" t="s">
        <v>448</v>
      </c>
      <c r="AH23" s="358">
        <f t="shared" si="4"/>
        <v>1E-3</v>
      </c>
      <c r="AI23" s="5" t="b">
        <v>1</v>
      </c>
      <c r="AJ23" s="5">
        <f t="shared" si="5"/>
        <v>0</v>
      </c>
      <c r="AK23" s="357">
        <f>ZAR_DATA!Z23</f>
        <v>1E-3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I23" s="50"/>
      <c r="BJ23" s="234" t="s">
        <v>806</v>
      </c>
      <c r="BK23" s="232" t="b">
        <v>1</v>
      </c>
      <c r="BL23" s="53"/>
      <c r="BN23" t="s">
        <v>349</v>
      </c>
      <c r="BO23" s="358">
        <f t="shared" si="11"/>
        <v>-1.175E-3</v>
      </c>
      <c r="BP23" s="5" t="b">
        <v>1</v>
      </c>
      <c r="BQ23" s="5">
        <f t="shared" si="10"/>
        <v>0</v>
      </c>
      <c r="BR23" s="368">
        <f>CAD_DATA!AR16/10000</f>
        <v>-1.175E-3</v>
      </c>
      <c r="BT23" s="50"/>
      <c r="BU23" s="149" t="s">
        <v>689</v>
      </c>
      <c r="BV23" s="223" t="b">
        <v>1</v>
      </c>
      <c r="BW23" s="52"/>
      <c r="BX23" s="299"/>
      <c r="BY23" s="379"/>
      <c r="BZ23" s="5"/>
      <c r="CA23" s="5"/>
      <c r="CM23" s="318"/>
      <c r="CN23" s="319"/>
      <c r="CO23" s="206">
        <v>45453</v>
      </c>
      <c r="CP23" s="401">
        <v>2.27955068755051E-3</v>
      </c>
      <c r="CQ23" s="401">
        <v>9.1305081159033102E-3</v>
      </c>
      <c r="CR23" s="203">
        <v>1.00234147025824E-2</v>
      </c>
      <c r="CS23" s="203">
        <v>6.8008254852216302E-3</v>
      </c>
    </row>
    <row r="24" spans="6:97" x14ac:dyDescent="0.25">
      <c r="F24" s="50"/>
      <c r="G24" s="222" t="s">
        <v>678</v>
      </c>
      <c r="H24" s="223" t="s">
        <v>727</v>
      </c>
      <c r="I24" s="53"/>
      <c r="K24" t="s">
        <v>349</v>
      </c>
      <c r="L24" s="368">
        <f t="shared" si="2"/>
        <v>5.8766666666666663E-3</v>
      </c>
      <c r="M24" s="5" t="b">
        <v>1</v>
      </c>
      <c r="N24" s="5">
        <f t="shared" si="3"/>
        <v>0</v>
      </c>
      <c r="O24" s="358">
        <f>CAD_DATA!M24</f>
        <v>5.8766666666666663E-3</v>
      </c>
      <c r="Q24" s="50"/>
      <c r="R24" s="222" t="s">
        <v>723</v>
      </c>
      <c r="S24" s="223" t="s">
        <v>718</v>
      </c>
      <c r="T24" s="53"/>
      <c r="V24" t="s">
        <v>358</v>
      </c>
      <c r="W24" s="367">
        <f t="shared" si="0"/>
        <v>1.1554999999999999E-2</v>
      </c>
      <c r="X24" s="5" t="b">
        <v>1</v>
      </c>
      <c r="Y24" s="5">
        <f t="shared" si="1"/>
        <v>0</v>
      </c>
      <c r="Z24" s="368">
        <f>CAD_DATA!U24</f>
        <v>1.1554999999999999E-2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374</v>
      </c>
      <c r="BO24" s="358">
        <f t="shared" si="11"/>
        <v>-1.475E-3</v>
      </c>
      <c r="BP24" s="5" t="b">
        <v>1</v>
      </c>
      <c r="BQ24" s="5">
        <f t="shared" si="10"/>
        <v>0</v>
      </c>
      <c r="BR24" s="368">
        <f>CAD_DATA!AR17/10000</f>
        <v>-1.475E-3</v>
      </c>
      <c r="BT24" s="50"/>
      <c r="BU24" s="149" t="s">
        <v>688</v>
      </c>
      <c r="BV24" s="223">
        <v>31</v>
      </c>
      <c r="BW24" s="52"/>
      <c r="BX24" s="299"/>
      <c r="BY24" s="379"/>
      <c r="BZ24" s="5"/>
      <c r="CA24" s="5"/>
      <c r="CM24" s="318"/>
      <c r="CN24" s="319"/>
      <c r="CO24" s="206">
        <v>45544</v>
      </c>
      <c r="CP24" s="401">
        <v>2.6840210204414198E-3</v>
      </c>
      <c r="CQ24" s="401">
        <v>8.8992322904686196E-3</v>
      </c>
      <c r="CR24" s="203">
        <v>1.0107722614128199E-2</v>
      </c>
      <c r="CS24" s="203">
        <v>7.0111978305430599E-3</v>
      </c>
    </row>
    <row r="25" spans="6:97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374</v>
      </c>
      <c r="L25" s="368">
        <f t="shared" si="2"/>
        <v>6.5399999999999989E-3</v>
      </c>
      <c r="M25" s="5" t="b">
        <v>1</v>
      </c>
      <c r="N25" s="5">
        <f t="shared" si="3"/>
        <v>0</v>
      </c>
      <c r="O25" s="358">
        <f>CAD_DATA!M25</f>
        <v>6.5399999999999989E-3</v>
      </c>
      <c r="Q25" s="50"/>
      <c r="R25" s="234" t="s">
        <v>724</v>
      </c>
      <c r="S25" s="232" t="s">
        <v>426</v>
      </c>
      <c r="T25" s="53"/>
      <c r="V25" t="s">
        <v>367</v>
      </c>
      <c r="W25" s="367">
        <f t="shared" si="0"/>
        <v>1.29E-2</v>
      </c>
      <c r="X25" s="5" t="b">
        <v>1</v>
      </c>
      <c r="Y25" s="5">
        <f t="shared" si="1"/>
        <v>0</v>
      </c>
      <c r="Z25" s="368">
        <f>CAD_DATA!U25</f>
        <v>1.29E-2</v>
      </c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N25" t="s">
        <v>389</v>
      </c>
      <c r="BO25" s="358">
        <f t="shared" si="11"/>
        <v>-1.8E-3</v>
      </c>
      <c r="BP25" s="5" t="b">
        <v>1</v>
      </c>
      <c r="BQ25" s="5">
        <f t="shared" si="10"/>
        <v>0</v>
      </c>
      <c r="BR25" s="368">
        <f>CAD_DATA!AR18/10000</f>
        <v>-1.8E-3</v>
      </c>
      <c r="BT25" s="50"/>
      <c r="BU25" s="151" t="s">
        <v>819</v>
      </c>
      <c r="BV25" s="226" t="b">
        <v>0</v>
      </c>
      <c r="BW25" s="52"/>
      <c r="BX25" s="299"/>
      <c r="BY25" s="379"/>
      <c r="BZ25" s="5"/>
      <c r="CA25" s="5"/>
      <c r="CM25" s="318"/>
      <c r="CN25" s="319"/>
      <c r="CO25" s="206">
        <v>45635</v>
      </c>
      <c r="CP25" s="401">
        <v>3.23260474285646E-3</v>
      </c>
      <c r="CQ25" s="401">
        <v>9.3019397358989706E-3</v>
      </c>
      <c r="CR25" s="203">
        <v>1.0923207316041E-2</v>
      </c>
      <c r="CS25" s="203">
        <v>7.2261100365856902E-3</v>
      </c>
    </row>
    <row r="26" spans="6:97" x14ac:dyDescent="0.25">
      <c r="F26" s="50"/>
      <c r="G26" s="222" t="s">
        <v>681</v>
      </c>
      <c r="H26" s="223" t="s">
        <v>682</v>
      </c>
      <c r="I26" s="53"/>
      <c r="K26" t="s">
        <v>389</v>
      </c>
      <c r="L26" s="368">
        <f t="shared" si="2"/>
        <v>9.6299999999999997E-3</v>
      </c>
      <c r="M26" s="5" t="b">
        <v>1</v>
      </c>
      <c r="N26" s="5">
        <f t="shared" si="3"/>
        <v>0</v>
      </c>
      <c r="O26" s="358">
        <f>CAD_DATA!M26</f>
        <v>9.6299999999999997E-3</v>
      </c>
      <c r="Q26" s="50"/>
      <c r="R26" s="52" t="s">
        <v>713</v>
      </c>
      <c r="S26" s="52" t="s">
        <v>713</v>
      </c>
      <c r="T26" s="53"/>
      <c r="V26" t="s">
        <v>374</v>
      </c>
      <c r="W26" s="367">
        <f t="shared" si="0"/>
        <v>1.4105000000000001E-2</v>
      </c>
      <c r="X26" s="5" t="b">
        <v>1</v>
      </c>
      <c r="Y26" s="5">
        <f t="shared" si="1"/>
        <v>0</v>
      </c>
      <c r="Z26" s="368">
        <f>CAD_DATA!U26</f>
        <v>1.4105000000000001E-2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807</v>
      </c>
      <c r="BK26" s="85"/>
      <c r="BL26" s="53"/>
      <c r="BT26" s="50"/>
      <c r="BU26" s="52"/>
      <c r="BV26" s="52"/>
      <c r="BW26" s="52"/>
      <c r="BX26" s="299"/>
      <c r="BY26" s="379"/>
      <c r="BZ26" s="5"/>
      <c r="CA26" s="5"/>
      <c r="CD26" s="442" t="s">
        <v>1084</v>
      </c>
      <c r="CE26" t="s">
        <v>713</v>
      </c>
      <c r="CJ26" s="442" t="s">
        <v>1084</v>
      </c>
      <c r="CK26" t="s">
        <v>713</v>
      </c>
      <c r="CM26" s="318"/>
      <c r="CN26" s="319"/>
      <c r="CO26" s="206">
        <v>45726</v>
      </c>
      <c r="CP26" s="401">
        <v>3.7863410222858901E-3</v>
      </c>
      <c r="CQ26" s="401">
        <v>1.0534505286161599E-2</v>
      </c>
      <c r="CR26" s="203">
        <v>1.25865829014664E-2</v>
      </c>
      <c r="CS26" s="203">
        <v>7.4759412010577597E-3</v>
      </c>
    </row>
    <row r="27" spans="6:97" x14ac:dyDescent="0.25">
      <c r="F27" s="50"/>
      <c r="G27" s="222" t="s">
        <v>683</v>
      </c>
      <c r="H27" s="223" t="str">
        <f>INDEX('STATIC DATA'!C15:AB15,1,MATCH($A$1,'STATIC DATA'!C4:AB4,0))</f>
        <v>0D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45" t="s">
        <v>749</v>
      </c>
      <c r="BK27" s="243" t="s">
        <v>803</v>
      </c>
      <c r="BL27" s="53"/>
      <c r="BT27" s="50"/>
      <c r="BU27" s="52"/>
      <c r="BV27" s="52"/>
      <c r="BW27" s="52"/>
      <c r="BX27" s="299"/>
      <c r="BY27" s="379"/>
      <c r="BZ27" s="5"/>
      <c r="CA27" s="5"/>
      <c r="CD27" s="57" t="s">
        <v>1085</v>
      </c>
      <c r="CE27" s="57" t="s">
        <v>1093</v>
      </c>
      <c r="CJ27" s="57" t="s">
        <v>1085</v>
      </c>
      <c r="CK27" s="57" t="s">
        <v>1128</v>
      </c>
      <c r="CM27" s="318"/>
      <c r="CN27" s="319"/>
      <c r="CO27" s="206">
        <v>45817</v>
      </c>
      <c r="CP27" s="401">
        <v>4.3454751729353298E-3</v>
      </c>
      <c r="CQ27" s="401">
        <v>1.25824723922247E-2</v>
      </c>
      <c r="CR27" s="203">
        <v>1.4832489728752099E-2</v>
      </c>
      <c r="CS27" s="203">
        <v>7.7577597280305798E-3</v>
      </c>
    </row>
    <row r="28" spans="6:97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">
        <v>1195</v>
      </c>
      <c r="T28" s="53"/>
      <c r="W28" s="367"/>
      <c r="X28" s="5"/>
      <c r="Z28" s="368"/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b">
        <v>0</v>
      </c>
      <c r="BA28" s="53"/>
      <c r="BI28" s="50"/>
      <c r="BJ28" s="233" t="s">
        <v>750</v>
      </c>
      <c r="BK28" s="230" t="b">
        <v>0</v>
      </c>
      <c r="BL28" s="53"/>
      <c r="BT28" s="50"/>
      <c r="BU28" s="52"/>
      <c r="BV28" s="52"/>
      <c r="BW28" s="52"/>
      <c r="BX28" s="299"/>
      <c r="BY28" s="379"/>
      <c r="BZ28" s="5"/>
      <c r="CA28" s="5"/>
      <c r="CD28" s="57" t="s">
        <v>1086</v>
      </c>
      <c r="CE28" s="57" t="s">
        <v>1089</v>
      </c>
      <c r="CJ28" s="57" t="s">
        <v>1086</v>
      </c>
      <c r="CK28" s="57" t="s">
        <v>1129</v>
      </c>
      <c r="CM28" s="318"/>
      <c r="CN28" s="319"/>
      <c r="CO28" s="206">
        <v>45909</v>
      </c>
      <c r="CP28" s="401">
        <v>4.9164987274739501E-3</v>
      </c>
      <c r="CQ28" s="401">
        <v>1.50534336625632E-2</v>
      </c>
      <c r="CR28" s="203">
        <v>1.66813703178499E-2</v>
      </c>
      <c r="CS28" s="203">
        <v>8.0691630689860606E-3</v>
      </c>
    </row>
    <row r="29" spans="6:97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">
        <v>727</v>
      </c>
      <c r="T29" s="53"/>
      <c r="W29" s="367"/>
      <c r="X29" s="5"/>
      <c r="Z29" s="368"/>
      <c r="AA29" s="203"/>
      <c r="AB29" s="50"/>
      <c r="AC29" s="222" t="s">
        <v>751</v>
      </c>
      <c r="AD29" s="216" t="str">
        <f>INDEX('STATIC DATA'!C39:AB39,1,MATCH($A$1,'STATIC DATA'!$C$4:$AB$4,0))</f>
        <v>MOB</v>
      </c>
      <c r="AE29" s="53"/>
      <c r="AH29" s="5"/>
      <c r="AI29" s="5"/>
      <c r="AJ29" s="5"/>
      <c r="AK29" s="5"/>
      <c r="AM29" s="50"/>
      <c r="AN29" s="222" t="s">
        <v>751</v>
      </c>
      <c r="AO29" s="216" t="s">
        <v>608</v>
      </c>
      <c r="AP29" s="53"/>
      <c r="AX29" s="50"/>
      <c r="AY29" s="222" t="s">
        <v>751</v>
      </c>
      <c r="AZ29" s="216" t="str">
        <f>INDEX('STATIC DATA'!C39:AB39,1,MATCH($A$1,'STATIC DATA'!$C$4:$AB$4,0))</f>
        <v>MOB</v>
      </c>
      <c r="BA29" s="53"/>
      <c r="BI29" s="50"/>
      <c r="BJ29" s="222" t="s">
        <v>751</v>
      </c>
      <c r="BK29" s="216" t="s">
        <v>1198</v>
      </c>
      <c r="BL29" s="53"/>
      <c r="BT29" s="50"/>
      <c r="BU29" s="52"/>
      <c r="BV29" s="52"/>
      <c r="BW29" s="55"/>
      <c r="BX29" s="332"/>
      <c r="BY29" s="379"/>
      <c r="BZ29" s="5"/>
      <c r="CA29" s="5"/>
      <c r="CD29" s="57" t="s">
        <v>1087</v>
      </c>
      <c r="CE29" s="57" t="s">
        <v>1217</v>
      </c>
      <c r="CJ29" s="57" t="s">
        <v>1087</v>
      </c>
      <c r="CK29" s="57" t="s">
        <v>1217</v>
      </c>
      <c r="CM29" s="318"/>
      <c r="CN29" s="319"/>
      <c r="CO29" s="206">
        <v>46000</v>
      </c>
      <c r="CP29" s="401">
        <v>5.4849736225379897E-3</v>
      </c>
      <c r="CQ29" s="401">
        <v>1.6253037564687701E-2</v>
      </c>
      <c r="CR29" s="203">
        <v>1.70508638895089E-2</v>
      </c>
      <c r="CS29" s="203">
        <v>8.3831349088244501E-3</v>
      </c>
    </row>
    <row r="30" spans="6:97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222" t="s">
        <v>752</v>
      </c>
      <c r="AD30" s="216" t="str">
        <f>INDEX('STATIC DATA'!C55:AB55,1,MATCH($A$1,'STATIC DATA'!C4:AB4,0))</f>
        <v>ACT/365</v>
      </c>
      <c r="AE30" s="53"/>
      <c r="AH30" s="5"/>
      <c r="AI30" s="5"/>
      <c r="AJ30" s="5"/>
      <c r="AK30" s="5"/>
      <c r="AM30" s="50"/>
      <c r="AN30" s="222" t="s">
        <v>752</v>
      </c>
      <c r="AO30" s="216" t="s">
        <v>48</v>
      </c>
      <c r="AP30" s="53"/>
      <c r="AX30" s="50"/>
      <c r="AY30" s="222" t="s">
        <v>752</v>
      </c>
      <c r="AZ30" s="216" t="str">
        <f>INDEX('STATIC DATA'!C55:AB55,1,MATCH($A$1,'STATIC DATA'!C4:AB4,0))</f>
        <v>ACT/365</v>
      </c>
      <c r="BA30" s="53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T30" s="50"/>
      <c r="BU30" s="55"/>
      <c r="BV30" s="55"/>
      <c r="BW30" s="55"/>
      <c r="BX30" s="332"/>
      <c r="BY30" s="302"/>
      <c r="BZ30" s="374"/>
      <c r="CA30" s="374"/>
      <c r="CB30" s="302"/>
      <c r="CD30" s="57" t="s">
        <v>1088</v>
      </c>
      <c r="CE30" s="443" t="s">
        <v>1217</v>
      </c>
      <c r="CJ30" s="57" t="s">
        <v>1088</v>
      </c>
      <c r="CK30" s="443" t="s">
        <v>1217</v>
      </c>
      <c r="CM30" s="318"/>
      <c r="CN30" s="319"/>
      <c r="CO30" s="206">
        <v>46090</v>
      </c>
      <c r="CP30" s="401">
        <v>6.0488132273734596E-3</v>
      </c>
      <c r="CQ30" s="401">
        <v>1.5785196707144601E-2</v>
      </c>
      <c r="CR30" s="203">
        <v>1.5728413790070402E-2</v>
      </c>
      <c r="CS30" s="203">
        <v>8.6995784844704892E-3</v>
      </c>
    </row>
    <row r="31" spans="6:97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753</v>
      </c>
      <c r="BK31" s="219" t="s">
        <v>458</v>
      </c>
      <c r="BL31" s="249"/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M31" s="318"/>
      <c r="CN31" s="319"/>
      <c r="CO31" s="206">
        <v>46182</v>
      </c>
      <c r="CP31" s="401">
        <v>6.6270881222460897E-3</v>
      </c>
      <c r="CQ31" s="401">
        <v>1.3612269472152499E-2</v>
      </c>
      <c r="CR31" s="203">
        <v>1.29951211654721E-2</v>
      </c>
      <c r="CS31" s="203">
        <v>9.0197524627682098E-3</v>
      </c>
    </row>
    <row r="32" spans="6:97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754</v>
      </c>
      <c r="AD32" s="216" t="s">
        <v>687</v>
      </c>
      <c r="AE32" s="53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754</v>
      </c>
      <c r="BK32" s="216" t="s">
        <v>687</v>
      </c>
      <c r="BL32" s="53"/>
      <c r="BT32" s="50"/>
      <c r="BU32" s="55"/>
      <c r="BV32" s="55"/>
      <c r="BW32" s="55"/>
      <c r="BX32" s="332"/>
      <c r="BY32" s="206"/>
      <c r="BZ32" s="206"/>
      <c r="CA32" s="299"/>
      <c r="CB32" s="299"/>
      <c r="CM32" s="318"/>
      <c r="CN32" s="319"/>
      <c r="CO32" s="206">
        <v>46274</v>
      </c>
      <c r="CP32" s="401">
        <v>7.2075436297922204E-3</v>
      </c>
      <c r="CQ32" s="401">
        <v>1.0316706140047699E-2</v>
      </c>
      <c r="CR32" s="203">
        <v>1.0259383166057E-2</v>
      </c>
      <c r="CS32" s="203">
        <v>9.3385137910785305E-3</v>
      </c>
    </row>
    <row r="33" spans="6:97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">
        <v>1195</v>
      </c>
      <c r="T33" s="53"/>
      <c r="W33" s="5"/>
      <c r="X33" s="5"/>
      <c r="Z33" s="5"/>
      <c r="AB33" s="50"/>
      <c r="AC33" s="222" t="s">
        <v>755</v>
      </c>
      <c r="AD33" s="216">
        <v>0</v>
      </c>
      <c r="AE33" s="53"/>
      <c r="AM33" s="50"/>
      <c r="AN33" s="222" t="s">
        <v>755</v>
      </c>
      <c r="AO33" s="216">
        <v>0</v>
      </c>
      <c r="AP33" s="53"/>
      <c r="AX33" s="50"/>
      <c r="AY33" s="222" t="s">
        <v>755</v>
      </c>
      <c r="AZ33" s="216">
        <v>0</v>
      </c>
      <c r="BA33" s="53"/>
      <c r="BI33" s="50"/>
      <c r="BJ33" s="222" t="s">
        <v>755</v>
      </c>
      <c r="BK33" s="216" t="s">
        <v>997</v>
      </c>
      <c r="BL33" s="53"/>
      <c r="BT33" s="50"/>
      <c r="BU33" s="55"/>
      <c r="BV33" s="55"/>
      <c r="BW33" s="55"/>
      <c r="BX33" s="332"/>
      <c r="BY33" s="206"/>
      <c r="BZ33" s="206"/>
      <c r="CA33" s="305"/>
      <c r="CB33" s="299"/>
      <c r="CM33" s="318"/>
      <c r="CN33" s="319"/>
      <c r="CO33" s="206">
        <v>46365</v>
      </c>
      <c r="CP33" s="401">
        <v>7.7541515773646404E-3</v>
      </c>
      <c r="CQ33" s="401">
        <v>8.1665450808224207E-3</v>
      </c>
      <c r="CR33" s="203">
        <v>8.9320294675503606E-3</v>
      </c>
      <c r="CS33" s="203">
        <v>9.6542124504940506E-3</v>
      </c>
    </row>
    <row r="34" spans="6:97" x14ac:dyDescent="0.25">
      <c r="F34" s="50"/>
      <c r="G34" s="222" t="s">
        <v>697</v>
      </c>
      <c r="H34" s="223">
        <v>1E-10</v>
      </c>
      <c r="I34" s="53"/>
      <c r="L34" s="5"/>
      <c r="M34" s="5"/>
      <c r="N34" s="5"/>
      <c r="O34" s="5"/>
      <c r="Q34" s="50"/>
      <c r="R34" s="222" t="s">
        <v>678</v>
      </c>
      <c r="S34" s="223" t="s">
        <v>727</v>
      </c>
      <c r="T34" s="53"/>
      <c r="W34" s="5"/>
      <c r="X34" s="5"/>
      <c r="Z34" s="5"/>
      <c r="AB34" s="50"/>
      <c r="AC34" s="245" t="s">
        <v>756</v>
      </c>
      <c r="AD34" s="247" t="s">
        <v>714</v>
      </c>
      <c r="AE34" s="249" t="s">
        <v>801</v>
      </c>
      <c r="AM34" s="50"/>
      <c r="AN34" s="234" t="s">
        <v>756</v>
      </c>
      <c r="AO34" s="247" t="s">
        <v>790</v>
      </c>
      <c r="AP34" s="249" t="s">
        <v>801</v>
      </c>
      <c r="AX34" s="50"/>
      <c r="AY34" s="245" t="s">
        <v>756</v>
      </c>
      <c r="AZ34" s="244" t="s">
        <v>714</v>
      </c>
      <c r="BA34" s="53"/>
      <c r="BI34" s="50"/>
      <c r="BJ34" s="234" t="s">
        <v>757</v>
      </c>
      <c r="BK34" s="260" t="s">
        <v>773</v>
      </c>
      <c r="BL34" s="53"/>
      <c r="BT34" s="50"/>
      <c r="BU34" s="55"/>
      <c r="BV34" s="55"/>
      <c r="BW34" s="55"/>
      <c r="BX34" s="332"/>
      <c r="BY34" s="206"/>
      <c r="BZ34" s="206"/>
      <c r="CA34" s="305"/>
      <c r="CB34" s="299"/>
      <c r="CM34" s="330"/>
      <c r="CN34" s="331"/>
      <c r="CO34" s="206">
        <v>46455</v>
      </c>
      <c r="CP34" s="401">
        <v>8.2387754349079606E-3</v>
      </c>
      <c r="CQ34" s="401">
        <v>7.6862513174850398E-3</v>
      </c>
      <c r="CR34" s="203">
        <v>9.3055762893615602E-3</v>
      </c>
      <c r="CS34" s="203">
        <v>9.9724882253345599E-3</v>
      </c>
    </row>
    <row r="35" spans="6:97" x14ac:dyDescent="0.25">
      <c r="F35" s="50"/>
      <c r="G35" s="222" t="s">
        <v>698</v>
      </c>
      <c r="H35" s="223">
        <v>1000</v>
      </c>
      <c r="I35" s="53"/>
      <c r="L35" s="5"/>
      <c r="M35" s="5"/>
      <c r="N35" s="5"/>
      <c r="O35" s="5"/>
      <c r="Q35" s="50"/>
      <c r="R35" s="222" t="s">
        <v>679</v>
      </c>
      <c r="S35" s="223" t="s">
        <v>729</v>
      </c>
      <c r="T35" s="53"/>
      <c r="W35" s="5"/>
      <c r="X35" s="5"/>
      <c r="Z35" s="5"/>
      <c r="AB35" s="50"/>
      <c r="AC35" s="233" t="s">
        <v>757</v>
      </c>
      <c r="AD35" s="229" t="s">
        <v>426</v>
      </c>
      <c r="AE35" s="53"/>
      <c r="AM35" s="50"/>
      <c r="AN35" s="234" t="s">
        <v>757</v>
      </c>
      <c r="AO35" s="229" t="s">
        <v>790</v>
      </c>
      <c r="AP35" s="53"/>
      <c r="AX35" s="50"/>
      <c r="AY35" s="233" t="s">
        <v>757</v>
      </c>
      <c r="AZ35" s="244" t="s">
        <v>426</v>
      </c>
      <c r="BA35" s="53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M35" s="299"/>
      <c r="CN35" s="299"/>
      <c r="CO35" s="206">
        <v>46547</v>
      </c>
      <c r="CP35" s="401">
        <v>8.6763412567000403E-3</v>
      </c>
      <c r="CQ35" s="401">
        <v>8.9061152227915205E-3</v>
      </c>
      <c r="CR35" s="203">
        <v>1.11583911328465E-2</v>
      </c>
      <c r="CS35" s="203">
        <v>1.0294451516300899E-2</v>
      </c>
    </row>
    <row r="36" spans="6:97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DATA'!C7:AB7,1,MATCH($A$1,'STATIC DATA'!C4:AB4,0))</f>
        <v>0D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M36" s="299"/>
      <c r="CN36" s="299"/>
      <c r="CO36" s="206">
        <v>46639</v>
      </c>
      <c r="CP36" s="401">
        <v>9.0550801334451404E-3</v>
      </c>
      <c r="CQ36" s="401">
        <v>1.1398957923941201E-2</v>
      </c>
      <c r="CR36" s="203">
        <v>1.3441822031313701E-2</v>
      </c>
      <c r="CS36" s="203">
        <v>1.0611881923168601E-2</v>
      </c>
    </row>
    <row r="37" spans="6:97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ACT/365</v>
      </c>
      <c r="AE37" s="53"/>
      <c r="AG37" s="2" t="s">
        <v>662</v>
      </c>
      <c r="AM37" s="50"/>
      <c r="AN37" s="222" t="s">
        <v>759</v>
      </c>
      <c r="AO37" s="216" t="s">
        <v>48</v>
      </c>
      <c r="AP37" s="53"/>
      <c r="AX37" s="50"/>
      <c r="AY37" s="222" t="s">
        <v>759</v>
      </c>
      <c r="AZ37" s="216" t="str">
        <f>INDEX('STATIC DATA'!C55:AB55,1,MATCH($A$1,'STATIC DATA'!C4:AB4,0))</f>
        <v>ACT/365</v>
      </c>
      <c r="BA37" s="53"/>
      <c r="BC37" s="2" t="s">
        <v>662</v>
      </c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M37" s="299"/>
      <c r="CN37" s="299"/>
      <c r="CO37" s="206">
        <v>46730</v>
      </c>
      <c r="CP37" s="401">
        <v>9.3806975151008408E-3</v>
      </c>
      <c r="CQ37" s="401">
        <v>1.3444238364577799E-2</v>
      </c>
      <c r="CR37" s="203">
        <v>1.50664527512541E-2</v>
      </c>
      <c r="CS37" s="203">
        <v>1.0912766053351499E-2</v>
      </c>
    </row>
    <row r="38" spans="6:97" x14ac:dyDescent="0.25">
      <c r="F38" s="50"/>
      <c r="G38" s="222"/>
      <c r="H38" s="223"/>
      <c r="I38" s="53"/>
      <c r="K38" t="s">
        <v>434</v>
      </c>
      <c r="L38" t="str">
        <f>$A$1</f>
        <v>CAD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CAD</v>
      </c>
      <c r="AB38" s="50"/>
      <c r="AC38" s="222" t="s">
        <v>760</v>
      </c>
      <c r="AD38" s="216" t="str">
        <f>INDEX('STATIC DATA'!C39:AB39,1,MATCH($A$1,'STATIC DATA'!$C$4:$AB$4,0))</f>
        <v>MOB</v>
      </c>
      <c r="AE38" s="53"/>
      <c r="AG38" t="s">
        <v>434</v>
      </c>
      <c r="AH38" t="str">
        <f>$A$1</f>
        <v>CAD</v>
      </c>
      <c r="AM38" s="50"/>
      <c r="AN38" s="222" t="s">
        <v>760</v>
      </c>
      <c r="AO38" s="216" t="s">
        <v>608</v>
      </c>
      <c r="AP38" s="53"/>
      <c r="AX38" s="50"/>
      <c r="AY38" s="222" t="s">
        <v>760</v>
      </c>
      <c r="AZ38" s="216" t="str">
        <f>INDEX('STATIC DATA'!C39:AB39,1,MATCH($A$1,'STATIC DATA'!$C$4:$AB$4,0))</f>
        <v>MOB</v>
      </c>
      <c r="BA38" s="53"/>
      <c r="BC38" t="s">
        <v>434</v>
      </c>
      <c r="BD38" t="str">
        <f>$A$1</f>
        <v>CAD</v>
      </c>
      <c r="BI38" s="50"/>
      <c r="BJ38" s="222" t="s">
        <v>760</v>
      </c>
      <c r="BK38" s="216" t="s">
        <v>1198</v>
      </c>
      <c r="BL38" s="53"/>
      <c r="BN38" t="s">
        <v>434</v>
      </c>
      <c r="BO38" t="str">
        <f>$A$1</f>
        <v>CAD</v>
      </c>
      <c r="BT38" s="50"/>
      <c r="BU38" s="55"/>
      <c r="BV38" s="55"/>
      <c r="BW38" s="55"/>
      <c r="BX38" s="332"/>
      <c r="BY38" s="147" t="s">
        <v>434</v>
      </c>
      <c r="BZ38" s="238" t="s">
        <v>974</v>
      </c>
      <c r="CA38" s="305"/>
      <c r="CB38" s="299"/>
      <c r="CD38" t="s">
        <v>434</v>
      </c>
      <c r="CE38" t="str">
        <f>$A$1</f>
        <v>CAD</v>
      </c>
      <c r="CJ38" t="s">
        <v>434</v>
      </c>
      <c r="CK38" t="str">
        <f>$A$1</f>
        <v>CAD</v>
      </c>
      <c r="CM38" s="299"/>
      <c r="CN38" s="299"/>
      <c r="CO38" s="206">
        <v>46821</v>
      </c>
      <c r="CP38" s="401">
        <v>9.6663630568590703E-3</v>
      </c>
      <c r="CQ38" s="401">
        <v>1.46299174578499E-2</v>
      </c>
      <c r="CR38" s="203">
        <v>1.5816644343976598E-2</v>
      </c>
      <c r="CS38" s="203">
        <v>1.1197288966955699E-2</v>
      </c>
    </row>
    <row r="39" spans="6:97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C39" t="s">
        <v>435</v>
      </c>
      <c r="BD39" t="s">
        <v>468</v>
      </c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M39" s="299"/>
      <c r="CN39" s="299"/>
      <c r="CO39" s="206">
        <v>46913</v>
      </c>
      <c r="CP39" s="401">
        <v>9.9169532881489796E-3</v>
      </c>
      <c r="CQ39" s="401">
        <v>1.49394612251756E-2</v>
      </c>
      <c r="CR39" s="203">
        <v>1.57782156537838E-2</v>
      </c>
      <c r="CS39" s="203">
        <v>1.1467979614071901E-2</v>
      </c>
    </row>
    <row r="40" spans="6:97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MOB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MOB</v>
      </c>
      <c r="AE40" s="53"/>
      <c r="AG40" t="s">
        <v>438</v>
      </c>
      <c r="AH40" t="s">
        <v>459</v>
      </c>
      <c r="AM40" s="50"/>
      <c r="AN40" s="225" t="s">
        <v>762</v>
      </c>
      <c r="AO40" s="219" t="s">
        <v>608</v>
      </c>
      <c r="AP40" s="53"/>
      <c r="AX40" s="50"/>
      <c r="AY40" s="225" t="s">
        <v>762</v>
      </c>
      <c r="AZ40" s="219" t="str">
        <f>INDEX('STATIC DATA'!C39:AB39,1,MATCH($A$1,'STATIC DATA'!$C$4:$AB$4,0))</f>
        <v>MOB</v>
      </c>
      <c r="BA40" s="53"/>
      <c r="BC40" t="s">
        <v>438</v>
      </c>
      <c r="BD40" t="s">
        <v>794</v>
      </c>
      <c r="BI40" s="50"/>
      <c r="BJ40" s="225" t="s">
        <v>762</v>
      </c>
      <c r="BK40" s="219" t="str">
        <f>INDEX('STATIC DATA'!C30:AB30,1,MATCH($A$1,'STATIC DATA'!$C$4:$AB$4,0))</f>
        <v>MOB:NYB:LNB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75">
        <f>TODAY()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M40" s="299"/>
      <c r="CN40" s="299"/>
      <c r="CO40" s="206">
        <v>47007</v>
      </c>
      <c r="CP40" s="401">
        <v>1.0124556401018401E-2</v>
      </c>
      <c r="CQ40" s="401">
        <v>1.4547522300823301E-2</v>
      </c>
      <c r="CR40" s="203">
        <v>1.54319583013487E-2</v>
      </c>
      <c r="CS40" s="203">
        <v>1.17177150124311E-2</v>
      </c>
    </row>
    <row r="41" spans="6:97" x14ac:dyDescent="0.25">
      <c r="F41" s="50"/>
      <c r="G41" s="52"/>
      <c r="H41" s="52"/>
      <c r="I41" s="53"/>
      <c r="K41" t="s">
        <v>440</v>
      </c>
      <c r="L41" s="200">
        <f>TODAY()</f>
        <v>44083</v>
      </c>
      <c r="Q41" s="50"/>
      <c r="R41" s="222" t="s">
        <v>731</v>
      </c>
      <c r="S41" s="223" t="s">
        <v>727</v>
      </c>
      <c r="T41" s="53"/>
      <c r="V41" t="s">
        <v>440</v>
      </c>
      <c r="W41" s="200">
        <f>TODAY()</f>
        <v>44083</v>
      </c>
      <c r="AB41" s="50"/>
      <c r="AC41" s="225" t="s">
        <v>763</v>
      </c>
      <c r="AD41" s="219">
        <v>0</v>
      </c>
      <c r="AE41" s="53"/>
      <c r="AG41" t="s">
        <v>440</v>
      </c>
      <c r="AH41" s="200">
        <f>TODAY()</f>
        <v>44083</v>
      </c>
      <c r="AM41" s="50"/>
      <c r="AN41" s="225" t="s">
        <v>763</v>
      </c>
      <c r="AO41" s="219">
        <v>0</v>
      </c>
      <c r="AP41" s="53"/>
      <c r="AX41" s="50"/>
      <c r="AY41" s="225" t="s">
        <v>763</v>
      </c>
      <c r="AZ41" s="219">
        <v>0</v>
      </c>
      <c r="BA41" s="53"/>
      <c r="BC41" t="s">
        <v>440</v>
      </c>
      <c r="BD41" s="200">
        <f>'STATIC DATA'!Q5</f>
        <v>44083</v>
      </c>
      <c r="BE41" s="193"/>
      <c r="BI41" s="50"/>
      <c r="BJ41" s="225" t="s">
        <v>763</v>
      </c>
      <c r="BK41" s="219" t="s">
        <v>997</v>
      </c>
      <c r="BL41" s="53"/>
      <c r="BN41" t="s">
        <v>440</v>
      </c>
      <c r="BO41" s="200">
        <f>TODAY()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DATA'!E5</f>
        <v>44083</v>
      </c>
      <c r="CJ41" t="s">
        <v>440</v>
      </c>
      <c r="CK41" s="275">
        <f>'STATIC DATA'!E5</f>
        <v>44083</v>
      </c>
      <c r="CM41" s="299"/>
      <c r="CN41" s="299"/>
      <c r="CO41" s="206">
        <v>47098</v>
      </c>
      <c r="CP41" s="401">
        <v>1.0350673475992399E-2</v>
      </c>
      <c r="CQ41" s="401">
        <v>1.42573957558645E-2</v>
      </c>
      <c r="CR41" s="203">
        <v>1.52882342756595E-2</v>
      </c>
      <c r="CS41" s="203">
        <v>1.19457021971353E-2</v>
      </c>
    </row>
    <row r="42" spans="6:97" x14ac:dyDescent="0.25">
      <c r="F42" s="50"/>
      <c r="G42" s="54" t="s">
        <v>428</v>
      </c>
      <c r="H42" s="227" t="s">
        <v>708</v>
      </c>
      <c r="I42" s="53"/>
      <c r="Q42" s="50"/>
      <c r="R42" s="222" t="s">
        <v>732</v>
      </c>
      <c r="S42" s="223" t="str">
        <f>INDEX('STATIC DATA'!C7:AB7,1,MATCH($A$1,'STATIC DATA'!C4:AB4,0))</f>
        <v>0D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M42" s="299"/>
      <c r="CN42" s="299"/>
      <c r="CO42" s="206">
        <v>47186</v>
      </c>
      <c r="CP42" s="401">
        <v>1.0655765558909E-2</v>
      </c>
      <c r="CQ42" s="401">
        <v>1.42603682088835E-2</v>
      </c>
      <c r="CR42" s="203">
        <v>1.54368964346904E-2</v>
      </c>
      <c r="CS42" s="203">
        <v>1.2152896277938301E-2</v>
      </c>
    </row>
    <row r="43" spans="6:97" x14ac:dyDescent="0.25">
      <c r="F43" s="50"/>
      <c r="G43" s="220" t="s">
        <v>677</v>
      </c>
      <c r="H43" s="221" t="s">
        <v>1195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MOB</v>
      </c>
      <c r="AE43" s="53"/>
      <c r="AG43" s="2" t="s">
        <v>441</v>
      </c>
      <c r="AM43" s="50"/>
      <c r="AN43" s="222" t="s">
        <v>765</v>
      </c>
      <c r="AO43" s="216" t="s">
        <v>608</v>
      </c>
      <c r="AP43" s="53"/>
      <c r="AX43" s="50"/>
      <c r="AY43" s="222" t="s">
        <v>765</v>
      </c>
      <c r="AZ43" s="216" t="str">
        <f>INDEX('STATIC DATA'!C39:AB39,1,MATCH($A$1,'STATIC DATA'!$C$4:$AB$4,0))</f>
        <v>MOB</v>
      </c>
      <c r="BA43" s="53"/>
      <c r="BC43" s="2" t="s">
        <v>441</v>
      </c>
      <c r="BI43" s="50"/>
      <c r="BJ43" s="222" t="s">
        <v>765</v>
      </c>
      <c r="BK43" s="216" t="s">
        <v>1198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M43" s="299"/>
      <c r="CN43" s="299"/>
      <c r="CO43" s="206">
        <v>47280</v>
      </c>
      <c r="CP43" s="401">
        <v>1.1063280080694101E-2</v>
      </c>
      <c r="CQ43" s="401">
        <v>1.45618149275384E-2</v>
      </c>
      <c r="CR43" s="203">
        <v>1.58551516003144E-2</v>
      </c>
      <c r="CS43" s="203">
        <v>1.23487670193095E-2</v>
      </c>
    </row>
    <row r="44" spans="6:97" x14ac:dyDescent="0.25">
      <c r="F44" s="50"/>
      <c r="G44" s="222" t="s">
        <v>709</v>
      </c>
      <c r="H44" s="223" t="s">
        <v>727</v>
      </c>
      <c r="I44" s="53"/>
      <c r="K44" s="206" t="s">
        <v>442</v>
      </c>
      <c r="L44" s="206" t="str">
        <f>L38&amp;"_"&amp;L39&amp;"_CURVE_MARKETDATA"</f>
        <v>CAD_OIS_CURVE_MARKETDATA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CAD_SWAP_3M_CURVE_MARKETDATA</v>
      </c>
      <c r="AB44" s="50"/>
      <c r="AC44" s="222" t="s">
        <v>766</v>
      </c>
      <c r="AD44" s="216" t="str">
        <f>INDEX('STATIC DATA'!C55:AB55,1,MATCH($A$1,'STATIC DATA'!C4:AB4,0))</f>
        <v>ACT/365</v>
      </c>
      <c r="AE44" s="53"/>
      <c r="AG44" t="s">
        <v>442</v>
      </c>
      <c r="AH44" t="str">
        <f>A1&amp;"_BASIS_3X6_MARKETDATA"</f>
        <v>CAD_BASIS_3X6_MARKETDATA</v>
      </c>
      <c r="AM44" s="50"/>
      <c r="AN44" s="222" t="s">
        <v>766</v>
      </c>
      <c r="AO44" s="216" t="s">
        <v>48</v>
      </c>
      <c r="AP44" s="53"/>
      <c r="AX44" s="50"/>
      <c r="AY44" s="222" t="s">
        <v>766</v>
      </c>
      <c r="AZ44" s="216" t="str">
        <f>INDEX('STATIC DATA'!C55:AB55,1,MATCH($A$1,'STATIC DATA'!C4:AB4,0))</f>
        <v>ACT/365</v>
      </c>
      <c r="BA44" s="53"/>
      <c r="BC44" t="s">
        <v>442</v>
      </c>
      <c r="BD44" t="str">
        <f>$A$1&amp;"_BASIS_1M3M_MARKETDATA"</f>
        <v>CAD_BASIS_1M3M_MARKETDATA</v>
      </c>
      <c r="BI44" s="50"/>
      <c r="BJ44" s="222" t="s">
        <v>766</v>
      </c>
      <c r="BK44" s="216" t="s">
        <v>727</v>
      </c>
      <c r="BL44" s="53"/>
      <c r="BN44" t="s">
        <v>442</v>
      </c>
      <c r="BO44" t="str">
        <f>A1&amp;"_"&amp;BO39&amp;"_CURVE_MARKETDATA"</f>
        <v>CAD_XCCYBASIS_CURVE_MARKETDATA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975</v>
      </c>
      <c r="CA44" s="325"/>
      <c r="CB44" s="303"/>
      <c r="CD44" t="s">
        <v>442</v>
      </c>
      <c r="CE44" t="str">
        <f>$A$1&amp;"_FXFWD_MARKET_DATA"</f>
        <v>CAD_FXFWD_MARKET_DATA</v>
      </c>
      <c r="CJ44" t="s">
        <v>442</v>
      </c>
      <c r="CK44" t="str">
        <f>$A$1&amp;"_FXFWD_MARKET_DATA"</f>
        <v>CAD_FXFWD_MARKET_DATA</v>
      </c>
      <c r="CM44" s="299"/>
      <c r="CN44" s="299"/>
      <c r="CO44" s="206">
        <v>47371</v>
      </c>
      <c r="CP44" s="401">
        <v>1.1551794251368999E-2</v>
      </c>
      <c r="CQ44" s="401">
        <v>1.5086001298251399E-2</v>
      </c>
      <c r="CR44" s="203">
        <v>1.6366317490553901E-2</v>
      </c>
      <c r="CS44" s="203">
        <v>1.25214457972238E-2</v>
      </c>
    </row>
    <row r="45" spans="6:97" x14ac:dyDescent="0.25">
      <c r="F45" s="50"/>
      <c r="G45" s="222" t="s">
        <v>710</v>
      </c>
      <c r="H45" s="223" t="s">
        <v>680</v>
      </c>
      <c r="I45" s="53"/>
      <c r="K45" s="206" t="s">
        <v>444</v>
      </c>
      <c r="L45" s="206" t="str">
        <f>_xll.meLWOCurveMarketDataCreate(L44,"MarketDataProperties",K38:L41,"OIS",K7:L26)</f>
        <v>CAD_OIS_CURVE_MARKETDATA@87:7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_xll.meLWOCurveMarketDataCreate(W44,V37,V38:W42,"LIBORFIXINGS",V7:X9,"SWAPS",V11:X26)</f>
        <v>CAD_SWAP_3M_CURVE_MARKETDATA@86:7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_xll.meLWOCurveMarketDataCreate(AH44,AG37,AG38:AH42,"BASISSWAPS",AG7:AI19)</f>
        <v>CAD_BASIS_3X6_MARKETDATA@81:7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C45" t="s">
        <v>444</v>
      </c>
      <c r="BD45" t="str">
        <f>_xll.meLWOCurveMarketDataCreate(BD44,BC37,BC38:BD42,"LIBORFIXINGS",BC7:BE7,"BASISSWAPS",BC8:BE17)</f>
        <v>CAD_BASIS_1M3M_MARKETDATA@84:7</v>
      </c>
      <c r="BI45" s="50"/>
      <c r="BJ45" s="222" t="s">
        <v>767</v>
      </c>
      <c r="BK45" s="216" t="s">
        <v>458</v>
      </c>
      <c r="BL45" s="53"/>
      <c r="BN45" t="s">
        <v>444</v>
      </c>
      <c r="BO45" t="str">
        <f>_xll.meLWOCurveMarketDataCreate(BO44,BN37,BN38:BO42,"FXSPOTS",BN7:BP7,"FXFWDS",BN8:BP16,"XCCYSWAPS",BN17:BP24)</f>
        <v>CAD_XCCYBASIS_CURVE_MARKETDATA@85:7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_xll.meLWOCurveMarketDataCreate(BZ44,"MARKETDATAPROPERTIES",BY38:BZ41,"FXSPOTS",BZ7:CA7,"FXFWDS",BY8:CA22)</f>
        <v>MKTDATA_USDZAR@92:7</v>
      </c>
      <c r="CA45" s="313"/>
      <c r="CB45" s="313"/>
      <c r="CD45" t="s">
        <v>444</v>
      </c>
      <c r="CE45" t="str">
        <f>_xll.meLWOCurveMarketDataCreate(CE44,CD37,CD38:CE41)</f>
        <v>CAD_FXFWD_MARKET_DATA@82:7</v>
      </c>
      <c r="CJ45" t="s">
        <v>444</v>
      </c>
      <c r="CK45" t="str">
        <f>_xll.meLWOCurveMarketDataCreate(CK44,CJ37,CJ38:CK41)</f>
        <v>CAD_FXFWD_MARKET_DATA@83:7</v>
      </c>
      <c r="CM45" s="299"/>
      <c r="CN45" s="299"/>
      <c r="CO45" s="206">
        <v>47462</v>
      </c>
      <c r="CP45" s="401">
        <v>1.19917445563845E-2</v>
      </c>
      <c r="CQ45" s="401">
        <v>1.55851547376109E-2</v>
      </c>
      <c r="CR45" s="203">
        <v>1.6820471727687601E-2</v>
      </c>
      <c r="CS45" s="203">
        <v>1.2677279034501301E-2</v>
      </c>
    </row>
    <row r="46" spans="6:97" x14ac:dyDescent="0.25">
      <c r="F46" s="50"/>
      <c r="G46" s="225" t="s">
        <v>686</v>
      </c>
      <c r="H46" s="226" t="s">
        <v>687</v>
      </c>
      <c r="I46" s="53"/>
      <c r="K46" s="206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794</v>
      </c>
      <c r="BA46" s="53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M46" s="299"/>
      <c r="CN46" s="299"/>
      <c r="CO46" s="206">
        <v>47553</v>
      </c>
      <c r="CP46" s="401">
        <v>1.2246907449464699E-2</v>
      </c>
      <c r="CQ46" s="401">
        <v>1.5994076679464099E-2</v>
      </c>
      <c r="CR46" s="203">
        <v>1.71859795904418E-2</v>
      </c>
      <c r="CS46" s="203">
        <v>1.2815983289705299E-2</v>
      </c>
    </row>
    <row r="47" spans="6:97" x14ac:dyDescent="0.25">
      <c r="F47" s="50"/>
      <c r="G47" s="52"/>
      <c r="H47" s="52"/>
      <c r="I47" s="53"/>
      <c r="K47" s="678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C47" s="2" t="s">
        <v>447</v>
      </c>
      <c r="BI47" s="50"/>
      <c r="BJ47" s="222" t="s">
        <v>770</v>
      </c>
      <c r="BK47" s="216" t="s">
        <v>997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M47" s="299"/>
      <c r="CN47" s="299"/>
      <c r="CO47" s="206">
        <v>47644</v>
      </c>
      <c r="CP47" s="401">
        <v>1.23150774407244E-2</v>
      </c>
      <c r="CQ47" s="401">
        <v>1.6307757158278299E-2</v>
      </c>
      <c r="CR47" s="203">
        <v>1.74603244215897E-2</v>
      </c>
      <c r="CS47" s="203">
        <v>1.29356310810461E-2</v>
      </c>
    </row>
    <row r="48" spans="6:97" x14ac:dyDescent="0.25">
      <c r="F48" s="50"/>
      <c r="G48" s="52"/>
      <c r="H48" s="52"/>
      <c r="I48" s="53"/>
      <c r="K48" s="206" t="s">
        <v>442</v>
      </c>
      <c r="L48" s="206" t="str">
        <f>L38&amp;"_"&amp;L39&amp;"_CURVE"</f>
        <v>CAD_OIS_CURVE</v>
      </c>
      <c r="Q48" s="50"/>
      <c r="R48" s="220" t="s">
        <v>704</v>
      </c>
      <c r="S48" s="221" t="s">
        <v>1195</v>
      </c>
      <c r="T48" s="53"/>
      <c r="V48" t="s">
        <v>442</v>
      </c>
      <c r="W48" t="str">
        <f>W38&amp;"_"&amp;W39&amp;"_"&amp;INDEX('STATIC DATA'!$C$56:$AB$56,1,MATCH($W38,'STATIC DATA'!$C$4:$AB$4,0))&amp;"_CURVE"</f>
        <v>CAD_SWAP_3M_CURVE</v>
      </c>
      <c r="AB48" s="50"/>
      <c r="AC48" s="225" t="s">
        <v>770</v>
      </c>
      <c r="AD48" s="219">
        <v>0</v>
      </c>
      <c r="AE48" s="53"/>
      <c r="AG48" t="s">
        <v>442</v>
      </c>
      <c r="AH48" t="str">
        <f>A1&amp;"_BASIS_6M_CURVE"</f>
        <v>CAD_BASIS_6M_CURVE</v>
      </c>
      <c r="AM48" s="50"/>
      <c r="AN48" s="225" t="s">
        <v>770</v>
      </c>
      <c r="AO48" s="219">
        <v>0</v>
      </c>
      <c r="AP48" s="53"/>
      <c r="AX48" s="50"/>
      <c r="AY48" s="225" t="s">
        <v>770</v>
      </c>
      <c r="AZ48" s="219">
        <v>0</v>
      </c>
      <c r="BA48" s="53"/>
      <c r="BC48" t="s">
        <v>442</v>
      </c>
      <c r="BD48" t="str">
        <f>$A$1&amp;"_BASIS_1M3M_CURVE"</f>
        <v>CAD_BASIS_1M3M_CURVE</v>
      </c>
      <c r="BI48" s="50"/>
      <c r="BJ48" s="234" t="s">
        <v>772</v>
      </c>
      <c r="BK48" s="247" t="s">
        <v>1199</v>
      </c>
      <c r="BL48" s="249" t="s">
        <v>801</v>
      </c>
      <c r="BN48" t="s">
        <v>442</v>
      </c>
      <c r="BO48" t="str">
        <f>A1&amp;"_"&amp;BO39&amp;"_CURVE"</f>
        <v>CAD_XCCYBASIS_CURVE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1218</v>
      </c>
      <c r="CJ48" t="s">
        <v>442</v>
      </c>
      <c r="CK48" t="s">
        <v>1220</v>
      </c>
      <c r="CM48" s="299"/>
      <c r="CN48" s="299"/>
      <c r="CO48" s="206">
        <v>47735</v>
      </c>
      <c r="CP48" s="401">
        <v>1.21939602850953E-2</v>
      </c>
      <c r="CQ48" s="401">
        <v>1.6542365339815301E-2</v>
      </c>
      <c r="CR48" s="203">
        <v>1.76868096993263E-2</v>
      </c>
      <c r="CS48" s="203">
        <v>1.3039091969148301E-2</v>
      </c>
    </row>
    <row r="49" spans="6:97" x14ac:dyDescent="0.25">
      <c r="F49" s="50"/>
      <c r="G49" s="52"/>
      <c r="H49" s="52"/>
      <c r="I49" s="53"/>
      <c r="K49" s="206" t="s">
        <v>450</v>
      </c>
      <c r="L49" s="206" t="str">
        <f>H8</f>
        <v>CAD_OIS@79:0</v>
      </c>
      <c r="Q49" s="50"/>
      <c r="R49" s="222" t="s">
        <v>731</v>
      </c>
      <c r="S49" s="223" t="str">
        <f>INDEX('STATIC DATA'!C53:AB53,1,MATCH($A$1,'STATIC DATA'!C4:AB4,0))</f>
        <v>ACT/365</v>
      </c>
      <c r="T49" s="53"/>
      <c r="V49" t="s">
        <v>450</v>
      </c>
      <c r="W49" t="str">
        <f>S8</f>
        <v>CAD_SWAP_3M@73:0</v>
      </c>
      <c r="AB49" s="50"/>
      <c r="AC49" s="234" t="s">
        <v>771</v>
      </c>
      <c r="AD49" s="242" t="s">
        <v>1199</v>
      </c>
      <c r="AE49" s="53"/>
      <c r="AG49" t="s">
        <v>450</v>
      </c>
      <c r="AH49" t="str">
        <f>AD8</f>
        <v>CAD_BASIS_3M6M@78:0</v>
      </c>
      <c r="AM49" s="50"/>
      <c r="AN49" s="234" t="s">
        <v>771</v>
      </c>
      <c r="AO49" s="242" t="s">
        <v>792</v>
      </c>
      <c r="AP49" s="53"/>
      <c r="AX49" s="50"/>
      <c r="AY49" s="234" t="s">
        <v>771</v>
      </c>
      <c r="AZ49" s="248" t="s">
        <v>1199</v>
      </c>
      <c r="BA49" s="249" t="s">
        <v>801</v>
      </c>
      <c r="BC49" t="s">
        <v>450</v>
      </c>
      <c r="BD49" t="str">
        <f>AZ8</f>
        <v>CAD_BASIS_1X3@76:0</v>
      </c>
      <c r="BI49" s="50"/>
      <c r="BJ49" s="234" t="s">
        <v>771</v>
      </c>
      <c r="BK49" s="242" t="s">
        <v>1199</v>
      </c>
      <c r="BL49" s="53"/>
      <c r="BN49" t="s">
        <v>450</v>
      </c>
      <c r="BO49" t="str">
        <f>BK8</f>
        <v>CAD_XCCY@75:0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CAD_EURCSA@77:0</v>
      </c>
      <c r="CJ49" t="s">
        <v>450</v>
      </c>
      <c r="CK49" t="str">
        <f>CK8</f>
        <v>CAD_JPYCSA@80:0</v>
      </c>
      <c r="CM49" s="299"/>
      <c r="CN49" s="299"/>
      <c r="CO49" s="206" t="str">
        <v/>
      </c>
      <c r="CP49" s="401" t="str">
        <v/>
      </c>
      <c r="CQ49" s="401" t="str">
        <v/>
      </c>
      <c r="CR49" s="203" t="str">
        <v/>
      </c>
      <c r="CS49" s="203" t="str">
        <v/>
      </c>
    </row>
    <row r="50" spans="6:97" x14ac:dyDescent="0.25">
      <c r="F50" s="50"/>
      <c r="G50" s="52"/>
      <c r="H50" s="52"/>
      <c r="I50" s="53"/>
      <c r="K50" s="206" t="s">
        <v>452</v>
      </c>
      <c r="L50" s="206" t="str">
        <f>$A$1&amp;"YC"</f>
        <v>CADYC</v>
      </c>
      <c r="Q50" s="50"/>
      <c r="R50" s="222" t="s">
        <v>734</v>
      </c>
      <c r="S50" s="223" t="str">
        <f>INDEX('STATIC DATA'!C55:AB55,1,MATCH($A$1,'STATIC DATA'!C4:AB4,0))</f>
        <v>ACT/365</v>
      </c>
      <c r="T50" s="53"/>
      <c r="V50" t="s">
        <v>452</v>
      </c>
      <c r="W50" t="str">
        <f>$A$1&amp;"YC"</f>
        <v>CADYC</v>
      </c>
      <c r="AB50" s="50"/>
      <c r="AC50" s="234" t="s">
        <v>772</v>
      </c>
      <c r="AD50" s="242" t="s">
        <v>426</v>
      </c>
      <c r="AE50" s="53"/>
      <c r="AG50" t="s">
        <v>452</v>
      </c>
      <c r="AH50" t="str">
        <f>$A$1&amp;"YC"</f>
        <v>CADYC</v>
      </c>
      <c r="AM50" s="50"/>
      <c r="AN50" s="234" t="s">
        <v>772</v>
      </c>
      <c r="AO50" s="242" t="s">
        <v>792</v>
      </c>
      <c r="AP50" s="53"/>
      <c r="AX50" s="50"/>
      <c r="AY50" s="234" t="s">
        <v>772</v>
      </c>
      <c r="AZ50" s="242" t="s">
        <v>426</v>
      </c>
      <c r="BA50" s="53"/>
      <c r="BC50" t="s">
        <v>452</v>
      </c>
      <c r="BD50" t="str">
        <f>$A$1&amp;"YC"</f>
        <v>CADYC</v>
      </c>
      <c r="BI50" s="50"/>
      <c r="BJ50" s="245" t="s">
        <v>774</v>
      </c>
      <c r="BK50" s="244" t="s">
        <v>49</v>
      </c>
      <c r="BL50" s="53"/>
      <c r="BN50" t="s">
        <v>452</v>
      </c>
      <c r="BO50" t="str">
        <f>A1&amp;"YC"</f>
        <v>CADYC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1212</v>
      </c>
      <c r="CJ50" t="s">
        <v>452</v>
      </c>
      <c r="CK50" t="s">
        <v>1212</v>
      </c>
      <c r="CM50" s="299"/>
      <c r="CN50" s="299"/>
      <c r="CO50" s="206" t="str">
        <v/>
      </c>
      <c r="CP50" s="401" t="str">
        <v/>
      </c>
      <c r="CQ50" s="401" t="str">
        <v/>
      </c>
      <c r="CR50" s="203" t="str">
        <v/>
      </c>
      <c r="CS50" s="203" t="str">
        <v/>
      </c>
    </row>
    <row r="51" spans="6:97" x14ac:dyDescent="0.25">
      <c r="F51" s="50"/>
      <c r="G51" s="52"/>
      <c r="H51" s="52"/>
      <c r="I51" s="53"/>
      <c r="K51" s="206" t="s">
        <v>453</v>
      </c>
      <c r="L51" s="206"/>
      <c r="Q51" s="50"/>
      <c r="R51" s="222" t="s">
        <v>706</v>
      </c>
      <c r="S51" s="223" t="str">
        <f>IF(INDEX('STATIC DATA'!C54:AB54,1,MATCH(A1,'STATIC DATA'!C4:AB4,0))="1Y","ANNUAL",(IF(INDEX('STATIC DATA'!C54:AB54,1,MATCH(A1,'STATIC DATA'!C4:AB4,0))="6M","SEMI-ANNUAL", "QUARTERLY")))</f>
        <v>SEMI-ANNUAL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C51" t="s">
        <v>453</v>
      </c>
      <c r="BI51" s="50"/>
      <c r="BJ51" s="222" t="s">
        <v>775</v>
      </c>
      <c r="BK51" s="216" t="s">
        <v>727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M51" s="299"/>
      <c r="CN51" s="299"/>
      <c r="CO51" s="206" t="str">
        <v/>
      </c>
      <c r="CP51" s="401" t="str">
        <v/>
      </c>
      <c r="CQ51" s="401" t="str">
        <v/>
      </c>
      <c r="CR51" s="203" t="str">
        <v/>
      </c>
      <c r="CS51" s="203" t="str">
        <v/>
      </c>
    </row>
    <row r="52" spans="6:97" x14ac:dyDescent="0.25">
      <c r="F52" s="50"/>
      <c r="G52" s="52"/>
      <c r="H52" s="52"/>
      <c r="I52" s="53"/>
      <c r="Q52" s="50"/>
      <c r="R52" s="222" t="s">
        <v>735</v>
      </c>
      <c r="S52" s="223" t="str">
        <f>IF(INDEX('STATIC DATA'!C56:AB56,1,MATCH(A1,'STATIC DATA'!C4:AB4,0))="1Y","ANNUAL",(IF(INDEX('STATIC DATA'!C56:AB56,1,MATCH(A1,'STATIC DATA'!C4:AB4,0))="6M","SEMI-ANNUAL", "QUARTERLY")))</f>
        <v>QUARTERLY</v>
      </c>
      <c r="T52" s="53"/>
      <c r="AB52" s="50"/>
      <c r="AC52" s="222" t="s">
        <v>775</v>
      </c>
      <c r="AD52" s="216" t="str">
        <f>INDEX('STATIC DATA'!C55:AB55,1,MATCH($A$1,'STATIC DATA'!C4:AB4,0))</f>
        <v>ACT/365</v>
      </c>
      <c r="AE52" s="53"/>
      <c r="AM52" s="50"/>
      <c r="AN52" s="222" t="s">
        <v>775</v>
      </c>
      <c r="AO52" s="216" t="s">
        <v>48</v>
      </c>
      <c r="AP52" s="53"/>
      <c r="AX52" s="50"/>
      <c r="AY52" s="222" t="s">
        <v>775</v>
      </c>
      <c r="AZ52" s="216" t="str">
        <f>INDEX('STATIC DATA'!C55:AB55,1,MATCH($A$1,'STATIC DATA'!C4:AB4,0))</f>
        <v>ACT/365</v>
      </c>
      <c r="BA52" s="53"/>
      <c r="BI52" s="50"/>
      <c r="BJ52" s="222" t="s">
        <v>776</v>
      </c>
      <c r="BK52" s="216" t="s">
        <v>1198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M52" s="299"/>
      <c r="CN52" s="299"/>
      <c r="CO52" s="206" t="str">
        <v/>
      </c>
      <c r="CP52" s="401" t="str">
        <v/>
      </c>
      <c r="CQ52" s="401" t="str">
        <v/>
      </c>
      <c r="CR52" s="203" t="str">
        <v/>
      </c>
      <c r="CS52" s="203" t="str">
        <v/>
      </c>
    </row>
    <row r="53" spans="6:97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MOB</v>
      </c>
      <c r="AE53" s="53"/>
      <c r="AG53" s="2" t="s">
        <v>454</v>
      </c>
      <c r="AM53" s="50"/>
      <c r="AN53" s="222" t="s">
        <v>776</v>
      </c>
      <c r="AO53" s="216" t="s">
        <v>608</v>
      </c>
      <c r="AP53" s="53"/>
      <c r="AX53" s="50"/>
      <c r="AY53" s="222" t="s">
        <v>776</v>
      </c>
      <c r="AZ53" s="216" t="str">
        <f>INDEX('STATIC DATA'!C39:AB39,1,MATCH($A$1,'STATIC DATA'!$C$4:$AB$4,0))</f>
        <v>MOB</v>
      </c>
      <c r="BA53" s="53"/>
      <c r="BC53" s="2" t="s">
        <v>454</v>
      </c>
      <c r="BI53" s="50"/>
      <c r="BJ53" s="222" t="s">
        <v>777</v>
      </c>
      <c r="BK53" s="216" t="s">
        <v>458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M53" s="332"/>
      <c r="CN53" s="332"/>
      <c r="CO53" s="206" t="str">
        <v/>
      </c>
      <c r="CP53" s="401" t="str">
        <v/>
      </c>
      <c r="CQ53" s="401" t="str">
        <v/>
      </c>
      <c r="CR53" s="203" t="str">
        <v/>
      </c>
      <c r="CS53" s="203" t="str">
        <v/>
      </c>
    </row>
    <row r="54" spans="6:97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CAD_OIS_CURVE@88:7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IF(ExistsCADOIS,_xll.meLWOCurveCalibrate(W48,W49,W45,W50),"LOAD DEPENDENCY")</f>
        <v>CAD_SWAP_3M_CURVE@89:7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IF(ExistsCAD3M,_xll.meLWOCurveCalibrate($AH$48,$AH$49,$AH$45,$AH$50),"LOAD DEPENDENCY")</f>
        <v>CAD_BASIS_6M_CURVE@91:7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C54" t="s">
        <v>442</v>
      </c>
      <c r="BD54" s="647" t="str">
        <f t="array" ref="BD54:BD57">IF(ExistsCAD3M,_xll.meLWOCurveCalibrate($BD$48,$BD$49,$BD$45,$BD$50),"LOAD DEPENDENCY")</f>
        <v>CAD_BASIS_1M3M_CURVE@90:7</v>
      </c>
      <c r="BI54" s="50"/>
      <c r="BJ54" s="222" t="s">
        <v>778</v>
      </c>
      <c r="BK54" s="216" t="s">
        <v>1198</v>
      </c>
      <c r="BL54" s="53"/>
      <c r="BN54" t="s">
        <v>442</v>
      </c>
      <c r="BO54" s="647" t="str">
        <f t="array" ref="BO54:BO57">IF(AND(ExistsCAD3M,ExistsUSD3M),_xll.meLWOCurveCalibrate($BO$48,$BO$49,$BO$45,$BO$50,$BO$51),"LOAD DEPENDENCY")</f>
        <v>CAD_XCCYBASIS_CURVE@94:7</v>
      </c>
      <c r="BT54" s="50"/>
      <c r="BU54" s="55"/>
      <c r="BV54" s="55"/>
      <c r="BW54" s="55"/>
      <c r="BX54" s="332"/>
      <c r="BY54" s="270" t="s">
        <v>831</v>
      </c>
      <c r="BZ54" s="271" t="s">
        <v>976</v>
      </c>
      <c r="CA54" s="283"/>
      <c r="CB54" s="299"/>
      <c r="CD54" t="s">
        <v>442</v>
      </c>
      <c r="CE54" s="647" t="str">
        <f t="array" ref="CE54:CE57">IF(AND(ExistsCADXCCY,ExistsEURXCCY),_xll.meLWOCurveCalibrate(CE48,CE49,CE45,CE50,CE51),"LOAD DEPENDENCY")</f>
        <v>CAD_EURCSA_CURVE@96:7</v>
      </c>
      <c r="CJ54" t="s">
        <v>442</v>
      </c>
      <c r="CK54" s="647" t="str">
        <f t="array" ref="CK54:CK57">IF(AND(ExistsCADXCCY,ExistsJPYXCCY),_xll.meLWOCurveCalibrate(CK48,CK49,CK45,CK50,CK51),"LOAD DEPENDENCY")</f>
        <v>CAD_JPYCSA_CURVE@95:7</v>
      </c>
      <c r="CM54" s="332"/>
      <c r="CN54" s="332"/>
      <c r="CO54" s="206" t="str">
        <v/>
      </c>
      <c r="CP54" s="401" t="str">
        <v/>
      </c>
      <c r="CQ54" s="401" t="str">
        <v/>
      </c>
      <c r="CR54" s="203" t="str">
        <v/>
      </c>
      <c r="CS54" s="203" t="str">
        <v/>
      </c>
    </row>
    <row r="55" spans="6:97" x14ac:dyDescent="0.25">
      <c r="F55" s="50"/>
      <c r="G55" s="52"/>
      <c r="H55" s="52"/>
      <c r="I55" s="53"/>
      <c r="K55" t="s">
        <v>455</v>
      </c>
      <c r="L55" t="str">
        <v>CADYC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CADYC</v>
      </c>
      <c r="AB55" s="50"/>
      <c r="AC55" s="222" t="s">
        <v>778</v>
      </c>
      <c r="AD55" s="216" t="str">
        <f>INDEX('STATIC DATA'!C39:AB39,1,MATCH($A$1,'STATIC DATA'!$C$4:$AB$4,0))</f>
        <v>MOB</v>
      </c>
      <c r="AE55" s="53"/>
      <c r="AG55" t="s">
        <v>455</v>
      </c>
      <c r="AH55" t="str">
        <v>CADYC</v>
      </c>
      <c r="AM55" s="50"/>
      <c r="AN55" s="222" t="s">
        <v>778</v>
      </c>
      <c r="AO55" s="216" t="s">
        <v>608</v>
      </c>
      <c r="AP55" s="53"/>
      <c r="AX55" s="50"/>
      <c r="AY55" s="222" t="s">
        <v>778</v>
      </c>
      <c r="AZ55" s="216" t="str">
        <f>INDEX('STATIC DATA'!C39:AB39,1,MATCH($A$1,'STATIC DATA'!$C$4:$AB$4,0))</f>
        <v>MOB</v>
      </c>
      <c r="BA55" s="53"/>
      <c r="BC55" t="s">
        <v>455</v>
      </c>
      <c r="BD55" t="str">
        <v>CADYC</v>
      </c>
      <c r="BI55" s="50"/>
      <c r="BJ55" s="222" t="s">
        <v>779</v>
      </c>
      <c r="BK55" s="216" t="s">
        <v>997</v>
      </c>
      <c r="BL55" s="53"/>
      <c r="BN55" t="s">
        <v>455</v>
      </c>
      <c r="BO55" t="str">
        <v>CADYC</v>
      </c>
      <c r="BT55" s="50"/>
      <c r="BU55" s="55"/>
      <c r="BV55" s="55"/>
      <c r="BW55" s="55"/>
      <c r="BX55" s="332"/>
      <c r="BZ55" s="263" t="str">
        <f>_xll.meLWOFXCurveCreate(BZ54,BV8,BZ45)</f>
        <v>FX_CURVE_USDZAR@93:7</v>
      </c>
      <c r="CA55" s="283"/>
      <c r="CB55" s="299"/>
      <c r="CD55" t="s">
        <v>455</v>
      </c>
      <c r="CE55" t="str">
        <v>CADYC</v>
      </c>
      <c r="CJ55" t="s">
        <v>455</v>
      </c>
      <c r="CK55" t="str">
        <v>CADYC</v>
      </c>
      <c r="CM55" s="332"/>
      <c r="CN55" s="332"/>
      <c r="CO55" s="206" t="str">
        <v/>
      </c>
      <c r="CP55" s="401" t="str">
        <v/>
      </c>
      <c r="CQ55" s="401" t="str">
        <v/>
      </c>
      <c r="CR55" s="203" t="str">
        <v/>
      </c>
      <c r="CS55" s="203" t="str">
        <v/>
      </c>
    </row>
    <row r="56" spans="6:97" x14ac:dyDescent="0.25">
      <c r="F56" s="50"/>
      <c r="G56" s="52"/>
      <c r="H56" s="52"/>
      <c r="I56" s="53"/>
      <c r="K56" t="s">
        <v>456</v>
      </c>
      <c r="L56" t="str">
        <v>OIS:CADOIS</v>
      </c>
      <c r="Q56" s="50"/>
      <c r="R56" s="222" t="s">
        <v>739</v>
      </c>
      <c r="S56" s="223" t="str">
        <f>INDEX('STATIC DATA'!C7:AB7,1,MATCH($A$1,'STATIC DATA'!C4:AB4,0))</f>
        <v>0D</v>
      </c>
      <c r="T56" s="53"/>
      <c r="V56" t="s">
        <v>456</v>
      </c>
      <c r="W56" s="206" t="str">
        <v>STD:CAD3M</v>
      </c>
      <c r="AB56" s="50"/>
      <c r="AC56" s="222" t="s">
        <v>779</v>
      </c>
      <c r="AD56" s="216">
        <v>0</v>
      </c>
      <c r="AE56" s="53"/>
      <c r="AG56" t="s">
        <v>456</v>
      </c>
      <c r="AH56" t="str">
        <v>3M6MBasis:CAD6M</v>
      </c>
      <c r="AM56" s="50"/>
      <c r="AN56" s="222" t="s">
        <v>779</v>
      </c>
      <c r="AO56" s="216">
        <v>0</v>
      </c>
      <c r="AP56" s="53"/>
      <c r="AX56" s="50"/>
      <c r="AY56" s="222" t="s">
        <v>779</v>
      </c>
      <c r="AZ56" s="216">
        <v>0</v>
      </c>
      <c r="BA56" s="53"/>
      <c r="BC56" t="s">
        <v>456</v>
      </c>
      <c r="BD56" t="str">
        <v>1M3MBasis:CAD1M</v>
      </c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XccyBasis:CADDF_USDCSA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FwdFXConstEUR:CADDF_EURCSA</v>
      </c>
      <c r="CJ56" t="s">
        <v>456</v>
      </c>
      <c r="CK56" t="str">
        <v>FwdFXConstJPY:CADDF_JPYCSA</v>
      </c>
      <c r="CM56" s="332"/>
      <c r="CN56" s="332"/>
      <c r="CO56" s="206" t="str">
        <v/>
      </c>
      <c r="CP56" s="401" t="str">
        <v/>
      </c>
      <c r="CQ56" s="401" t="str">
        <v/>
      </c>
      <c r="CR56" s="203" t="str">
        <v/>
      </c>
      <c r="CS56" s="203" t="str">
        <v/>
      </c>
    </row>
    <row r="57" spans="6:97" x14ac:dyDescent="0.25">
      <c r="F57" s="50"/>
      <c r="G57" s="52"/>
      <c r="H57" s="52"/>
      <c r="I57" s="53"/>
      <c r="K57" t="s">
        <v>664</v>
      </c>
      <c r="L57" t="str">
        <v>0.044000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0.006000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0.007000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C57" t="s">
        <v>664</v>
      </c>
      <c r="BD57" t="str">
        <v>0.009000 sec</v>
      </c>
      <c r="BI57" s="50"/>
      <c r="BJ57" s="233" t="s">
        <v>781</v>
      </c>
      <c r="BK57" s="241" t="s">
        <v>810</v>
      </c>
      <c r="BL57" s="53"/>
      <c r="BN57" t="s">
        <v>664</v>
      </c>
      <c r="BO57" t="str">
        <v>0.010000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M57" s="332"/>
      <c r="CN57" s="332"/>
      <c r="CO57" s="206" t="str">
        <v/>
      </c>
      <c r="CP57" s="401" t="str">
        <v/>
      </c>
      <c r="CQ57" s="401" t="str">
        <v/>
      </c>
      <c r="CR57" s="203" t="str">
        <v/>
      </c>
      <c r="CS57" s="203" t="str">
        <v/>
      </c>
    </row>
    <row r="58" spans="6:97" x14ac:dyDescent="0.25">
      <c r="F58" s="50"/>
      <c r="G58" s="52"/>
      <c r="H58" s="52"/>
      <c r="I58" s="53"/>
      <c r="Q58" s="50"/>
      <c r="R58" s="222" t="s">
        <v>740</v>
      </c>
      <c r="S58" s="223" t="s">
        <v>718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M58" s="332"/>
      <c r="CN58" s="332"/>
      <c r="CO58" s="206" t="str">
        <v/>
      </c>
      <c r="CP58" s="401" t="str">
        <v/>
      </c>
      <c r="CQ58" s="401" t="str">
        <v/>
      </c>
      <c r="CR58" s="203" t="str">
        <v/>
      </c>
      <c r="CS58" s="203" t="str">
        <v/>
      </c>
    </row>
    <row r="59" spans="6:97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M59" s="332"/>
      <c r="CN59" s="332"/>
      <c r="CO59" s="206" t="str">
        <v/>
      </c>
      <c r="CP59" s="401" t="str">
        <v/>
      </c>
      <c r="CQ59" s="401" t="str">
        <v/>
      </c>
      <c r="CR59" s="203" t="str">
        <v/>
      </c>
      <c r="CS59" s="203" t="str">
        <v/>
      </c>
    </row>
    <row r="60" spans="6:97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22" t="s">
        <v>784</v>
      </c>
      <c r="AD60" s="216" t="s">
        <v>1655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1655</v>
      </c>
      <c r="BA60" s="53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M60" s="332"/>
      <c r="CN60" s="332"/>
      <c r="CO60" s="206" t="str">
        <v/>
      </c>
      <c r="CP60" s="401" t="str">
        <v/>
      </c>
      <c r="CQ60" s="401" t="str">
        <v/>
      </c>
      <c r="CR60" s="203" t="str">
        <v/>
      </c>
      <c r="CS60" s="203" t="str">
        <v/>
      </c>
    </row>
    <row r="61" spans="6:97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M61" s="299"/>
      <c r="CN61" s="299"/>
      <c r="CO61" s="206" t="str">
        <v/>
      </c>
      <c r="CP61" s="401" t="str">
        <v/>
      </c>
      <c r="CQ61" s="401" t="str">
        <v/>
      </c>
      <c r="CR61" s="203" t="str">
        <v/>
      </c>
      <c r="CS61" s="203" t="str">
        <v/>
      </c>
    </row>
    <row r="62" spans="6:97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M62" s="299"/>
      <c r="CN62" s="299"/>
      <c r="CO62" s="206" t="str">
        <v/>
      </c>
      <c r="CP62" s="401" t="str">
        <v/>
      </c>
      <c r="CQ62" s="401" t="str">
        <v/>
      </c>
      <c r="CR62" s="203" t="str">
        <v/>
      </c>
      <c r="CS62" s="203" t="str">
        <v/>
      </c>
    </row>
    <row r="63" spans="6:97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06" t="str">
        <v/>
      </c>
      <c r="CP63" s="401" t="str">
        <v/>
      </c>
      <c r="CQ63" s="401" t="str">
        <v/>
      </c>
      <c r="CR63" s="203" t="str">
        <v/>
      </c>
      <c r="CS63" s="203" t="str">
        <v/>
      </c>
    </row>
    <row r="64" spans="6:97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33" t="s">
        <v>786</v>
      </c>
      <c r="BK64" s="246" t="s">
        <v>49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  <c r="CO64" s="206" t="str">
        <v/>
      </c>
      <c r="CP64" s="401" t="str">
        <v/>
      </c>
      <c r="CQ64" s="401" t="str">
        <v/>
      </c>
      <c r="CR64" s="203" t="str">
        <v/>
      </c>
      <c r="CS64" s="203" t="str">
        <v/>
      </c>
    </row>
    <row r="65" spans="6:97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06" t="str">
        <v/>
      </c>
      <c r="CP65" s="401" t="str">
        <v/>
      </c>
      <c r="CQ65" s="401" t="str">
        <v/>
      </c>
      <c r="CR65" s="203" t="str">
        <v/>
      </c>
      <c r="CS65" s="203" t="str">
        <v/>
      </c>
    </row>
    <row r="66" spans="6:97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788</v>
      </c>
      <c r="AD66" s="219" t="b">
        <v>1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06" t="str">
        <v/>
      </c>
      <c r="CP66" s="401" t="str">
        <v/>
      </c>
      <c r="CQ66" s="401" t="str">
        <v/>
      </c>
      <c r="CR66" s="203" t="str">
        <v/>
      </c>
      <c r="CS66" s="203" t="str">
        <v/>
      </c>
    </row>
    <row r="67" spans="6:97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  <c r="CO67" s="206" t="str">
        <v/>
      </c>
      <c r="CP67" s="401" t="str">
        <v/>
      </c>
      <c r="CQ67" s="401" t="str">
        <v/>
      </c>
      <c r="CR67" s="203" t="str">
        <v/>
      </c>
      <c r="CS67" s="203" t="str">
        <v/>
      </c>
    </row>
    <row r="68" spans="6:97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5" t="s">
        <v>677</v>
      </c>
      <c r="BK68" s="216" t="s">
        <v>1198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  <c r="CO68" s="206" t="str">
        <v/>
      </c>
      <c r="CP68" s="401" t="str">
        <v/>
      </c>
      <c r="CQ68" s="401" t="str">
        <v/>
      </c>
      <c r="CR68" s="401" t="str">
        <v/>
      </c>
      <c r="CS68" s="203" t="str">
        <v/>
      </c>
    </row>
    <row r="69" spans="6:97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5" t="s">
        <v>683</v>
      </c>
      <c r="BK69" s="257" t="s">
        <v>643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  <c r="CO69" s="206" t="str">
        <v/>
      </c>
      <c r="CP69" s="401" t="str">
        <v/>
      </c>
      <c r="CQ69" s="401" t="str">
        <v/>
      </c>
      <c r="CR69" s="401" t="str">
        <v/>
      </c>
      <c r="CS69" s="203" t="str">
        <v/>
      </c>
    </row>
    <row r="70" spans="6:97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5" t="s">
        <v>686</v>
      </c>
      <c r="BK70" s="240" t="s">
        <v>1189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  <c r="CO70" s="206" t="str">
        <v/>
      </c>
      <c r="CP70" s="401" t="str">
        <v/>
      </c>
      <c r="CQ70" s="401" t="str">
        <v/>
      </c>
      <c r="CR70" s="401" t="str">
        <v/>
      </c>
      <c r="CS70" s="203" t="str">
        <v/>
      </c>
    </row>
    <row r="71" spans="6:97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  <c r="CO71" s="206" t="str">
        <v/>
      </c>
      <c r="CP71" s="401" t="str">
        <v/>
      </c>
      <c r="CQ71" s="401" t="str">
        <v/>
      </c>
      <c r="CR71" s="401" t="str">
        <v/>
      </c>
      <c r="CS71" s="203" t="str">
        <v/>
      </c>
    </row>
    <row r="72" spans="6:97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  <c r="CO72" s="206" t="str">
        <v/>
      </c>
      <c r="CP72" s="401" t="str">
        <v/>
      </c>
      <c r="CQ72" s="401" t="str">
        <v/>
      </c>
      <c r="CR72" s="401" t="str">
        <v/>
      </c>
      <c r="CS72" s="203" t="str">
        <v/>
      </c>
    </row>
    <row r="73" spans="6:97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  <c r="CO73" s="206" t="str">
        <v/>
      </c>
      <c r="CP73" s="401" t="str">
        <v/>
      </c>
      <c r="CQ73" s="401" t="str">
        <v/>
      </c>
      <c r="CR73" s="401" t="str">
        <v/>
      </c>
      <c r="CS73" s="203" t="str">
        <v/>
      </c>
    </row>
    <row r="74" spans="6:97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  <c r="CO74" s="206" t="str">
        <v/>
      </c>
      <c r="CP74" s="401" t="str">
        <v/>
      </c>
      <c r="CQ74" s="401" t="str">
        <v/>
      </c>
      <c r="CR74" s="401" t="str">
        <v/>
      </c>
      <c r="CS74" s="203" t="str">
        <v/>
      </c>
    </row>
    <row r="75" spans="6:97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  <c r="CO75" s="206" t="str">
        <v/>
      </c>
      <c r="CP75" s="401" t="str">
        <v/>
      </c>
      <c r="CQ75" s="401" t="str">
        <v/>
      </c>
      <c r="CR75" s="401" t="str">
        <v/>
      </c>
      <c r="CS75" s="203" t="str">
        <v/>
      </c>
    </row>
    <row r="76" spans="6:97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06" t="str">
        <v/>
      </c>
      <c r="CP76" s="401" t="str">
        <v/>
      </c>
      <c r="CQ76" s="401" t="str">
        <v/>
      </c>
      <c r="CR76" s="401" t="str">
        <v/>
      </c>
      <c r="CS76" s="203" t="str">
        <v/>
      </c>
    </row>
    <row r="77" spans="6:97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  <c r="CO77" s="206" t="str">
        <v/>
      </c>
      <c r="CP77" s="401" t="str">
        <v/>
      </c>
      <c r="CQ77" s="401" t="str">
        <v/>
      </c>
      <c r="CR77" s="401" t="str">
        <v/>
      </c>
      <c r="CS77" s="203" t="str">
        <v/>
      </c>
    </row>
    <row r="78" spans="6:97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  <c r="CO78" s="206" t="str">
        <v/>
      </c>
      <c r="CP78" s="401" t="str">
        <v/>
      </c>
      <c r="CQ78" s="401" t="str">
        <v/>
      </c>
      <c r="CR78" s="401" t="str">
        <v/>
      </c>
      <c r="CS78" s="203" t="str">
        <v/>
      </c>
    </row>
    <row r="79" spans="6:97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06" t="str">
        <v/>
      </c>
      <c r="CP79" s="401" t="str">
        <v/>
      </c>
      <c r="CQ79" s="401" t="str">
        <v/>
      </c>
      <c r="CR79" s="401" t="str">
        <v/>
      </c>
      <c r="CS79" s="203" t="str">
        <v/>
      </c>
    </row>
    <row r="80" spans="6:97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06" t="str">
        <v/>
      </c>
      <c r="CP80" s="401" t="str">
        <v/>
      </c>
      <c r="CQ80" s="401" t="str">
        <v/>
      </c>
      <c r="CR80" s="401" t="str">
        <v/>
      </c>
      <c r="CS80" s="203" t="str">
        <v/>
      </c>
    </row>
    <row r="81" spans="6:97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  <c r="CO81" s="206" t="str">
        <v/>
      </c>
      <c r="CP81" s="401" t="str">
        <v/>
      </c>
      <c r="CQ81" s="401" t="str">
        <v/>
      </c>
      <c r="CR81" s="401" t="str">
        <v/>
      </c>
      <c r="CS81" s="203" t="str">
        <v/>
      </c>
    </row>
    <row r="82" spans="6:97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  <c r="CO82" s="206" t="str">
        <v/>
      </c>
      <c r="CP82" s="401" t="str">
        <v/>
      </c>
      <c r="CQ82" s="401" t="str">
        <v/>
      </c>
      <c r="CR82" s="401" t="str">
        <v/>
      </c>
      <c r="CS82" s="203" t="str">
        <v/>
      </c>
    </row>
    <row r="83" spans="6:97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  <c r="CO83" s="206" t="str">
        <v/>
      </c>
      <c r="CP83" s="401" t="str">
        <v/>
      </c>
      <c r="CQ83" s="401" t="str">
        <v/>
      </c>
      <c r="CR83" s="401" t="str">
        <v/>
      </c>
      <c r="CS83" s="203" t="str">
        <v/>
      </c>
    </row>
    <row r="84" spans="6:97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332"/>
      <c r="CE84" s="332"/>
      <c r="CF84" s="299"/>
      <c r="CG84" s="299"/>
      <c r="CH84" s="299"/>
      <c r="CI84" s="299"/>
      <c r="CJ84" s="299"/>
      <c r="CK84" s="299"/>
      <c r="CL84" s="299"/>
      <c r="CM84" s="299"/>
      <c r="CN84" s="299"/>
      <c r="CO84" s="206" t="str">
        <v/>
      </c>
      <c r="CP84" s="401" t="str">
        <v/>
      </c>
      <c r="CQ84" s="401" t="str">
        <v/>
      </c>
      <c r="CR84" s="401" t="str">
        <v/>
      </c>
      <c r="CS84" s="203" t="str">
        <v/>
      </c>
    </row>
    <row r="85" spans="6:97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M85" s="299"/>
      <c r="CN85" s="299"/>
      <c r="CO85" s="206" t="str">
        <v/>
      </c>
      <c r="CP85" s="401" t="str">
        <v/>
      </c>
      <c r="CQ85" s="401" t="str">
        <v/>
      </c>
      <c r="CR85" s="401" t="str">
        <v/>
      </c>
      <c r="CS85" s="203" t="str">
        <v/>
      </c>
    </row>
    <row r="86" spans="6:97" x14ac:dyDescent="0.25">
      <c r="F86" s="75"/>
      <c r="G86" s="76"/>
      <c r="H86" s="76"/>
      <c r="I86" s="77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M86" s="299"/>
      <c r="CN86" s="299"/>
      <c r="CO86" s="206" t="str">
        <v/>
      </c>
      <c r="CP86" s="401" t="str">
        <v/>
      </c>
      <c r="CQ86" s="401" t="str">
        <v/>
      </c>
      <c r="CR86" s="401" t="str">
        <v/>
      </c>
      <c r="CS86" s="203" t="str">
        <v/>
      </c>
    </row>
    <row r="87" spans="6:97" x14ac:dyDescent="0.25"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M87" s="299"/>
      <c r="CN87" s="299"/>
      <c r="CO87" s="206" t="str">
        <v/>
      </c>
      <c r="CP87" s="401" t="str">
        <v/>
      </c>
      <c r="CQ87" s="401" t="str">
        <v/>
      </c>
      <c r="CR87" s="401" t="str">
        <v/>
      </c>
      <c r="CS87" s="203" t="str">
        <v/>
      </c>
    </row>
    <row r="88" spans="6:97" x14ac:dyDescent="0.25"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M88" s="299"/>
      <c r="CN88" s="299"/>
      <c r="CO88" s="206" t="str">
        <v/>
      </c>
      <c r="CP88" s="401" t="str">
        <v/>
      </c>
      <c r="CQ88" s="401" t="str">
        <v/>
      </c>
      <c r="CR88" s="401" t="str">
        <v/>
      </c>
      <c r="CS88" s="203" t="str">
        <v/>
      </c>
    </row>
    <row r="89" spans="6:97" x14ac:dyDescent="0.25"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M89" s="299"/>
      <c r="CN89" s="299"/>
      <c r="CO89" s="206" t="str">
        <v/>
      </c>
      <c r="CP89" s="401" t="str">
        <v/>
      </c>
      <c r="CQ89" s="401" t="str">
        <v/>
      </c>
      <c r="CR89" s="401" t="str">
        <v/>
      </c>
      <c r="CS89" s="203" t="str">
        <v/>
      </c>
    </row>
    <row r="90" spans="6:97" x14ac:dyDescent="0.25"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M90" s="299"/>
      <c r="CN90" s="299"/>
      <c r="CO90" s="206" t="str">
        <v/>
      </c>
      <c r="CP90" s="401" t="str">
        <v/>
      </c>
      <c r="CQ90" s="401" t="str">
        <v/>
      </c>
      <c r="CR90" s="401" t="str">
        <v/>
      </c>
      <c r="CS90" s="203" t="str">
        <v/>
      </c>
    </row>
    <row r="91" spans="6:97" x14ac:dyDescent="0.25"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M91" s="299"/>
      <c r="CN91" s="299"/>
      <c r="CO91" s="206" t="str">
        <v/>
      </c>
      <c r="CP91" s="401" t="str">
        <v/>
      </c>
      <c r="CQ91" s="401" t="str">
        <v/>
      </c>
      <c r="CR91" s="401" t="str">
        <v/>
      </c>
      <c r="CS91" s="203" t="str">
        <v/>
      </c>
    </row>
    <row r="92" spans="6:97" x14ac:dyDescent="0.25"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06" t="str">
        <v/>
      </c>
      <c r="CP92" s="401" t="str">
        <v/>
      </c>
      <c r="CQ92" s="401" t="str">
        <v/>
      </c>
      <c r="CR92" s="401" t="str">
        <v/>
      </c>
      <c r="CS92" s="203" t="str">
        <v/>
      </c>
    </row>
    <row r="93" spans="6:97" x14ac:dyDescent="0.25"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  <c r="CO93" s="206" t="str">
        <v/>
      </c>
      <c r="CP93" s="401" t="str">
        <v/>
      </c>
      <c r="CQ93" s="401" t="str">
        <v/>
      </c>
      <c r="CR93" s="401" t="str">
        <v/>
      </c>
      <c r="CS93" s="203" t="str">
        <v/>
      </c>
    </row>
    <row r="94" spans="6:97" x14ac:dyDescent="0.25"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8"/>
      <c r="CG94" s="298"/>
      <c r="CH94" s="298"/>
      <c r="CI94" s="298"/>
      <c r="CJ94" s="298"/>
      <c r="CK94" s="298"/>
      <c r="CL94" s="298"/>
      <c r="CM94" s="298"/>
      <c r="CN94" s="298"/>
      <c r="CO94" s="206" t="str">
        <v/>
      </c>
      <c r="CP94" s="401" t="str">
        <v/>
      </c>
      <c r="CQ94" s="401" t="str">
        <v/>
      </c>
      <c r="CR94" s="401" t="str">
        <v/>
      </c>
      <c r="CS94" s="203" t="str">
        <v/>
      </c>
    </row>
    <row r="95" spans="6:97" x14ac:dyDescent="0.25"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06"/>
      <c r="CG95" s="206"/>
      <c r="CH95" s="206"/>
      <c r="CI95" s="206"/>
      <c r="CJ95" s="206"/>
      <c r="CK95" s="206"/>
      <c r="CL95" s="206"/>
      <c r="CM95" s="206"/>
      <c r="CN95" s="206"/>
      <c r="CO95" s="206" t="str">
        <v/>
      </c>
      <c r="CP95" s="401" t="str">
        <v/>
      </c>
      <c r="CQ95" s="401" t="str">
        <v/>
      </c>
      <c r="CR95" s="401" t="str">
        <v/>
      </c>
      <c r="CS95" s="203" t="str">
        <v/>
      </c>
    </row>
    <row r="96" spans="6:97" x14ac:dyDescent="0.25"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06"/>
      <c r="CG96" s="206"/>
      <c r="CH96" s="206"/>
      <c r="CI96" s="206"/>
      <c r="CJ96" s="206"/>
      <c r="CK96" s="206"/>
      <c r="CL96" s="206"/>
      <c r="CM96" s="206"/>
      <c r="CN96" s="206"/>
      <c r="CO96" s="206" t="str">
        <v/>
      </c>
      <c r="CP96" s="401" t="str">
        <v/>
      </c>
      <c r="CQ96" s="401" t="str">
        <v/>
      </c>
      <c r="CR96" s="401" t="str">
        <v/>
      </c>
      <c r="CS96" s="203" t="str">
        <v/>
      </c>
    </row>
    <row r="97" spans="28:103" x14ac:dyDescent="0.25"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  <c r="CO97" t="str">
        <v/>
      </c>
      <c r="CP97" s="203" t="str">
        <v/>
      </c>
      <c r="CQ97" s="203" t="str">
        <v/>
      </c>
      <c r="CR97" s="203" t="str">
        <v/>
      </c>
      <c r="CS97" s="203" t="str">
        <v/>
      </c>
    </row>
    <row r="98" spans="28:103" x14ac:dyDescent="0.25"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  <c r="CO98" t="str">
        <v/>
      </c>
      <c r="CP98" s="203" t="str">
        <v/>
      </c>
      <c r="CQ98" s="203" t="str">
        <v/>
      </c>
      <c r="CR98" s="203" t="str">
        <v/>
      </c>
      <c r="CS98" s="203" t="str">
        <v/>
      </c>
    </row>
    <row r="99" spans="28:103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O99" t="str">
        <v/>
      </c>
      <c r="CP99" s="203" t="str">
        <v/>
      </c>
      <c r="CQ99" s="203" t="str">
        <v/>
      </c>
      <c r="CR99" s="203" t="str">
        <v/>
      </c>
      <c r="CS99" s="401" t="str">
        <v/>
      </c>
      <c r="CT99" s="206"/>
      <c r="CU99" s="206"/>
      <c r="CV99" s="206"/>
      <c r="CW99" s="206"/>
      <c r="CX99" s="206"/>
      <c r="CY99" s="206"/>
    </row>
    <row r="100" spans="28:103" x14ac:dyDescent="0.25"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O100" t="str">
        <v/>
      </c>
      <c r="CP100" s="203" t="str">
        <v/>
      </c>
      <c r="CQ100" s="203" t="str">
        <v/>
      </c>
      <c r="CR100" s="203" t="str">
        <v/>
      </c>
      <c r="CS100" s="401" t="str">
        <v/>
      </c>
      <c r="CT100" s="206"/>
      <c r="CU100" s="206"/>
      <c r="CV100" s="206"/>
      <c r="CW100" s="206"/>
      <c r="CX100" s="206"/>
      <c r="CY100" s="206"/>
    </row>
    <row r="101" spans="28:103" x14ac:dyDescent="0.25"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O101" t="str">
        <v/>
      </c>
      <c r="CP101" s="203" t="str">
        <v/>
      </c>
      <c r="CQ101" s="203" t="str">
        <v/>
      </c>
      <c r="CR101" s="203" t="str">
        <v/>
      </c>
      <c r="CS101" s="401" t="str">
        <v/>
      </c>
      <c r="CT101" s="206"/>
      <c r="CU101" s="206"/>
      <c r="CV101" s="206"/>
      <c r="CW101" s="206"/>
      <c r="CX101" s="206"/>
      <c r="CY101" s="206"/>
    </row>
    <row r="102" spans="28:103" x14ac:dyDescent="0.25"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O102" t="str">
        <v/>
      </c>
      <c r="CP102" s="203" t="str">
        <v/>
      </c>
      <c r="CQ102" s="203" t="str">
        <v/>
      </c>
      <c r="CR102" s="203" t="str">
        <v/>
      </c>
      <c r="CS102" s="401" t="str">
        <v/>
      </c>
      <c r="CT102" s="206"/>
      <c r="CU102" s="206"/>
      <c r="CV102" s="206"/>
      <c r="CW102" s="206"/>
      <c r="CX102" s="206"/>
      <c r="CY102" s="206"/>
    </row>
    <row r="103" spans="28:103" x14ac:dyDescent="0.25"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O103" t="str">
        <v/>
      </c>
      <c r="CP103" s="203" t="str">
        <v/>
      </c>
      <c r="CQ103" s="203" t="str">
        <v/>
      </c>
      <c r="CR103" s="203" t="str">
        <v/>
      </c>
      <c r="CS103" s="401" t="str">
        <v/>
      </c>
      <c r="CT103" s="206"/>
      <c r="CU103" s="206"/>
      <c r="CV103" s="206"/>
      <c r="CW103" s="206"/>
      <c r="CX103" s="206"/>
      <c r="CY103" s="206"/>
    </row>
    <row r="104" spans="28:103" x14ac:dyDescent="0.25"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O104" t="str">
        <v/>
      </c>
      <c r="CP104" s="203" t="str">
        <v/>
      </c>
      <c r="CQ104" s="203" t="str">
        <v/>
      </c>
      <c r="CR104" s="203" t="str">
        <v/>
      </c>
      <c r="CS104" s="401" t="str">
        <v/>
      </c>
      <c r="CT104" s="206"/>
      <c r="CU104" s="206"/>
      <c r="CV104" s="206"/>
      <c r="CW104" s="206"/>
      <c r="CX104" s="206"/>
      <c r="CY104" s="206"/>
    </row>
    <row r="105" spans="28:103" x14ac:dyDescent="0.25"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O105" t="str">
        <v/>
      </c>
      <c r="CP105" s="203" t="str">
        <v/>
      </c>
      <c r="CQ105" s="203" t="str">
        <v/>
      </c>
      <c r="CR105" s="203" t="str">
        <v/>
      </c>
      <c r="CS105" s="401" t="str">
        <v/>
      </c>
      <c r="CT105" s="206"/>
      <c r="CU105" s="206"/>
      <c r="CV105" s="206"/>
      <c r="CW105" s="206"/>
      <c r="CX105" s="206"/>
      <c r="CY105" s="206"/>
    </row>
    <row r="106" spans="28:103" x14ac:dyDescent="0.25"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O106" t="str">
        <v/>
      </c>
      <c r="CP106" s="203" t="str">
        <v/>
      </c>
      <c r="CQ106" s="203" t="str">
        <v/>
      </c>
      <c r="CR106" s="203" t="str">
        <v/>
      </c>
      <c r="CS106" s="401" t="str">
        <v/>
      </c>
      <c r="CT106" s="206"/>
      <c r="CU106" s="206"/>
      <c r="CV106" s="206"/>
      <c r="CW106" s="206"/>
      <c r="CX106" s="206"/>
      <c r="CY106" s="206"/>
    </row>
    <row r="107" spans="28:103" x14ac:dyDescent="0.25"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O107" t="str">
        <v/>
      </c>
      <c r="CP107" s="203" t="str">
        <v/>
      </c>
      <c r="CQ107" s="203" t="str">
        <v/>
      </c>
      <c r="CR107" s="203" t="str">
        <v/>
      </c>
      <c r="CS107" s="401" t="str">
        <v/>
      </c>
      <c r="CT107" s="206"/>
      <c r="CU107" s="206"/>
      <c r="CV107" s="206"/>
      <c r="CW107" s="206"/>
      <c r="CX107" s="206"/>
      <c r="CY107" s="206"/>
    </row>
    <row r="108" spans="28:103" x14ac:dyDescent="0.25"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O108" t="str">
        <v/>
      </c>
      <c r="CP108" s="203" t="str">
        <v/>
      </c>
      <c r="CQ108" s="203" t="str">
        <v/>
      </c>
      <c r="CR108" s="203" t="str">
        <v/>
      </c>
      <c r="CS108" s="401" t="str">
        <v/>
      </c>
      <c r="CT108" s="206"/>
      <c r="CU108" s="206"/>
      <c r="CV108" s="206"/>
      <c r="CW108" s="206"/>
      <c r="CX108" s="206"/>
      <c r="CY108" s="206"/>
    </row>
    <row r="109" spans="28:103" x14ac:dyDescent="0.25"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O109" t="str">
        <v/>
      </c>
      <c r="CP109" s="203" t="str">
        <v/>
      </c>
      <c r="CQ109" s="203" t="str">
        <v/>
      </c>
      <c r="CR109" s="203" t="str">
        <v/>
      </c>
      <c r="CS109" s="401" t="str">
        <v/>
      </c>
      <c r="CT109" s="206"/>
      <c r="CU109" s="206"/>
      <c r="CV109" s="206"/>
      <c r="CW109" s="206"/>
      <c r="CX109" s="206"/>
      <c r="CY109" s="206"/>
    </row>
    <row r="110" spans="28:103" x14ac:dyDescent="0.25"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O110" t="str">
        <v/>
      </c>
      <c r="CP110" s="203" t="str">
        <v/>
      </c>
      <c r="CQ110" s="203" t="str">
        <v/>
      </c>
      <c r="CR110" s="203" t="str">
        <v/>
      </c>
      <c r="CS110" s="401" t="str">
        <v/>
      </c>
      <c r="CT110" s="206"/>
      <c r="CU110" s="206"/>
      <c r="CV110" s="206"/>
      <c r="CW110" s="206"/>
      <c r="CX110" s="206"/>
      <c r="CY110" s="206"/>
    </row>
    <row r="111" spans="28:103" x14ac:dyDescent="0.25"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O111" t="str">
        <v/>
      </c>
      <c r="CP111" s="203" t="str">
        <v/>
      </c>
      <c r="CQ111" s="203" t="str">
        <v/>
      </c>
      <c r="CR111" s="203" t="str">
        <v/>
      </c>
      <c r="CS111" s="401" t="str">
        <v/>
      </c>
      <c r="CT111" s="206"/>
      <c r="CU111" s="206"/>
      <c r="CV111" s="206"/>
      <c r="CW111" s="206"/>
      <c r="CX111" s="206"/>
      <c r="CY111" s="206"/>
    </row>
    <row r="112" spans="28:103" x14ac:dyDescent="0.25"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O112" t="str">
        <v/>
      </c>
      <c r="CP112" s="203" t="str">
        <v/>
      </c>
      <c r="CQ112" s="203" t="str">
        <v/>
      </c>
      <c r="CR112" s="203" t="str">
        <v/>
      </c>
      <c r="CS112" s="401" t="str">
        <v/>
      </c>
      <c r="CT112" s="206"/>
      <c r="CU112" s="206"/>
      <c r="CV112" s="206"/>
      <c r="CW112" s="206"/>
      <c r="CX112" s="206"/>
      <c r="CY112" s="206"/>
    </row>
    <row r="113" spans="72:103" x14ac:dyDescent="0.25"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O113" t="str">
        <v/>
      </c>
      <c r="CP113" s="203" t="str">
        <v/>
      </c>
      <c r="CQ113" s="203" t="str">
        <v/>
      </c>
      <c r="CR113" s="203" t="str">
        <v/>
      </c>
      <c r="CS113" s="401" t="str">
        <v/>
      </c>
      <c r="CT113" s="206"/>
      <c r="CU113" s="206"/>
      <c r="CV113" s="206"/>
      <c r="CW113" s="206"/>
      <c r="CX113" s="206"/>
      <c r="CY113" s="206"/>
    </row>
    <row r="114" spans="72:103" x14ac:dyDescent="0.25"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O114" t="str">
        <v/>
      </c>
      <c r="CP114" s="203" t="str">
        <v/>
      </c>
      <c r="CQ114" s="203" t="str">
        <v/>
      </c>
      <c r="CR114" s="203" t="str">
        <v/>
      </c>
      <c r="CS114" s="401" t="str">
        <v/>
      </c>
      <c r="CT114" s="206"/>
      <c r="CU114" s="206"/>
      <c r="CV114" s="206"/>
      <c r="CW114" s="206"/>
      <c r="CX114" s="206"/>
      <c r="CY114" s="206"/>
    </row>
    <row r="115" spans="72:103" x14ac:dyDescent="0.25"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O115" t="str">
        <v/>
      </c>
      <c r="CP115" s="203" t="str">
        <v/>
      </c>
      <c r="CQ115" s="203" t="str">
        <v/>
      </c>
      <c r="CR115" s="203" t="str">
        <v/>
      </c>
      <c r="CS115" s="401" t="str">
        <v/>
      </c>
      <c r="CT115" s="206"/>
      <c r="CU115" s="206"/>
      <c r="CV115" s="206"/>
      <c r="CW115" s="206"/>
      <c r="CX115" s="206"/>
      <c r="CY115" s="206"/>
    </row>
    <row r="116" spans="72:103" x14ac:dyDescent="0.25"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O116" t="str">
        <v/>
      </c>
      <c r="CP116" s="203" t="str">
        <v/>
      </c>
      <c r="CQ116" s="203" t="str">
        <v/>
      </c>
      <c r="CR116" s="203" t="str">
        <v/>
      </c>
      <c r="CS116" s="401" t="str">
        <v/>
      </c>
      <c r="CT116" s="206"/>
      <c r="CU116" s="206"/>
      <c r="CV116" s="206"/>
      <c r="CW116" s="206"/>
      <c r="CX116" s="206"/>
      <c r="CY116" s="206"/>
    </row>
    <row r="117" spans="72:103" x14ac:dyDescent="0.25"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O117" t="str">
        <v/>
      </c>
      <c r="CP117" s="203" t="str">
        <v/>
      </c>
      <c r="CQ117" s="203" t="str">
        <v/>
      </c>
      <c r="CR117" s="203" t="str">
        <v/>
      </c>
      <c r="CS117" s="401" t="str">
        <v/>
      </c>
      <c r="CT117" s="206"/>
      <c r="CU117" s="206"/>
      <c r="CV117" s="206"/>
      <c r="CW117" s="206"/>
      <c r="CX117" s="206"/>
      <c r="CY117" s="206"/>
    </row>
    <row r="118" spans="72:103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O118" t="str">
        <v/>
      </c>
      <c r="CP118" s="203" t="str">
        <v/>
      </c>
      <c r="CQ118" s="203" t="str">
        <v/>
      </c>
      <c r="CR118" s="203" t="str">
        <v/>
      </c>
      <c r="CS118" s="401" t="str">
        <v/>
      </c>
      <c r="CT118" s="206"/>
      <c r="CU118" s="206"/>
      <c r="CV118" s="206"/>
      <c r="CW118" s="206"/>
      <c r="CX118" s="206"/>
      <c r="CY118" s="206"/>
    </row>
    <row r="119" spans="72:103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O119" t="str">
        <v/>
      </c>
      <c r="CP119" s="203" t="str">
        <v/>
      </c>
      <c r="CQ119" s="203" t="str">
        <v/>
      </c>
      <c r="CR119" s="203" t="str">
        <v/>
      </c>
      <c r="CS119" s="401" t="str">
        <v/>
      </c>
      <c r="CT119" s="206"/>
      <c r="CU119" s="206"/>
      <c r="CV119" s="206"/>
      <c r="CW119" s="206"/>
      <c r="CX119" s="206"/>
      <c r="CY119" s="206"/>
    </row>
    <row r="120" spans="72:103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O120" t="str">
        <v/>
      </c>
      <c r="CP120" s="203" t="str">
        <v/>
      </c>
      <c r="CQ120" s="203" t="str">
        <v/>
      </c>
      <c r="CR120" s="203" t="str">
        <v/>
      </c>
      <c r="CS120" s="401" t="str">
        <v/>
      </c>
      <c r="CT120" s="206"/>
      <c r="CU120" s="206"/>
      <c r="CV120" s="206"/>
      <c r="CW120" s="206"/>
      <c r="CX120" s="206"/>
      <c r="CY120" s="206"/>
    </row>
    <row r="121" spans="72:103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O121" t="str">
        <v/>
      </c>
      <c r="CP121" s="203" t="str">
        <v/>
      </c>
      <c r="CQ121" s="203" t="str">
        <v/>
      </c>
      <c r="CR121" s="203" t="str">
        <v/>
      </c>
      <c r="CS121" s="401" t="str">
        <v/>
      </c>
      <c r="CT121" s="206"/>
      <c r="CU121" s="206"/>
      <c r="CV121" s="206"/>
      <c r="CW121" s="206"/>
      <c r="CX121" s="206"/>
      <c r="CY121" s="206"/>
    </row>
    <row r="122" spans="72:103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O122" t="str">
        <v/>
      </c>
      <c r="CP122" s="203" t="str">
        <v/>
      </c>
      <c r="CQ122" s="203" t="str">
        <v/>
      </c>
      <c r="CR122" s="203" t="str">
        <v/>
      </c>
      <c r="CS122" s="401" t="str">
        <v/>
      </c>
      <c r="CT122" s="206"/>
      <c r="CU122" s="206"/>
      <c r="CV122" s="206"/>
      <c r="CW122" s="206"/>
      <c r="CX122" s="206"/>
      <c r="CY122" s="206"/>
    </row>
    <row r="123" spans="72:103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O123" t="str">
        <v/>
      </c>
      <c r="CP123" s="203" t="str">
        <v/>
      </c>
      <c r="CQ123" s="203" t="str">
        <v/>
      </c>
      <c r="CR123" s="203" t="str">
        <v/>
      </c>
      <c r="CS123" s="401" t="str">
        <v/>
      </c>
      <c r="CT123" s="206"/>
      <c r="CU123" s="206"/>
      <c r="CV123" s="206"/>
      <c r="CW123" s="206"/>
      <c r="CX123" s="206"/>
      <c r="CY123" s="206"/>
    </row>
    <row r="124" spans="72:103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D124" s="299"/>
      <c r="CE124" s="299"/>
      <c r="CO124" t="str">
        <v/>
      </c>
      <c r="CP124" s="203" t="str">
        <v/>
      </c>
      <c r="CQ124" s="203" t="str">
        <v/>
      </c>
      <c r="CR124" s="203" t="str">
        <v/>
      </c>
      <c r="CS124" s="401" t="str">
        <v/>
      </c>
      <c r="CT124" s="206"/>
      <c r="CU124" s="206"/>
      <c r="CV124" s="206"/>
      <c r="CW124" s="206"/>
      <c r="CX124" s="206"/>
      <c r="CY124" s="206"/>
    </row>
    <row r="125" spans="72:103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D125" s="298"/>
      <c r="CE125" s="298"/>
      <c r="CO125" t="str">
        <v/>
      </c>
      <c r="CP125" s="203" t="str">
        <v/>
      </c>
      <c r="CQ125" s="203" t="str">
        <v/>
      </c>
      <c r="CR125" s="203" t="str">
        <v/>
      </c>
      <c r="CS125" s="401" t="str">
        <v/>
      </c>
      <c r="CT125" s="206"/>
      <c r="CU125" s="206"/>
      <c r="CV125" s="206"/>
      <c r="CW125" s="206"/>
      <c r="CX125" s="206"/>
      <c r="CY125" s="206"/>
    </row>
    <row r="126" spans="72:103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D126" s="206"/>
      <c r="CE126" s="206"/>
      <c r="CO126" t="str">
        <v/>
      </c>
      <c r="CP126" s="203" t="str">
        <v/>
      </c>
      <c r="CQ126" s="203" t="str">
        <v/>
      </c>
      <c r="CR126" s="203" t="str">
        <v/>
      </c>
      <c r="CS126" s="401" t="str">
        <v/>
      </c>
      <c r="CT126" s="206"/>
      <c r="CU126" s="206"/>
      <c r="CV126" s="206"/>
      <c r="CW126" s="206"/>
      <c r="CX126" s="206"/>
      <c r="CY126" s="206"/>
    </row>
    <row r="127" spans="72:103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D127" s="206"/>
      <c r="CE127" s="206"/>
      <c r="CO127" t="str">
        <v/>
      </c>
      <c r="CP127" s="203" t="str">
        <v/>
      </c>
      <c r="CQ127" s="203" t="str">
        <v/>
      </c>
      <c r="CR127" s="203" t="str">
        <v/>
      </c>
      <c r="CS127" s="401" t="str">
        <v/>
      </c>
      <c r="CT127" s="206"/>
      <c r="CU127" s="206"/>
      <c r="CV127" s="206"/>
      <c r="CW127" s="206"/>
      <c r="CX127" s="206"/>
      <c r="CY127" s="206"/>
    </row>
    <row r="128" spans="72:103" x14ac:dyDescent="0.25">
      <c r="CO128" t="str">
        <v/>
      </c>
      <c r="CP128" s="203" t="str">
        <v/>
      </c>
      <c r="CQ128" s="203" t="str">
        <v/>
      </c>
      <c r="CR128" s="203" t="str">
        <v/>
      </c>
      <c r="CS128" s="203" t="str">
        <v/>
      </c>
    </row>
    <row r="129" spans="93:97" x14ac:dyDescent="0.25">
      <c r="CO129" t="str">
        <v/>
      </c>
      <c r="CP129" s="203" t="str">
        <v/>
      </c>
      <c r="CQ129" s="203" t="str">
        <v/>
      </c>
      <c r="CR129" s="203" t="str">
        <v/>
      </c>
      <c r="CS129" s="203" t="str">
        <v/>
      </c>
    </row>
    <row r="130" spans="93:97" x14ac:dyDescent="0.25">
      <c r="CO130" t="str">
        <v/>
      </c>
      <c r="CP130" s="203" t="str">
        <v/>
      </c>
      <c r="CQ130" s="203" t="str">
        <v/>
      </c>
      <c r="CR130" s="203" t="str">
        <v/>
      </c>
      <c r="CS130" s="203" t="str">
        <v/>
      </c>
    </row>
    <row r="131" spans="93:97" x14ac:dyDescent="0.25">
      <c r="CO131" t="str">
        <v/>
      </c>
      <c r="CP131" s="203" t="str">
        <v/>
      </c>
      <c r="CQ131" s="203" t="str">
        <v/>
      </c>
      <c r="CR131" s="203" t="str">
        <v/>
      </c>
      <c r="CS131" s="203" t="str">
        <v/>
      </c>
    </row>
    <row r="132" spans="93:97" x14ac:dyDescent="0.25">
      <c r="CO132" t="str">
        <v/>
      </c>
      <c r="CP132" s="203" t="str">
        <v/>
      </c>
      <c r="CQ132" s="203" t="str">
        <v/>
      </c>
      <c r="CR132" s="203" t="str">
        <v/>
      </c>
      <c r="CS132" s="203" t="str">
        <v/>
      </c>
    </row>
    <row r="133" spans="93:97" x14ac:dyDescent="0.25">
      <c r="CO133" t="str">
        <v/>
      </c>
      <c r="CP133" s="203" t="str">
        <v/>
      </c>
      <c r="CQ133" s="203" t="str">
        <v/>
      </c>
      <c r="CR133" s="203" t="str">
        <v/>
      </c>
      <c r="CS133" s="203" t="str">
        <v/>
      </c>
    </row>
    <row r="134" spans="93:97" x14ac:dyDescent="0.25">
      <c r="CO134" t="str">
        <v/>
      </c>
      <c r="CP134" s="203" t="str">
        <v/>
      </c>
      <c r="CQ134" s="203" t="str">
        <v/>
      </c>
      <c r="CR134" s="203" t="str">
        <v/>
      </c>
      <c r="CS134" s="203" t="str">
        <v/>
      </c>
    </row>
    <row r="135" spans="93:97" x14ac:dyDescent="0.25">
      <c r="CO135" t="str">
        <v/>
      </c>
      <c r="CP135" s="203" t="str">
        <v/>
      </c>
      <c r="CQ135" s="203" t="str">
        <v/>
      </c>
      <c r="CR135" s="203" t="str">
        <v/>
      </c>
      <c r="CS135" s="203" t="str">
        <v/>
      </c>
    </row>
    <row r="136" spans="93:97" x14ac:dyDescent="0.25">
      <c r="CO136" t="str">
        <v/>
      </c>
      <c r="CP136" s="203" t="str">
        <v/>
      </c>
      <c r="CQ136" s="203" t="str">
        <v/>
      </c>
      <c r="CR136" s="203" t="str">
        <v/>
      </c>
      <c r="CS136" s="203" t="str">
        <v/>
      </c>
    </row>
    <row r="137" spans="93:97" x14ac:dyDescent="0.25">
      <c r="CO137" t="str">
        <v/>
      </c>
      <c r="CP137" s="203" t="str">
        <v/>
      </c>
      <c r="CQ137" s="203" t="str">
        <v/>
      </c>
      <c r="CR137" s="203" t="str">
        <v/>
      </c>
      <c r="CS137" s="203" t="str">
        <v/>
      </c>
    </row>
    <row r="138" spans="93:97" x14ac:dyDescent="0.25">
      <c r="CO138" t="str">
        <v/>
      </c>
      <c r="CP138" s="203" t="str">
        <v/>
      </c>
      <c r="CQ138" s="203" t="str">
        <v/>
      </c>
      <c r="CR138" s="203" t="str">
        <v/>
      </c>
      <c r="CS138" s="203" t="str">
        <v/>
      </c>
    </row>
    <row r="139" spans="93:97" x14ac:dyDescent="0.25">
      <c r="CO139" t="str">
        <v/>
      </c>
      <c r="CP139" s="203" t="str">
        <v/>
      </c>
      <c r="CQ139" s="203" t="str">
        <v/>
      </c>
      <c r="CR139" s="203" t="str">
        <v/>
      </c>
      <c r="CS139" s="203" t="str">
        <v/>
      </c>
    </row>
    <row r="140" spans="93:97" x14ac:dyDescent="0.25">
      <c r="CO140" t="str">
        <v/>
      </c>
      <c r="CP140" s="203" t="str">
        <v/>
      </c>
      <c r="CQ140" s="203" t="str">
        <v/>
      </c>
      <c r="CR140" s="203" t="str">
        <v/>
      </c>
      <c r="CS140" s="203" t="str">
        <v/>
      </c>
    </row>
    <row r="141" spans="93:97" x14ac:dyDescent="0.25">
      <c r="CO141" t="str">
        <v/>
      </c>
      <c r="CP141" s="203" t="str">
        <v/>
      </c>
      <c r="CQ141" s="203" t="str">
        <v/>
      </c>
      <c r="CR141" s="203" t="str">
        <v/>
      </c>
      <c r="CS141" s="203" t="str">
        <v/>
      </c>
    </row>
    <row r="142" spans="93:97" x14ac:dyDescent="0.25">
      <c r="CO142" t="str">
        <v/>
      </c>
      <c r="CP142" s="203" t="str">
        <v/>
      </c>
      <c r="CQ142" s="203" t="str">
        <v/>
      </c>
      <c r="CR142" s="203" t="str">
        <v/>
      </c>
      <c r="CS142" s="203" t="str">
        <v/>
      </c>
    </row>
    <row r="143" spans="93:97" x14ac:dyDescent="0.25">
      <c r="CO143" t="str">
        <v/>
      </c>
      <c r="CP143" s="203" t="str">
        <v/>
      </c>
      <c r="CQ143" s="203" t="str">
        <v/>
      </c>
      <c r="CR143" s="203" t="str">
        <v/>
      </c>
      <c r="CS143" s="203" t="str">
        <v/>
      </c>
    </row>
    <row r="144" spans="93:97" x14ac:dyDescent="0.25">
      <c r="CO144" t="str">
        <v/>
      </c>
      <c r="CP144" s="203" t="str">
        <v/>
      </c>
      <c r="CQ144" s="203" t="str">
        <v/>
      </c>
      <c r="CR144" s="203" t="str">
        <v/>
      </c>
      <c r="CS144" s="203" t="str">
        <v/>
      </c>
    </row>
    <row r="145" spans="93:97" x14ac:dyDescent="0.25">
      <c r="CO145" t="str">
        <v/>
      </c>
      <c r="CP145" s="203" t="str">
        <v/>
      </c>
      <c r="CQ145" s="203" t="str">
        <v/>
      </c>
      <c r="CR145" s="203" t="str">
        <v/>
      </c>
      <c r="CS145" s="203" t="str">
        <v/>
      </c>
    </row>
    <row r="146" spans="93:97" x14ac:dyDescent="0.25">
      <c r="CO146" t="str">
        <v/>
      </c>
      <c r="CP146" s="203" t="str">
        <v/>
      </c>
      <c r="CQ146" s="203" t="str">
        <v/>
      </c>
      <c r="CR146" s="203" t="str">
        <v/>
      </c>
      <c r="CS146" s="203" t="str">
        <v/>
      </c>
    </row>
    <row r="147" spans="93:97" x14ac:dyDescent="0.25">
      <c r="CO147" t="str">
        <v/>
      </c>
      <c r="CP147" s="203" t="str">
        <v/>
      </c>
      <c r="CQ147" s="203" t="str">
        <v/>
      </c>
      <c r="CR147" s="203" t="str">
        <v/>
      </c>
      <c r="CS147" s="203" t="str">
        <v/>
      </c>
    </row>
    <row r="148" spans="93:97" x14ac:dyDescent="0.25">
      <c r="CO148" t="str">
        <v/>
      </c>
      <c r="CP148" s="203" t="str">
        <v/>
      </c>
      <c r="CQ148" s="203" t="str">
        <v/>
      </c>
      <c r="CR148" s="203" t="str">
        <v/>
      </c>
      <c r="CS148" s="203" t="str">
        <v/>
      </c>
    </row>
    <row r="149" spans="93:97" x14ac:dyDescent="0.25">
      <c r="CO149" t="str">
        <v/>
      </c>
      <c r="CP149" s="203" t="str">
        <v/>
      </c>
      <c r="CQ149" s="203" t="str">
        <v/>
      </c>
      <c r="CR149" s="203" t="str">
        <v/>
      </c>
      <c r="CS149" s="203" t="str">
        <v/>
      </c>
    </row>
  </sheetData>
  <dataValidations disablePrompts="1"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K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DA128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25.85546875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25.7109375" bestFit="1" customWidth="1"/>
    <col min="34" max="34" width="10.42578125" customWidth="1"/>
    <col min="35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2"/>
    <col min="51" max="51" width="30.7109375" hidden="1" customWidth="1" outlineLevel="2"/>
    <col min="52" max="52" width="40.7109375" hidden="1" customWidth="1" outlineLevel="2"/>
    <col min="53" max="53" width="9.140625" hidden="1" customWidth="1" outlineLevel="2"/>
    <col min="54" max="54" width="0" hidden="1" customWidth="1" outlineLevel="2"/>
    <col min="55" max="55" width="14.28515625" hidden="1" customWidth="1" outlineLevel="2"/>
    <col min="56" max="59" width="10.7109375" hidden="1" customWidth="1" outlineLevel="2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14.42578125" customWidth="1"/>
    <col min="67" max="67" width="42.42578125" bestFit="1" customWidth="1"/>
    <col min="68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4" width="9.140625" customWidth="1"/>
    <col min="85" max="85" width="9.5703125" customWidth="1" outlineLevel="1"/>
    <col min="86" max="86" width="15.42578125" customWidth="1" outlineLevel="1"/>
    <col min="87" max="87" width="13.5703125" bestFit="1" customWidth="1"/>
    <col min="88" max="88" width="29.7109375" bestFit="1" customWidth="1"/>
    <col min="89" max="89" width="34.28515625" bestFit="1" customWidth="1"/>
    <col min="90" max="90" width="9.140625" customWidth="1"/>
    <col min="91" max="91" width="18.28515625" customWidth="1" outlineLevel="1"/>
    <col min="92" max="92" width="20.7109375" customWidth="1"/>
    <col min="93" max="93" width="22.5703125" style="379" customWidth="1"/>
    <col min="94" max="94" width="8" style="406" bestFit="1" customWidth="1"/>
    <col min="95" max="95" width="15.42578125" style="406" bestFit="1" customWidth="1"/>
    <col min="96" max="96" width="8.140625" style="406" bestFit="1" customWidth="1"/>
    <col min="97" max="97" width="15.140625" style="406" bestFit="1" customWidth="1"/>
  </cols>
  <sheetData>
    <row r="1" spans="1:98" x14ac:dyDescent="0.25">
      <c r="A1" s="2" t="s">
        <v>1211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G1" s="206"/>
      <c r="CH1" s="299"/>
      <c r="CM1" s="206"/>
      <c r="CN1" s="206"/>
      <c r="CO1" s="390"/>
      <c r="CP1" s="410"/>
      <c r="CQ1" s="410"/>
      <c r="CR1" s="410"/>
      <c r="CS1" s="420"/>
      <c r="CT1" s="206"/>
    </row>
    <row r="2" spans="1:98" x14ac:dyDescent="0.25">
      <c r="F2" s="237" t="s">
        <v>712</v>
      </c>
      <c r="K2" s="2" t="str">
        <f>A1&amp;"_OIS"</f>
        <v>CNH_OIS</v>
      </c>
      <c r="L2" s="5"/>
      <c r="M2" s="5"/>
      <c r="N2" s="5"/>
      <c r="O2" s="5"/>
      <c r="Q2" s="237"/>
      <c r="V2" s="2" t="str">
        <f>A1&amp;"_SWAP_3M"</f>
        <v>CNH_SWAP_3M</v>
      </c>
      <c r="W2" s="5"/>
      <c r="X2" s="5"/>
      <c r="Z2" s="5"/>
      <c r="AB2" s="237"/>
      <c r="AG2" s="2" t="str">
        <f>A1&amp;"_SWAP_6M"</f>
        <v>CNH_SWAP_6M</v>
      </c>
      <c r="AH2" s="5"/>
      <c r="AI2" s="5"/>
      <c r="AJ2" s="5"/>
      <c r="AK2" s="5"/>
      <c r="AR2" t="str">
        <f>A1&amp;"_BASIS_12M"</f>
        <v>CNH_BASIS_12M</v>
      </c>
      <c r="BC2" t="str">
        <f>A1&amp;"_BASIS_1M"</f>
        <v>CNH_BASIS_1M</v>
      </c>
      <c r="BN2" s="2" t="str">
        <f>A1&amp;"_XCCYBASIS"</f>
        <v>CNH_XCCYBASIS</v>
      </c>
      <c r="BO2" s="5"/>
      <c r="BP2" s="5"/>
      <c r="BQ2" s="5"/>
      <c r="BR2" s="5"/>
      <c r="CG2" s="307"/>
      <c r="CH2" s="299"/>
      <c r="CM2" s="308"/>
      <c r="CN2" s="308"/>
      <c r="CO2" s="393"/>
      <c r="CP2" s="421"/>
      <c r="CQ2" s="421"/>
      <c r="CR2" s="421"/>
      <c r="CS2" s="420"/>
      <c r="CT2" s="206"/>
    </row>
    <row r="3" spans="1:98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G3" s="286"/>
      <c r="CH3" s="299"/>
      <c r="CI3" s="45"/>
      <c r="CJ3" s="48"/>
      <c r="CK3" s="48"/>
      <c r="CL3" s="49"/>
      <c r="CM3" s="285"/>
      <c r="CN3" s="286"/>
      <c r="CO3" s="394"/>
      <c r="CP3" s="422"/>
      <c r="CQ3" s="422"/>
      <c r="CR3" s="423"/>
      <c r="CS3" s="420"/>
      <c r="CT3" s="206"/>
    </row>
    <row r="4" spans="1:98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G4" s="317"/>
      <c r="CH4" s="299"/>
      <c r="CI4" s="50"/>
      <c r="CJ4" s="81"/>
      <c r="CK4" s="228"/>
      <c r="CL4" s="53"/>
      <c r="CM4" s="285"/>
      <c r="CN4" s="286"/>
      <c r="CO4" s="394"/>
      <c r="CP4" s="422"/>
      <c r="CQ4" s="422"/>
      <c r="CR4" s="423"/>
      <c r="CS4" s="420"/>
      <c r="CT4" s="206"/>
    </row>
    <row r="5" spans="1:98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N5" t="s">
        <v>1322</v>
      </c>
      <c r="BO5" s="5" t="s">
        <v>1325</v>
      </c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1285</v>
      </c>
      <c r="CE5" s="228"/>
      <c r="CF5" s="53"/>
      <c r="CG5" s="322"/>
      <c r="CH5" s="299"/>
      <c r="CI5" s="50"/>
      <c r="CJ5" s="54" t="s">
        <v>1286</v>
      </c>
      <c r="CK5" s="228"/>
      <c r="CL5" s="53"/>
      <c r="CM5" s="285"/>
      <c r="CN5" s="286"/>
      <c r="CO5" s="394"/>
      <c r="CP5" s="422"/>
      <c r="CQ5" s="422"/>
      <c r="CR5" s="423"/>
      <c r="CS5" s="420"/>
      <c r="CT5" s="206"/>
    </row>
    <row r="6" spans="1:98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G6" s="317"/>
      <c r="CH6" s="299"/>
      <c r="CI6" s="50"/>
      <c r="CJ6" s="51" t="s">
        <v>743</v>
      </c>
      <c r="CK6" s="210" t="b">
        <v>1</v>
      </c>
      <c r="CL6" s="53"/>
      <c r="CM6" s="285"/>
      <c r="CN6" s="286"/>
      <c r="CO6" s="394"/>
      <c r="CP6" s="422"/>
      <c r="CQ6" s="422"/>
      <c r="CR6" s="423"/>
      <c r="CS6" s="420"/>
      <c r="CT6" s="206"/>
    </row>
    <row r="7" spans="1:98" x14ac:dyDescent="0.25">
      <c r="F7" s="50"/>
      <c r="G7" s="59" t="s">
        <v>711</v>
      </c>
      <c r="H7" s="211" t="str">
        <f>$A$1&amp;"_OIS"</f>
        <v>CNH_OIS</v>
      </c>
      <c r="I7" s="53"/>
      <c r="K7" t="s">
        <v>298</v>
      </c>
      <c r="L7" s="358">
        <f>O7+N7/10000</f>
        <v>2.6826699999999998E-2</v>
      </c>
      <c r="M7" s="5" t="b">
        <v>1</v>
      </c>
      <c r="N7" s="5">
        <f>$N$4</f>
        <v>0</v>
      </c>
      <c r="O7" s="367">
        <f>W7</f>
        <v>2.6826699999999998E-2</v>
      </c>
      <c r="Q7" s="50"/>
      <c r="R7" s="59" t="s">
        <v>711</v>
      </c>
      <c r="S7" s="211" t="str">
        <f>$A$1&amp;"_SWAP_"&amp;"3M"</f>
        <v>CNH_SWAP_3M</v>
      </c>
      <c r="T7" s="53"/>
      <c r="V7" t="s">
        <v>298</v>
      </c>
      <c r="W7" s="367">
        <f t="shared" ref="W7:W20" si="0">Z7+Y7/10000</f>
        <v>2.6826699999999998E-2</v>
      </c>
      <c r="X7" s="5" t="b">
        <v>1</v>
      </c>
      <c r="Y7" s="5">
        <v>0</v>
      </c>
      <c r="Z7" s="368">
        <f>CNH_DATA!U7</f>
        <v>2.6826699999999998E-2</v>
      </c>
      <c r="AA7" s="203"/>
      <c r="AB7" s="50"/>
      <c r="AC7" s="59" t="s">
        <v>711</v>
      </c>
      <c r="AD7" s="211" t="str">
        <f>$A$1&amp;"_BASIS_3M6M"</f>
        <v>CNH_BASIS_3M6M</v>
      </c>
      <c r="AE7" s="53"/>
      <c r="AG7" t="s">
        <v>298</v>
      </c>
      <c r="AH7" s="358">
        <v>1E-3</v>
      </c>
      <c r="AI7" s="5" t="b">
        <v>1</v>
      </c>
      <c r="AJ7" s="5">
        <v>28</v>
      </c>
      <c r="AK7" s="358"/>
      <c r="AL7" s="207"/>
      <c r="AM7" s="50"/>
      <c r="AN7" s="59" t="s">
        <v>711</v>
      </c>
      <c r="AO7" s="211" t="str">
        <f>A1&amp;"_BASIS_3M12M"</f>
        <v>CNH_BASIS_3M12M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CNH_BASIS_1X3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CNH_XCCY</v>
      </c>
      <c r="BL7" s="53"/>
      <c r="BN7" t="s">
        <v>2</v>
      </c>
      <c r="BO7" s="5" t="str">
        <f>$A$1</f>
        <v>CNH</v>
      </c>
      <c r="BP7" s="481">
        <f>BR7</f>
        <v>6.8487999999999998</v>
      </c>
      <c r="BQ7" s="5"/>
      <c r="BR7" s="481">
        <f>CNH_DATA!AZ7</f>
        <v>6.8487999999999998</v>
      </c>
      <c r="BT7" s="50"/>
      <c r="BU7" s="270" t="s">
        <v>830</v>
      </c>
      <c r="BV7" s="271" t="str">
        <f>"FX_CURVE_"&amp;"USD"&amp;$A$1</f>
        <v>FX_CURVE_USDCNH</v>
      </c>
      <c r="BW7" s="52"/>
      <c r="BX7" s="299"/>
      <c r="BY7" t="s">
        <v>836</v>
      </c>
      <c r="BZ7" s="296">
        <f>CNH_DATA!AW7</f>
        <v>6.8479999999999999</v>
      </c>
      <c r="CA7" s="296">
        <f>CNH_DATA!AX7</f>
        <v>6.8483999999999998</v>
      </c>
      <c r="CC7" s="50"/>
      <c r="CD7" s="59" t="s">
        <v>711</v>
      </c>
      <c r="CE7" s="211" t="str">
        <f>$A$1&amp;"_EURCSA"</f>
        <v>CNH_EURCSA</v>
      </c>
      <c r="CF7" s="53"/>
      <c r="CG7" s="317"/>
      <c r="CH7" s="299"/>
      <c r="CI7" s="50"/>
      <c r="CJ7" s="59" t="s">
        <v>711</v>
      </c>
      <c r="CK7" s="211" t="str">
        <f>$A$1&amp;"_JPYCSA"</f>
        <v>CNH_JPYCSA</v>
      </c>
      <c r="CL7" s="53"/>
      <c r="CM7" s="285"/>
      <c r="CN7" s="286"/>
      <c r="CO7" s="394"/>
      <c r="CP7" s="422"/>
      <c r="CQ7" s="422"/>
      <c r="CR7" s="423"/>
      <c r="CS7" s="420"/>
      <c r="CT7" s="206"/>
    </row>
    <row r="8" spans="1:98" x14ac:dyDescent="0.25">
      <c r="F8" s="50"/>
      <c r="G8" s="72" t="s">
        <v>670</v>
      </c>
      <c r="H8" s="35" t="str">
        <f>IF(H$6,_xll.meLWOCurveGeneratorCreate(H$7,"CURVEPROPERTIES",G12:H18,"OIS",G23:H37),"Disabled")</f>
        <v>CNH_OIS@105:2</v>
      </c>
      <c r="I8" s="53" t="s">
        <v>424</v>
      </c>
      <c r="K8" t="s">
        <v>300</v>
      </c>
      <c r="L8" s="648">
        <f t="shared" ref="L8:L17" si="1">O8+N8/10000</f>
        <v>2.6826699999999998E-2</v>
      </c>
      <c r="M8" s="5" t="b">
        <v>1</v>
      </c>
      <c r="N8" s="5">
        <f t="shared" ref="N8:N17" si="2">$N$4</f>
        <v>0</v>
      </c>
      <c r="O8" s="367">
        <f>W8</f>
        <v>2.6826699999999998E-2</v>
      </c>
      <c r="Q8" s="50"/>
      <c r="R8" s="72" t="s">
        <v>670</v>
      </c>
      <c r="S8" s="35" t="str">
        <f>IF(S$6,_xll.meLWOCurveGeneratorCreate(S$7,"CURVEPROPERTIES",R12:S25,"MONEYMARKET",R28:S30,"LIBORFIXINGS",R33:S37,"SWAPS",R48:S61),"Disabled")</f>
        <v>CNH_SWAP_3M@101:0</v>
      </c>
      <c r="T8" s="53" t="s">
        <v>424</v>
      </c>
      <c r="V8" t="s">
        <v>300</v>
      </c>
      <c r="W8" s="367">
        <f t="shared" si="0"/>
        <v>2.6826699999999998E-2</v>
      </c>
      <c r="X8" s="5" t="b">
        <v>1</v>
      </c>
      <c r="Y8" s="5">
        <f t="shared" ref="Y8:Y20" si="3">$Y$4</f>
        <v>0</v>
      </c>
      <c r="Z8" s="368">
        <f>CNH_DATA!U8</f>
        <v>2.6826699999999998E-2</v>
      </c>
      <c r="AA8" s="203"/>
      <c r="AB8" s="50"/>
      <c r="AC8" s="72" t="s">
        <v>670</v>
      </c>
      <c r="AD8" s="35" t="str">
        <f>IF(AD$6,_xll.meLWOCurveGeneratorCreate(AD$7,"CURVEPROPERTIES",AC12:AD21,"MONEYMARKET",AC26:AD28,"LIBORFIXINGS",AC31:AD35,"BASISSWAPS",AC38:AD78),"Disabled")</f>
        <v>CNH_BASIS_3M6M@104:2</v>
      </c>
      <c r="AE8" s="53" t="s">
        <v>424</v>
      </c>
      <c r="AG8" t="s">
        <v>300</v>
      </c>
      <c r="AH8" s="358">
        <v>1E-3</v>
      </c>
      <c r="AI8" s="5" t="b">
        <v>1</v>
      </c>
      <c r="AJ8" s="5">
        <f t="shared" ref="AJ8:AJ10" si="4">$AJ$4</f>
        <v>0</v>
      </c>
      <c r="AK8" s="358"/>
      <c r="AL8" s="207"/>
      <c r="AM8" s="50"/>
      <c r="AN8" s="72" t="s">
        <v>670</v>
      </c>
      <c r="AO8" s="35" t="str">
        <f>IF(AO$6,_xll.meLWOCurveGeneratorCreate(AO$7,AN11,AN12:AO21,AN26,AN27:AO68),"Disabled")</f>
        <v>#Error: Invalid Data: Data Contains Errors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#Error: Invalid Data: Data Contains Errors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IF(BK$6,_xll.meLWOCurveGeneratorCreate(BK$7,"CURVEPROPERTIES",BJ12:BK23,"XCCYSWAPS",BJ37:BK74,"FXFWDS",BJ26:BK34),"Disabled")</f>
        <v>CNH_XCCY@100:0</v>
      </c>
      <c r="BL8" s="53" t="s">
        <v>424</v>
      </c>
      <c r="BN8" t="s">
        <v>298</v>
      </c>
      <c r="BO8" s="362">
        <f>BR8+BQ8</f>
        <v>4.0999999999999996</v>
      </c>
      <c r="BP8" s="5" t="b">
        <v>1</v>
      </c>
      <c r="BQ8" s="5"/>
      <c r="BR8" s="362">
        <f>CNH_DATA!AZ8</f>
        <v>4.0999999999999996</v>
      </c>
      <c r="BT8" s="50"/>
      <c r="BU8" t="s">
        <v>670</v>
      </c>
      <c r="BV8" s="263" t="str">
        <f>IF(BV6,_xll.meLWOCurveGeneratorCreate(BV7,"CURVEPROPERTIES",BU12:BV15,"FXFWDS",BU20:BV25),"DISABLED")</f>
        <v>FX_CURVE_USDCNH@98:0</v>
      </c>
      <c r="BW8" s="52"/>
      <c r="BX8" s="299"/>
      <c r="BY8" t="s">
        <v>298</v>
      </c>
      <c r="BZ8" s="297">
        <f>CNH_DATA!AW8</f>
        <v>3.04</v>
      </c>
      <c r="CA8" s="297">
        <f>CNH_DATA!AX8</f>
        <v>5.15</v>
      </c>
      <c r="CC8" s="50"/>
      <c r="CD8" s="72" t="s">
        <v>670</v>
      </c>
      <c r="CE8" s="35" t="str">
        <f>IF(CE$6,_xll.meLWOCurveGeneratorCreate(CE$7,"CURVEPROPERTIES",CD12:CE20,"FWDFXCONST",CD27:CE31),"Disabled")</f>
        <v>CNH_EURCSA@102:0</v>
      </c>
      <c r="CF8" s="53" t="s">
        <v>424</v>
      </c>
      <c r="CG8" s="317"/>
      <c r="CH8" s="303"/>
      <c r="CI8" s="50"/>
      <c r="CJ8" s="72" t="s">
        <v>670</v>
      </c>
      <c r="CK8" s="35" t="str">
        <f>IF(CK$6,_xll.meLWOCurveGeneratorCreate(CK$7,"CURVEPROPERTIES",CJ12:CK20,"FWDFXCONST",CJ27:CK31),"Disabled")</f>
        <v>CNH_JPYCSA@99:0</v>
      </c>
      <c r="CL8" s="53" t="s">
        <v>424</v>
      </c>
      <c r="CM8" s="285"/>
      <c r="CN8" s="286"/>
      <c r="CO8" s="395"/>
      <c r="CP8" s="422"/>
      <c r="CQ8" s="422"/>
      <c r="CR8" s="423"/>
      <c r="CS8" s="420"/>
      <c r="CT8" s="405"/>
    </row>
    <row r="9" spans="1:98" x14ac:dyDescent="0.25">
      <c r="F9" s="50"/>
      <c r="G9" s="289"/>
      <c r="H9" s="289"/>
      <c r="I9" s="53" t="s">
        <v>424</v>
      </c>
      <c r="K9" t="s">
        <v>49</v>
      </c>
      <c r="L9" s="648">
        <f t="shared" si="1"/>
        <v>2.8205000000000001E-2</v>
      </c>
      <c r="M9" s="5" t="b">
        <v>1</v>
      </c>
      <c r="N9" s="5">
        <f t="shared" si="2"/>
        <v>0</v>
      </c>
      <c r="O9" s="367">
        <f>W9</f>
        <v>2.8205000000000001E-2</v>
      </c>
      <c r="Q9" s="50"/>
      <c r="R9" s="52"/>
      <c r="S9" s="52"/>
      <c r="T9" s="53"/>
      <c r="V9" t="s">
        <v>49</v>
      </c>
      <c r="W9" s="367">
        <f t="shared" si="0"/>
        <v>2.8205000000000001E-2</v>
      </c>
      <c r="X9" s="5" t="b">
        <v>1</v>
      </c>
      <c r="Y9" s="5">
        <f t="shared" si="3"/>
        <v>0</v>
      </c>
      <c r="Z9" s="368">
        <f>CNH_DATA!U9</f>
        <v>2.8205000000000001E-2</v>
      </c>
      <c r="AA9" s="203"/>
      <c r="AB9" s="50"/>
      <c r="AC9" s="52"/>
      <c r="AD9" s="52"/>
      <c r="AE9" s="53"/>
      <c r="AG9" t="s">
        <v>49</v>
      </c>
      <c r="AH9" s="358">
        <v>1E-3</v>
      </c>
      <c r="AI9" s="5" t="b">
        <v>1</v>
      </c>
      <c r="AJ9" s="5">
        <f t="shared" si="4"/>
        <v>0</v>
      </c>
      <c r="AK9" s="358"/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362">
        <f t="shared" ref="BO9:BO14" si="5">BR9+BQ9</f>
        <v>4.5199999999999996</v>
      </c>
      <c r="BP9" s="5" t="b">
        <v>1</v>
      </c>
      <c r="BQ9" s="5"/>
      <c r="BR9" s="362">
        <f>CNH_DATA!AZ9</f>
        <v>4.5199999999999996</v>
      </c>
      <c r="BT9" s="50"/>
      <c r="BU9" s="57"/>
      <c r="BV9" s="57"/>
      <c r="BW9" s="52"/>
      <c r="BX9" s="299"/>
      <c r="BY9" t="s">
        <v>506</v>
      </c>
      <c r="BZ9" s="297">
        <f>CNH_DATA!AW9</f>
        <v>4</v>
      </c>
      <c r="CA9" s="297">
        <f>CNH_DATA!AX9</f>
        <v>5.4</v>
      </c>
      <c r="CC9" s="50"/>
      <c r="CD9" s="52"/>
      <c r="CE9" s="52"/>
      <c r="CF9" s="53"/>
      <c r="CG9" s="317"/>
      <c r="CH9" s="299"/>
      <c r="CI9" s="50"/>
      <c r="CJ9" s="52"/>
      <c r="CK9" s="52"/>
      <c r="CL9" s="53"/>
      <c r="CM9" s="285"/>
      <c r="CN9" s="286"/>
      <c r="CO9" s="395"/>
      <c r="CP9" s="422"/>
      <c r="CQ9" s="422"/>
      <c r="CR9" s="423"/>
      <c r="CS9" s="420"/>
      <c r="CT9" s="405"/>
    </row>
    <row r="10" spans="1:98" x14ac:dyDescent="0.25">
      <c r="F10" s="50"/>
      <c r="G10" s="289"/>
      <c r="H10" s="289"/>
      <c r="I10" s="53"/>
      <c r="K10" t="s">
        <v>46</v>
      </c>
      <c r="L10" s="648">
        <f t="shared" si="1"/>
        <v>3.0295000000000002E-2</v>
      </c>
      <c r="M10" s="5" t="b">
        <v>1</v>
      </c>
      <c r="N10" s="5">
        <f t="shared" si="2"/>
        <v>0</v>
      </c>
      <c r="O10" s="367">
        <f>W10</f>
        <v>3.0295000000000002E-2</v>
      </c>
      <c r="Q10" s="50"/>
      <c r="R10" s="52"/>
      <c r="S10" s="52"/>
      <c r="T10" s="53"/>
      <c r="V10" t="s">
        <v>46</v>
      </c>
      <c r="W10" s="367">
        <f t="shared" si="0"/>
        <v>3.0295000000000002E-2</v>
      </c>
      <c r="X10" s="5" t="b">
        <v>0</v>
      </c>
      <c r="Y10" s="5">
        <f t="shared" si="3"/>
        <v>0</v>
      </c>
      <c r="Z10" s="368">
        <f>CNH_DATA!U10</f>
        <v>3.0295000000000002E-2</v>
      </c>
      <c r="AA10" s="203"/>
      <c r="AB10" s="50"/>
      <c r="AC10" s="52"/>
      <c r="AD10" s="52"/>
      <c r="AE10" s="53"/>
      <c r="AG10" t="s">
        <v>46</v>
      </c>
      <c r="AH10" s="358">
        <v>1E-3</v>
      </c>
      <c r="AI10" s="5" t="b">
        <v>1</v>
      </c>
      <c r="AJ10" s="5">
        <f t="shared" si="4"/>
        <v>0</v>
      </c>
      <c r="AK10" s="358"/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362">
        <f t="shared" si="5"/>
        <v>30</v>
      </c>
      <c r="BP10" s="5" t="b">
        <v>1</v>
      </c>
      <c r="BQ10" s="5"/>
      <c r="BR10" s="362">
        <f>CNH_DATA!AZ10</f>
        <v>30</v>
      </c>
      <c r="BT10" s="50"/>
      <c r="BU10" s="57"/>
      <c r="BV10" s="57"/>
      <c r="BW10" s="52"/>
      <c r="BX10" s="299"/>
      <c r="BY10" t="s">
        <v>305</v>
      </c>
      <c r="BZ10" s="297">
        <f>CNH_DATA!AW10</f>
        <v>26</v>
      </c>
      <c r="CA10" s="297">
        <f>CNH_DATA!AX10</f>
        <v>32</v>
      </c>
      <c r="CC10" s="50"/>
      <c r="CD10" s="52"/>
      <c r="CE10" s="52"/>
      <c r="CF10" s="53"/>
      <c r="CG10" s="317"/>
      <c r="CH10" s="299"/>
      <c r="CI10" s="50"/>
      <c r="CJ10" s="52"/>
      <c r="CK10" s="52"/>
      <c r="CL10" s="53"/>
      <c r="CM10" s="285"/>
      <c r="CN10" s="286"/>
      <c r="CO10" s="395"/>
      <c r="CP10" s="422"/>
      <c r="CQ10" s="422"/>
      <c r="CR10" s="423"/>
      <c r="CS10" s="420"/>
      <c r="CT10" s="405"/>
    </row>
    <row r="11" spans="1:98" x14ac:dyDescent="0.25">
      <c r="F11" s="50"/>
      <c r="G11" s="54" t="s">
        <v>671</v>
      </c>
      <c r="H11" s="52"/>
      <c r="I11" s="53"/>
      <c r="K11" t="s">
        <v>47</v>
      </c>
      <c r="L11" s="648">
        <f t="shared" si="1"/>
        <v>3.2000000000000001E-2</v>
      </c>
      <c r="M11" s="5" t="b">
        <v>1</v>
      </c>
      <c r="N11" s="5">
        <f t="shared" si="2"/>
        <v>0</v>
      </c>
      <c r="O11" s="367">
        <f t="shared" ref="O11:O17" si="6">W14</f>
        <v>3.2000000000000001E-2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9.9375000000000002E-3</v>
      </c>
      <c r="X11" s="5" t="b">
        <v>0</v>
      </c>
      <c r="Y11" s="5">
        <f t="shared" si="3"/>
        <v>0</v>
      </c>
      <c r="Z11" s="368">
        <f>SAR_DATA!U11</f>
        <v>9.9375000000000002E-3</v>
      </c>
      <c r="AA11" s="203"/>
      <c r="AB11" s="50"/>
      <c r="AC11" s="54" t="s">
        <v>671</v>
      </c>
      <c r="AD11" s="85" t="s">
        <v>713</v>
      </c>
      <c r="AE11" s="53"/>
      <c r="AG11" t="s">
        <v>47</v>
      </c>
      <c r="AH11" s="358">
        <v>1E-3</v>
      </c>
      <c r="AI11" s="5" t="b">
        <v>1</v>
      </c>
      <c r="AJ11" s="5">
        <f>$AJ$4</f>
        <v>0</v>
      </c>
      <c r="AK11" s="357"/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313</v>
      </c>
      <c r="BO11" s="362">
        <f t="shared" ref="BO11" si="7">BR11+BQ11</f>
        <v>60</v>
      </c>
      <c r="BP11" s="5" t="b">
        <v>1</v>
      </c>
      <c r="BQ11" s="5"/>
      <c r="BR11" s="362">
        <f>CNH_DATA!AZ11</f>
        <v>60</v>
      </c>
      <c r="BT11" s="50"/>
      <c r="BU11" s="56" t="s">
        <v>671</v>
      </c>
      <c r="BV11" s="272" t="s">
        <v>825</v>
      </c>
      <c r="BW11" s="52"/>
      <c r="BX11" s="299"/>
      <c r="BY11" t="s">
        <v>313</v>
      </c>
      <c r="BZ11" s="297">
        <f>CNH_DATA!AW11</f>
        <v>57</v>
      </c>
      <c r="CA11" s="297">
        <f>CNH_DATA!AX11</f>
        <v>61</v>
      </c>
      <c r="CC11" s="50"/>
      <c r="CD11" s="54" t="s">
        <v>671</v>
      </c>
      <c r="CE11" s="85"/>
      <c r="CF11" s="53"/>
      <c r="CG11" s="317"/>
      <c r="CH11" s="299"/>
      <c r="CI11" s="50"/>
      <c r="CJ11" s="54" t="s">
        <v>671</v>
      </c>
      <c r="CK11" s="85"/>
      <c r="CL11" s="53"/>
      <c r="CM11" s="285"/>
      <c r="CN11" s="286"/>
      <c r="CO11" s="395"/>
      <c r="CP11" s="422"/>
      <c r="CQ11" s="422"/>
      <c r="CR11" s="423"/>
      <c r="CS11" s="420"/>
      <c r="CT11" s="405"/>
    </row>
    <row r="12" spans="1:98" x14ac:dyDescent="0.25">
      <c r="F12" s="50"/>
      <c r="G12" s="212" t="s">
        <v>435</v>
      </c>
      <c r="H12" s="213" t="s">
        <v>426</v>
      </c>
      <c r="I12" s="53"/>
      <c r="K12" t="s">
        <v>308</v>
      </c>
      <c r="L12" s="648">
        <f t="shared" si="1"/>
        <v>3.3000000000000002E-2</v>
      </c>
      <c r="M12" s="5" t="b">
        <v>1</v>
      </c>
      <c r="N12" s="5">
        <f t="shared" si="2"/>
        <v>0</v>
      </c>
      <c r="O12" s="367">
        <f t="shared" si="6"/>
        <v>3.3000000000000002E-2</v>
      </c>
      <c r="Q12" s="50"/>
      <c r="R12" s="220" t="s">
        <v>435</v>
      </c>
      <c r="S12" s="221" t="s">
        <v>463</v>
      </c>
      <c r="T12" s="53"/>
      <c r="V12" t="s">
        <v>46</v>
      </c>
      <c r="W12" s="367">
        <f t="shared" si="0"/>
        <v>2.7999999999999997E-2</v>
      </c>
      <c r="X12" s="5" t="b">
        <v>1</v>
      </c>
      <c r="Y12" s="5">
        <f t="shared" si="3"/>
        <v>0</v>
      </c>
      <c r="Z12" s="368">
        <f>CNH_DATA!U12</f>
        <v>2.7999999999999997E-2</v>
      </c>
      <c r="AA12" s="203"/>
      <c r="AB12" s="50"/>
      <c r="AC12" s="220" t="s">
        <v>434</v>
      </c>
      <c r="AD12" s="238" t="str">
        <f>$A$1</f>
        <v>CNH</v>
      </c>
      <c r="AE12" s="53"/>
      <c r="AG12" t="s">
        <v>308</v>
      </c>
      <c r="AH12" s="358">
        <v>1E-3</v>
      </c>
      <c r="AI12" s="5" t="b">
        <v>1</v>
      </c>
      <c r="AJ12" s="5">
        <f t="shared" ref="AJ12:AJ17" si="8">$AJ$4</f>
        <v>0</v>
      </c>
      <c r="AK12" s="357"/>
      <c r="AL12" s="207"/>
      <c r="AM12" s="50"/>
      <c r="AN12" s="220" t="s">
        <v>434</v>
      </c>
      <c r="AO12" s="238" t="str">
        <f>$A$1</f>
        <v>CNH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CNH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300</v>
      </c>
      <c r="BO12" s="362">
        <f t="shared" si="5"/>
        <v>141.65</v>
      </c>
      <c r="BP12" s="5" t="b">
        <v>1</v>
      </c>
      <c r="BQ12" s="5"/>
      <c r="BR12" s="362">
        <f>CNH_DATA!AZ12</f>
        <v>141.65</v>
      </c>
      <c r="BT12" s="50"/>
      <c r="BU12" s="238" t="s">
        <v>434</v>
      </c>
      <c r="BV12" s="238" t="s">
        <v>1258</v>
      </c>
      <c r="BW12" s="52"/>
      <c r="BX12" s="299"/>
      <c r="BY12" t="s">
        <v>300</v>
      </c>
      <c r="BZ12" s="297">
        <f>CNH_DATA!AW12</f>
        <v>136.29</v>
      </c>
      <c r="CA12" s="297">
        <f>CNH_DATA!AX12</f>
        <v>147.02000000000001</v>
      </c>
      <c r="CC12" s="50"/>
      <c r="CD12" s="220" t="s">
        <v>435</v>
      </c>
      <c r="CE12" s="238" t="s">
        <v>1084</v>
      </c>
      <c r="CF12" s="53"/>
      <c r="CG12" s="317"/>
      <c r="CH12" s="303"/>
      <c r="CI12" s="50"/>
      <c r="CJ12" s="220" t="s">
        <v>435</v>
      </c>
      <c r="CK12" s="238" t="s">
        <v>1084</v>
      </c>
      <c r="CL12" s="53"/>
      <c r="CM12" s="285"/>
      <c r="CN12" s="286"/>
      <c r="CO12" s="395"/>
      <c r="CP12" s="422"/>
      <c r="CQ12" s="422"/>
      <c r="CR12" s="423"/>
      <c r="CS12" s="420"/>
      <c r="CT12" s="405"/>
    </row>
    <row r="13" spans="1:98" x14ac:dyDescent="0.25">
      <c r="F13" s="50"/>
      <c r="G13" s="214" t="s">
        <v>438</v>
      </c>
      <c r="H13" s="215" t="s">
        <v>439</v>
      </c>
      <c r="I13" s="53"/>
      <c r="K13" t="s">
        <v>316</v>
      </c>
      <c r="L13" s="648">
        <f t="shared" si="1"/>
        <v>3.6000000000000004E-2</v>
      </c>
      <c r="M13" s="5" t="b">
        <v>1</v>
      </c>
      <c r="N13" s="5">
        <f t="shared" si="2"/>
        <v>0</v>
      </c>
      <c r="O13" s="367">
        <f t="shared" si="6"/>
        <v>3.6000000000000004E-2</v>
      </c>
      <c r="Q13" s="50"/>
      <c r="R13" s="222" t="s">
        <v>438</v>
      </c>
      <c r="S13" s="223" t="str">
        <f>IF(INDEX('STATIC DATA'!C56:AF56,1,MATCH(A1,'STATIC DATA'!C4:AF4,0))="1Y","ANNUAL",(IF(INDEX('STATIC DATA'!C56:AF56,1,MATCH($A$1,'STATIC DATA'!C4:AF4,0))="6M","SEMI-ANNUAL","QUARTERLY")))</f>
        <v>QUARTERLY</v>
      </c>
      <c r="T13" s="53"/>
      <c r="V13" t="s">
        <v>376</v>
      </c>
      <c r="W13" s="367">
        <f t="shared" si="0"/>
        <v>2.8500000000000001E-2</v>
      </c>
      <c r="X13" s="5" t="b">
        <v>1</v>
      </c>
      <c r="Y13" s="5">
        <f t="shared" si="3"/>
        <v>0</v>
      </c>
      <c r="Z13" s="368">
        <f>CNH_DATA!U13</f>
        <v>2.8500000000000001E-2</v>
      </c>
      <c r="AA13" s="203"/>
      <c r="AB13" s="50"/>
      <c r="AC13" s="222" t="s">
        <v>435</v>
      </c>
      <c r="AD13" s="216" t="s">
        <v>468</v>
      </c>
      <c r="AE13" s="53"/>
      <c r="AG13" t="s">
        <v>316</v>
      </c>
      <c r="AH13" s="358">
        <v>1E-3</v>
      </c>
      <c r="AI13" s="5" t="b">
        <v>1</v>
      </c>
      <c r="AJ13" s="5">
        <f t="shared" si="8"/>
        <v>0</v>
      </c>
      <c r="AK13" s="357"/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">
        <v>458</v>
      </c>
      <c r="BL13" s="53"/>
      <c r="BN13" t="s">
        <v>335</v>
      </c>
      <c r="BO13" s="362">
        <f t="shared" si="5"/>
        <v>272.07</v>
      </c>
      <c r="BP13" s="5" t="b">
        <v>1</v>
      </c>
      <c r="BQ13" s="5"/>
      <c r="BR13" s="362">
        <f>CNH_DATA!AZ13</f>
        <v>272.07</v>
      </c>
      <c r="BT13" s="50"/>
      <c r="BU13" s="216" t="s">
        <v>724</v>
      </c>
      <c r="BV13" s="216" t="s">
        <v>1593</v>
      </c>
      <c r="BW13" s="52"/>
      <c r="BX13" s="299"/>
      <c r="BY13" t="s">
        <v>335</v>
      </c>
      <c r="BZ13" s="297">
        <f>CNH_DATA!AW13</f>
        <v>266.61</v>
      </c>
      <c r="CA13" s="297">
        <f>CNH_DATA!AX13</f>
        <v>277.52999999999997</v>
      </c>
      <c r="CC13" s="50"/>
      <c r="CD13" s="222" t="s">
        <v>438</v>
      </c>
      <c r="CE13" s="216" t="s">
        <v>439</v>
      </c>
      <c r="CF13" s="53"/>
      <c r="CG13" s="317"/>
      <c r="CH13" s="313"/>
      <c r="CI13" s="50"/>
      <c r="CJ13" s="222" t="s">
        <v>438</v>
      </c>
      <c r="CK13" s="216" t="s">
        <v>439</v>
      </c>
      <c r="CL13" s="53"/>
      <c r="CM13" s="285"/>
      <c r="CN13" s="286"/>
      <c r="CO13" s="395"/>
      <c r="CP13" s="422"/>
      <c r="CQ13" s="422"/>
      <c r="CR13" s="423"/>
      <c r="CS13" s="420"/>
      <c r="CT13" s="405"/>
    </row>
    <row r="14" spans="1:98" x14ac:dyDescent="0.25">
      <c r="F14" s="50"/>
      <c r="G14" s="214" t="s">
        <v>672</v>
      </c>
      <c r="H14" s="215" t="s">
        <v>426</v>
      </c>
      <c r="I14" s="53"/>
      <c r="K14" t="s">
        <v>324</v>
      </c>
      <c r="L14" s="648">
        <f t="shared" si="1"/>
        <v>3.6000000000000004E-2</v>
      </c>
      <c r="M14" s="5" t="b">
        <v>1</v>
      </c>
      <c r="N14" s="5">
        <f t="shared" si="2"/>
        <v>0</v>
      </c>
      <c r="O14" s="367">
        <f t="shared" si="6"/>
        <v>3.6000000000000004E-2</v>
      </c>
      <c r="Q14" s="50"/>
      <c r="R14" s="222" t="s">
        <v>672</v>
      </c>
      <c r="S14" s="223" t="s">
        <v>714</v>
      </c>
      <c r="T14" s="53"/>
      <c r="V14" t="s">
        <v>47</v>
      </c>
      <c r="W14" s="367">
        <f t="shared" si="0"/>
        <v>3.2000000000000001E-2</v>
      </c>
      <c r="X14" s="5" t="b">
        <v>1</v>
      </c>
      <c r="Y14" s="5">
        <v>0</v>
      </c>
      <c r="Z14" s="368">
        <f>CNH_DATA!U14</f>
        <v>3.2000000000000001E-2</v>
      </c>
      <c r="AA14" s="203"/>
      <c r="AB14" s="50"/>
      <c r="AC14" s="222" t="s">
        <v>438</v>
      </c>
      <c r="AD14" s="216" t="s">
        <v>459</v>
      </c>
      <c r="AE14" s="53"/>
      <c r="AG14" t="s">
        <v>324</v>
      </c>
      <c r="AH14" s="358">
        <v>1E-3</v>
      </c>
      <c r="AI14" s="5" t="b">
        <v>1</v>
      </c>
      <c r="AJ14" s="5">
        <f t="shared" si="8"/>
        <v>0</v>
      </c>
      <c r="AK14" s="357"/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49</v>
      </c>
      <c r="BO14" s="362">
        <f t="shared" si="5"/>
        <v>399.05</v>
      </c>
      <c r="BP14" s="5" t="b">
        <v>1</v>
      </c>
      <c r="BQ14" s="5"/>
      <c r="BR14" s="362">
        <f>CNH_DATA!AZ14</f>
        <v>399.05</v>
      </c>
      <c r="BT14" s="50"/>
      <c r="BU14" s="216" t="s">
        <v>435</v>
      </c>
      <c r="BV14" s="216" t="s">
        <v>820</v>
      </c>
      <c r="BW14" s="52"/>
      <c r="BX14" s="299"/>
      <c r="BY14" t="s">
        <v>49</v>
      </c>
      <c r="BZ14" s="297">
        <f>CNH_DATA!AW14</f>
        <v>392.64</v>
      </c>
      <c r="CA14" s="297">
        <f>CNH_DATA!AX14</f>
        <v>405.47</v>
      </c>
      <c r="CC14" s="50"/>
      <c r="CD14" s="222" t="s">
        <v>672</v>
      </c>
      <c r="CE14" s="216" t="s">
        <v>1092</v>
      </c>
      <c r="CF14" s="53"/>
      <c r="CG14" s="317"/>
      <c r="CH14" s="299"/>
      <c r="CI14" s="50"/>
      <c r="CJ14" s="222" t="s">
        <v>672</v>
      </c>
      <c r="CK14" s="216" t="s">
        <v>1127</v>
      </c>
      <c r="CL14" s="53"/>
      <c r="CM14" s="285"/>
      <c r="CN14" s="286"/>
      <c r="CO14" s="395"/>
      <c r="CP14" s="422"/>
      <c r="CQ14" s="422"/>
      <c r="CR14" s="423"/>
      <c r="CS14" s="420"/>
      <c r="CT14" s="405"/>
    </row>
    <row r="15" spans="1:98" x14ac:dyDescent="0.25">
      <c r="F15" s="50"/>
      <c r="G15" s="235" t="s">
        <v>673</v>
      </c>
      <c r="H15" s="236" t="str">
        <f>H14&amp;":"&amp;$A$1&amp;H12</f>
        <v>OIS:CNHOIS</v>
      </c>
      <c r="I15" s="53" t="s">
        <v>424</v>
      </c>
      <c r="K15" t="s">
        <v>331</v>
      </c>
      <c r="L15" s="648">
        <f t="shared" si="1"/>
        <v>3.6000000000000004E-2</v>
      </c>
      <c r="M15" s="5" t="b">
        <v>1</v>
      </c>
      <c r="N15" s="5">
        <f t="shared" si="2"/>
        <v>0</v>
      </c>
      <c r="O15" s="367">
        <f t="shared" si="6"/>
        <v>3.6000000000000004E-2</v>
      </c>
      <c r="Q15" s="50"/>
      <c r="R15" s="233" t="s">
        <v>673</v>
      </c>
      <c r="S15" s="230" t="str">
        <f>"STD:"&amp;$A$1&amp;"3M"</f>
        <v>STD:CNH3M</v>
      </c>
      <c r="T15" s="53"/>
      <c r="V15" t="s">
        <v>308</v>
      </c>
      <c r="W15" s="367">
        <f t="shared" si="0"/>
        <v>3.3000000000000002E-2</v>
      </c>
      <c r="X15" s="5" t="b">
        <v>1</v>
      </c>
      <c r="Y15" s="5">
        <f t="shared" si="3"/>
        <v>0</v>
      </c>
      <c r="Z15" s="368">
        <f>CNH_DATA!U15</f>
        <v>3.3000000000000002E-2</v>
      </c>
      <c r="AA15" s="203"/>
      <c r="AB15" s="50"/>
      <c r="AC15" s="222" t="s">
        <v>672</v>
      </c>
      <c r="AD15" s="216" t="s">
        <v>745</v>
      </c>
      <c r="AE15" s="53"/>
      <c r="AG15" t="s">
        <v>331</v>
      </c>
      <c r="AH15" s="358">
        <v>1E-3</v>
      </c>
      <c r="AI15" s="5" t="b">
        <v>1</v>
      </c>
      <c r="AJ15" s="5">
        <f t="shared" si="8"/>
        <v>0</v>
      </c>
      <c r="AK15" s="357"/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1249</v>
      </c>
      <c r="BL15" s="53"/>
      <c r="BN15" t="s">
        <v>351</v>
      </c>
      <c r="BO15" s="362">
        <f t="shared" ref="BO15:BO22" si="9">BR15+BQ15</f>
        <v>535</v>
      </c>
      <c r="BP15" s="5" t="b">
        <v>1</v>
      </c>
      <c r="BQ15" s="5"/>
      <c r="BR15" s="362">
        <f>CNH_DATA!AZ15</f>
        <v>535</v>
      </c>
      <c r="BT15" s="50"/>
      <c r="BU15" s="219" t="s">
        <v>826</v>
      </c>
      <c r="BV15" s="219" t="s">
        <v>828</v>
      </c>
      <c r="BW15" s="52"/>
      <c r="BX15" s="299"/>
      <c r="BY15" t="s">
        <v>46</v>
      </c>
      <c r="BZ15" s="297">
        <f>CNH_DATA!AW17</f>
        <v>797</v>
      </c>
      <c r="CA15" s="297">
        <f>CNH_DATA!AX17</f>
        <v>812</v>
      </c>
      <c r="CC15" s="50"/>
      <c r="CD15" s="222" t="s">
        <v>673</v>
      </c>
      <c r="CE15" s="216" t="s">
        <v>1252</v>
      </c>
      <c r="CF15" s="53"/>
      <c r="CG15" s="317"/>
      <c r="CH15" s="299"/>
      <c r="CI15" s="50"/>
      <c r="CJ15" s="222" t="s">
        <v>673</v>
      </c>
      <c r="CK15" s="216" t="s">
        <v>1256</v>
      </c>
      <c r="CL15" s="53"/>
      <c r="CM15" s="285"/>
      <c r="CN15" s="286"/>
      <c r="CO15" s="395"/>
      <c r="CP15" s="422"/>
      <c r="CQ15" s="422"/>
      <c r="CR15" s="423"/>
      <c r="CS15" s="420"/>
      <c r="CT15" s="405"/>
    </row>
    <row r="16" spans="1:98" x14ac:dyDescent="0.25">
      <c r="F16" s="50"/>
      <c r="G16" s="214" t="s">
        <v>434</v>
      </c>
      <c r="H16" s="216" t="str">
        <f>$A$1</f>
        <v>CNH</v>
      </c>
      <c r="I16" s="53"/>
      <c r="K16" t="s">
        <v>342</v>
      </c>
      <c r="L16" s="648">
        <f t="shared" si="1"/>
        <v>4.4999999999999998E-2</v>
      </c>
      <c r="M16" s="5" t="b">
        <v>1</v>
      </c>
      <c r="N16" s="5">
        <f t="shared" si="2"/>
        <v>0</v>
      </c>
      <c r="O16" s="367">
        <f t="shared" si="6"/>
        <v>4.4999999999999998E-2</v>
      </c>
      <c r="Q16" s="50"/>
      <c r="R16" s="222" t="s">
        <v>434</v>
      </c>
      <c r="S16" s="223" t="str">
        <f>$A$1</f>
        <v>CNH</v>
      </c>
      <c r="T16" s="53"/>
      <c r="V16" t="s">
        <v>316</v>
      </c>
      <c r="W16" s="367">
        <f t="shared" si="0"/>
        <v>3.6000000000000004E-2</v>
      </c>
      <c r="X16" s="5" t="b">
        <v>1</v>
      </c>
      <c r="Y16" s="5">
        <f t="shared" si="3"/>
        <v>0</v>
      </c>
      <c r="Z16" s="368">
        <f>CNH_DATA!U16</f>
        <v>3.6000000000000004E-2</v>
      </c>
      <c r="AA16" s="203"/>
      <c r="AB16" s="50"/>
      <c r="AC16" s="233" t="s">
        <v>673</v>
      </c>
      <c r="AD16" s="230" t="s">
        <v>1248</v>
      </c>
      <c r="AE16" s="53"/>
      <c r="AG16" t="s">
        <v>342</v>
      </c>
      <c r="AH16" s="358">
        <v>1E-3</v>
      </c>
      <c r="AI16" s="5" t="b">
        <v>1</v>
      </c>
      <c r="AJ16" s="5">
        <f t="shared" si="8"/>
        <v>0</v>
      </c>
      <c r="AK16" s="357"/>
      <c r="AL16" s="207"/>
      <c r="AM16" s="50"/>
      <c r="AN16" s="233" t="s">
        <v>673</v>
      </c>
      <c r="AO16" s="230" t="str">
        <f>"3M12MBasis:"&amp;$A$1&amp;"12M"</f>
        <v>3M12MBasis:CNH12M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"1M3MBasis:"&amp;A1&amp;"3M"</f>
        <v>1M3MBasis:CNH3M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CNH</v>
      </c>
      <c r="BL16" s="53"/>
      <c r="BN16" t="s">
        <v>360</v>
      </c>
      <c r="BO16" s="362">
        <f t="shared" si="9"/>
        <v>687.5</v>
      </c>
      <c r="BP16" s="5" t="b">
        <v>1</v>
      </c>
      <c r="BQ16" s="5"/>
      <c r="BR16" s="362">
        <f>CNH_DATA!AZ16</f>
        <v>687.5</v>
      </c>
      <c r="BT16" s="50"/>
      <c r="BU16" s="57"/>
      <c r="BV16" s="57"/>
      <c r="BW16" s="52"/>
      <c r="BX16" s="299"/>
      <c r="BY16" t="s">
        <v>376</v>
      </c>
      <c r="BZ16" s="297">
        <f>CNH_DATA!AW20</f>
        <v>1206.8</v>
      </c>
      <c r="CA16" s="297">
        <f>CNH_DATA!AX20</f>
        <v>1234.8</v>
      </c>
      <c r="CC16" s="50"/>
      <c r="CD16" s="233" t="s">
        <v>434</v>
      </c>
      <c r="CE16" s="230" t="s">
        <v>1211</v>
      </c>
      <c r="CF16" s="53"/>
      <c r="CG16" s="317"/>
      <c r="CH16" s="299"/>
      <c r="CI16" s="50"/>
      <c r="CJ16" s="233" t="s">
        <v>434</v>
      </c>
      <c r="CK16" s="230" t="s">
        <v>1211</v>
      </c>
      <c r="CL16" s="53"/>
      <c r="CM16" s="285"/>
      <c r="CN16" s="286"/>
      <c r="CO16" s="395"/>
      <c r="CP16" s="422"/>
      <c r="CQ16" s="422"/>
      <c r="CR16" s="423"/>
      <c r="CS16" s="420"/>
      <c r="CT16" s="405"/>
    </row>
    <row r="17" spans="6:98" x14ac:dyDescent="0.25">
      <c r="F17" s="50"/>
      <c r="G17" s="217" t="s">
        <v>674</v>
      </c>
      <c r="H17" s="216" t="s">
        <v>1655</v>
      </c>
      <c r="I17" s="53"/>
      <c r="K17" t="s">
        <v>349</v>
      </c>
      <c r="L17" s="648">
        <f t="shared" si="1"/>
        <v>4.4999999999999998E-2</v>
      </c>
      <c r="M17" s="5" t="b">
        <v>1</v>
      </c>
      <c r="N17" s="5">
        <f t="shared" si="2"/>
        <v>0</v>
      </c>
      <c r="O17" s="367">
        <f t="shared" si="6"/>
        <v>4.4999999999999998E-2</v>
      </c>
      <c r="Q17" s="50"/>
      <c r="R17" s="222" t="s">
        <v>674</v>
      </c>
      <c r="S17" s="223" t="s">
        <v>1655</v>
      </c>
      <c r="T17" s="53"/>
      <c r="V17" t="s">
        <v>324</v>
      </c>
      <c r="W17" s="367">
        <f t="shared" si="0"/>
        <v>3.6000000000000004E-2</v>
      </c>
      <c r="X17" s="5" t="b">
        <v>1</v>
      </c>
      <c r="Y17" s="5">
        <f t="shared" si="3"/>
        <v>0</v>
      </c>
      <c r="Z17" s="368">
        <f>CNH_DATA!U17</f>
        <v>3.6000000000000004E-2</v>
      </c>
      <c r="AA17" s="203"/>
      <c r="AB17" s="50"/>
      <c r="AC17" s="222" t="s">
        <v>674</v>
      </c>
      <c r="AD17" s="216" t="s">
        <v>1655</v>
      </c>
      <c r="AE17" s="53"/>
      <c r="AG17" t="s">
        <v>349</v>
      </c>
      <c r="AH17" s="358">
        <v>1E-3</v>
      </c>
      <c r="AI17" s="5" t="b">
        <v>1</v>
      </c>
      <c r="AJ17" s="5">
        <f t="shared" si="8"/>
        <v>0</v>
      </c>
      <c r="AK17" s="357"/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1655</v>
      </c>
      <c r="BL17" s="53"/>
      <c r="BN17" t="s">
        <v>46</v>
      </c>
      <c r="BO17" s="362">
        <f t="shared" si="9"/>
        <v>804.5</v>
      </c>
      <c r="BP17" s="5" t="b">
        <v>1</v>
      </c>
      <c r="BQ17" s="5"/>
      <c r="BR17" s="362">
        <f>CNH_DATA!AZ17</f>
        <v>804.5</v>
      </c>
      <c r="BT17" s="50"/>
      <c r="BU17" s="57"/>
      <c r="BV17" s="57"/>
      <c r="BW17" s="52"/>
      <c r="BX17" s="299"/>
      <c r="BY17" t="s">
        <v>322</v>
      </c>
      <c r="BZ17" s="297">
        <f>CNH_DATA!AW23</f>
        <v>1634.92</v>
      </c>
      <c r="CA17" s="297">
        <f>CNH_DATA!AX23</f>
        <v>1655.86</v>
      </c>
      <c r="CC17" s="50"/>
      <c r="CD17" s="222" t="s">
        <v>674</v>
      </c>
      <c r="CE17" s="216" t="s">
        <v>675</v>
      </c>
      <c r="CF17" s="53"/>
      <c r="CG17" s="317"/>
      <c r="CH17" s="299"/>
      <c r="CI17" s="50"/>
      <c r="CJ17" s="222" t="s">
        <v>674</v>
      </c>
      <c r="CK17" s="216" t="s">
        <v>675</v>
      </c>
      <c r="CL17" s="53"/>
      <c r="CM17" s="285"/>
      <c r="CN17" s="286"/>
      <c r="CO17" s="395"/>
      <c r="CP17" s="422"/>
      <c r="CQ17" s="422"/>
      <c r="CR17" s="423"/>
      <c r="CS17" s="420"/>
      <c r="CT17" s="405"/>
    </row>
    <row r="18" spans="6:98" x14ac:dyDescent="0.25">
      <c r="F18" s="50"/>
      <c r="G18" s="214" t="s">
        <v>676</v>
      </c>
      <c r="H18" s="216" t="s">
        <v>1655</v>
      </c>
      <c r="I18" s="53"/>
      <c r="L18" s="5"/>
      <c r="M18" s="5"/>
      <c r="N18" s="5"/>
      <c r="O18" s="5"/>
      <c r="Q18" s="50"/>
      <c r="R18" s="222" t="s">
        <v>676</v>
      </c>
      <c r="S18" s="223" t="s">
        <v>1655</v>
      </c>
      <c r="T18" s="53"/>
      <c r="V18" t="s">
        <v>331</v>
      </c>
      <c r="W18" s="367">
        <f t="shared" si="0"/>
        <v>3.6000000000000004E-2</v>
      </c>
      <c r="X18" s="5" t="b">
        <v>1</v>
      </c>
      <c r="Y18" s="5">
        <f t="shared" si="3"/>
        <v>0</v>
      </c>
      <c r="Z18" s="368">
        <f>CNH_DATA!U18</f>
        <v>3.6000000000000004E-2</v>
      </c>
      <c r="AA18" s="203"/>
      <c r="AB18" s="50"/>
      <c r="AC18" s="222" t="s">
        <v>676</v>
      </c>
      <c r="AD18" s="639" t="s">
        <v>1655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1655</v>
      </c>
      <c r="BL18" s="53"/>
      <c r="BN18" t="s">
        <v>1570</v>
      </c>
      <c r="BO18" s="362">
        <f t="shared" si="9"/>
        <v>951.7</v>
      </c>
      <c r="BP18" s="5" t="b">
        <v>1</v>
      </c>
      <c r="BQ18" s="5"/>
      <c r="BR18" s="362">
        <f>CNH_DATA!AZ18</f>
        <v>951.7</v>
      </c>
      <c r="BT18" s="50"/>
      <c r="BU18" s="57"/>
      <c r="BV18" s="57"/>
      <c r="BW18" s="52"/>
      <c r="BX18" s="299"/>
      <c r="BY18" t="s">
        <v>308</v>
      </c>
      <c r="BZ18" s="297">
        <f>CNH_DATA!AW24</f>
        <v>3285</v>
      </c>
      <c r="CA18" s="297">
        <f>CNH_DATA!AX24</f>
        <v>3345</v>
      </c>
      <c r="CC18" s="50"/>
      <c r="CD18" s="222" t="s">
        <v>676</v>
      </c>
      <c r="CE18" s="216" t="s">
        <v>675</v>
      </c>
      <c r="CF18" s="53"/>
      <c r="CG18" s="317"/>
      <c r="CH18" s="299"/>
      <c r="CI18" s="50"/>
      <c r="CJ18" s="222" t="s">
        <v>676</v>
      </c>
      <c r="CK18" s="216" t="s">
        <v>675</v>
      </c>
      <c r="CL18" s="53"/>
      <c r="CM18" s="285"/>
      <c r="CN18" s="286"/>
      <c r="CO18" s="395"/>
      <c r="CP18" s="422"/>
      <c r="CQ18" s="422"/>
      <c r="CR18" s="423"/>
      <c r="CS18" s="420"/>
      <c r="CT18" s="405"/>
    </row>
    <row r="19" spans="6:98" x14ac:dyDescent="0.25">
      <c r="F19" s="50"/>
      <c r="G19" s="214"/>
      <c r="H19" s="216"/>
      <c r="I19" s="53"/>
      <c r="L19" s="5"/>
      <c r="M19" s="5"/>
      <c r="N19" s="5"/>
      <c r="O19" s="5"/>
      <c r="Q19" s="50"/>
      <c r="R19" s="222" t="s">
        <v>716</v>
      </c>
      <c r="S19" s="223" t="s">
        <v>1655</v>
      </c>
      <c r="T19" s="53"/>
      <c r="V19" t="s">
        <v>342</v>
      </c>
      <c r="W19" s="367">
        <f t="shared" si="0"/>
        <v>4.4999999999999998E-2</v>
      </c>
      <c r="X19" s="5" t="b">
        <v>1</v>
      </c>
      <c r="Y19" s="5">
        <f t="shared" si="3"/>
        <v>0</v>
      </c>
      <c r="Z19" s="368">
        <f>CNH_DATA!U19</f>
        <v>4.4999999999999998E-2</v>
      </c>
      <c r="AA19" s="203"/>
      <c r="AB19" s="50"/>
      <c r="AC19" s="222" t="s">
        <v>746</v>
      </c>
      <c r="AD19" s="639" t="s">
        <v>1655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639" t="s">
        <v>1655</v>
      </c>
      <c r="BL19" s="53"/>
      <c r="BN19" t="s">
        <v>1571</v>
      </c>
      <c r="BO19" s="362">
        <f t="shared" si="9"/>
        <v>1080.6500000000001</v>
      </c>
      <c r="BP19" s="5" t="b">
        <v>1</v>
      </c>
      <c r="BQ19" s="5"/>
      <c r="BR19" s="362">
        <f>CNH_DATA!AZ19</f>
        <v>1080.6500000000001</v>
      </c>
      <c r="BT19" s="50"/>
      <c r="BU19" s="56" t="s">
        <v>814</v>
      </c>
      <c r="BV19" s="57"/>
      <c r="BW19" s="262"/>
      <c r="BX19" s="303"/>
      <c r="BY19" s="339" t="s">
        <v>316</v>
      </c>
      <c r="BZ19" s="297">
        <f>CNH_DATA!AW25</f>
        <v>4911</v>
      </c>
      <c r="CA19" s="297">
        <f>CNH_DATA!AX25</f>
        <v>4991</v>
      </c>
      <c r="CC19" s="50"/>
      <c r="CD19" s="222" t="s">
        <v>746</v>
      </c>
      <c r="CE19" s="216" t="s">
        <v>675</v>
      </c>
      <c r="CF19" s="53"/>
      <c r="CG19" s="317"/>
      <c r="CH19" s="299"/>
      <c r="CI19" s="50"/>
      <c r="CJ19" s="222" t="s">
        <v>746</v>
      </c>
      <c r="CK19" s="216" t="s">
        <v>675</v>
      </c>
      <c r="CL19" s="53"/>
      <c r="CM19" s="285"/>
      <c r="CN19" s="286"/>
      <c r="CO19" s="395"/>
      <c r="CP19" s="422"/>
      <c r="CQ19" s="422"/>
      <c r="CR19" s="423"/>
      <c r="CS19" s="420"/>
      <c r="CT19" s="405"/>
    </row>
    <row r="20" spans="6:98" x14ac:dyDescent="0.25">
      <c r="F20" s="50"/>
      <c r="G20" s="218"/>
      <c r="H20" s="219"/>
      <c r="I20" s="53"/>
      <c r="L20" s="5"/>
      <c r="M20" s="5"/>
      <c r="N20" s="5"/>
      <c r="O20" s="5"/>
      <c r="Q20" s="50"/>
      <c r="R20" s="233" t="s">
        <v>717</v>
      </c>
      <c r="S20" s="230" t="b">
        <v>0</v>
      </c>
      <c r="T20" s="53"/>
      <c r="V20" t="s">
        <v>349</v>
      </c>
      <c r="W20" s="367">
        <f t="shared" si="0"/>
        <v>4.4999999999999998E-2</v>
      </c>
      <c r="X20" s="5" t="b">
        <v>1</v>
      </c>
      <c r="Y20" s="5">
        <f t="shared" si="3"/>
        <v>0</v>
      </c>
      <c r="Z20" s="368">
        <f>CNH_DATA!U20</f>
        <v>4.4999999999999998E-2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376</v>
      </c>
      <c r="BO20" s="362">
        <f t="shared" si="9"/>
        <v>1220.8</v>
      </c>
      <c r="BP20" s="5" t="b">
        <v>1</v>
      </c>
      <c r="BQ20" s="5"/>
      <c r="BR20" s="362">
        <f>CNH_DATA!AZ20</f>
        <v>1220.8</v>
      </c>
      <c r="BT20" s="50"/>
      <c r="BU20" s="147" t="s">
        <v>704</v>
      </c>
      <c r="BV20" s="221" t="str">
        <f>INDEX('STATIC DATA'!C30:AF30,1,MATCH($A$1,'STATIC DATA'!$C$4:$AF$4,0))</f>
        <v>BEB:NYB:LNB</v>
      </c>
      <c r="BW20" s="52"/>
      <c r="BX20" s="299"/>
      <c r="BZ20" s="297"/>
      <c r="CA20" s="297"/>
      <c r="CC20" s="50"/>
      <c r="CD20" s="222" t="s">
        <v>748</v>
      </c>
      <c r="CE20" s="216" t="s">
        <v>426</v>
      </c>
      <c r="CF20" s="53"/>
      <c r="CG20" s="317"/>
      <c r="CH20" s="299"/>
      <c r="CI20" s="50"/>
      <c r="CJ20" s="222" t="s">
        <v>748</v>
      </c>
      <c r="CK20" s="216" t="s">
        <v>426</v>
      </c>
      <c r="CL20" s="53"/>
      <c r="CM20" s="285"/>
      <c r="CN20" s="286"/>
      <c r="CO20" s="395"/>
      <c r="CP20" s="422"/>
      <c r="CQ20" s="422"/>
      <c r="CR20" s="423"/>
      <c r="CS20" s="420"/>
      <c r="CT20" s="405"/>
    </row>
    <row r="21" spans="6:98" x14ac:dyDescent="0.25">
      <c r="F21" s="50"/>
      <c r="G21" s="52"/>
      <c r="H21" s="52"/>
      <c r="I21" s="53"/>
      <c r="L21" s="5"/>
      <c r="M21" s="5"/>
      <c r="N21" s="5"/>
      <c r="O21" s="5"/>
      <c r="Q21" s="50"/>
      <c r="R21" s="233" t="s">
        <v>719</v>
      </c>
      <c r="S21" s="230" t="s">
        <v>720</v>
      </c>
      <c r="T21" s="53"/>
      <c r="W21" s="367"/>
      <c r="X21" s="5"/>
      <c r="Z21" s="368"/>
      <c r="AA21" s="203"/>
      <c r="AB21" s="50"/>
      <c r="AC21" s="234" t="s">
        <v>748</v>
      </c>
      <c r="AD21" s="232" t="s">
        <v>725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1576</v>
      </c>
      <c r="BO21" s="362">
        <f t="shared" si="9"/>
        <v>1361.53</v>
      </c>
      <c r="BP21" s="5" t="b">
        <v>1</v>
      </c>
      <c r="BQ21" s="5"/>
      <c r="BR21" s="362">
        <f>CNH_DATA!AZ21</f>
        <v>1361.53</v>
      </c>
      <c r="BT21" s="50"/>
      <c r="BU21" s="149" t="s">
        <v>732</v>
      </c>
      <c r="BV21" s="223" t="str">
        <f>INDEX('STATIC DATA'!N29:AL29,1,MATCH($A$1,'STATIC DATA'!N4:AL4,0))</f>
        <v>2D</v>
      </c>
      <c r="BW21" s="52"/>
      <c r="BX21" s="299"/>
      <c r="BZ21" s="297"/>
      <c r="CA21" s="297"/>
      <c r="CG21" s="317"/>
      <c r="CH21" s="299"/>
      <c r="CM21" s="285"/>
      <c r="CN21" s="286"/>
      <c r="CO21" s="395"/>
      <c r="CP21" s="422"/>
      <c r="CQ21" s="422"/>
      <c r="CR21" s="423"/>
      <c r="CS21" s="420"/>
      <c r="CT21" s="405"/>
    </row>
    <row r="22" spans="6:98" x14ac:dyDescent="0.25">
      <c r="F22" s="50"/>
      <c r="G22" s="54" t="s">
        <v>426</v>
      </c>
      <c r="H22" s="52"/>
      <c r="I22" s="53"/>
      <c r="L22" s="5"/>
      <c r="M22" s="5"/>
      <c r="N22" s="5"/>
      <c r="O22" s="5"/>
      <c r="Q22" s="50"/>
      <c r="R22" s="222" t="s">
        <v>706</v>
      </c>
      <c r="S22" s="223" t="s">
        <v>721</v>
      </c>
      <c r="T22" s="53"/>
      <c r="W22" s="367"/>
      <c r="X22" s="5"/>
      <c r="Z22" s="368"/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1577</v>
      </c>
      <c r="BO22" s="362">
        <f t="shared" si="9"/>
        <v>1497.1</v>
      </c>
      <c r="BP22" s="5" t="b">
        <v>1</v>
      </c>
      <c r="BQ22" s="5"/>
      <c r="BR22" s="362">
        <f>CNH_DATA!AZ22</f>
        <v>1497.1</v>
      </c>
      <c r="BT22" s="50"/>
      <c r="BU22" s="149" t="s">
        <v>707</v>
      </c>
      <c r="BV22" s="223" t="s">
        <v>687</v>
      </c>
      <c r="BW22" s="52"/>
      <c r="BX22" s="299"/>
      <c r="BZ22" s="297"/>
      <c r="CA22" s="297"/>
      <c r="CG22" s="317"/>
      <c r="CH22" s="299"/>
      <c r="CM22" s="285"/>
      <c r="CN22" s="286"/>
      <c r="CO22" s="395"/>
      <c r="CP22" s="422"/>
      <c r="CQ22" s="422"/>
      <c r="CR22" s="423"/>
      <c r="CS22" s="420"/>
      <c r="CT22" s="405"/>
    </row>
    <row r="23" spans="6:98" x14ac:dyDescent="0.25">
      <c r="F23" s="50"/>
      <c r="G23" s="220" t="s">
        <v>677</v>
      </c>
      <c r="H23" s="221" t="str">
        <f>INDEX('STATIC DATA'!C43:AZ43,1,MATCH($A$1,'STATIC DATA'!$C$4:$AZ$4,0))</f>
        <v>BEB</v>
      </c>
      <c r="I23" s="53"/>
      <c r="L23" s="5"/>
      <c r="M23" s="5"/>
      <c r="N23" s="5"/>
      <c r="O23" s="5"/>
      <c r="Q23" s="50"/>
      <c r="R23" s="222" t="s">
        <v>722</v>
      </c>
      <c r="S23" s="223" t="b">
        <v>0</v>
      </c>
      <c r="T23" s="53"/>
      <c r="W23" s="367"/>
      <c r="X23" s="5"/>
      <c r="Z23" s="368"/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47</v>
      </c>
      <c r="BO23" s="368">
        <f>BR23+BQ23/10000</f>
        <v>2.5699999999999997E-2</v>
      </c>
      <c r="BP23" s="5" t="b">
        <v>1</v>
      </c>
      <c r="BQ23" s="5">
        <f t="shared" ref="BQ23:BQ28" si="10">$BQ$4</f>
        <v>0</v>
      </c>
      <c r="BR23" s="368">
        <f>CNH_DATA!AZ28/100</f>
        <v>2.5699999999999997E-2</v>
      </c>
      <c r="BT23" s="50"/>
      <c r="BU23" s="149" t="s">
        <v>689</v>
      </c>
      <c r="BV23" s="223" t="b">
        <v>1</v>
      </c>
      <c r="BW23" s="52"/>
      <c r="BX23" s="299"/>
      <c r="BZ23" s="297"/>
      <c r="CA23" s="297"/>
      <c r="CG23" s="317"/>
      <c r="CH23" s="299"/>
      <c r="CM23" s="285"/>
      <c r="CN23" s="286"/>
      <c r="CO23" s="395"/>
      <c r="CP23" s="422"/>
      <c r="CQ23" s="422"/>
      <c r="CR23" s="423"/>
      <c r="CS23" s="420"/>
      <c r="CT23" s="405"/>
    </row>
    <row r="24" spans="6:98" x14ac:dyDescent="0.25">
      <c r="F24" s="50"/>
      <c r="G24" s="222" t="s">
        <v>678</v>
      </c>
      <c r="H24" s="223" t="str">
        <f>INDEX('STATIC DATA'!C55:AF55,1,MATCH($A$1,'STATIC DATA'!C4:AF4,0))</f>
        <v>ACT/360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W24" s="367"/>
      <c r="X24" s="5"/>
      <c r="Z24" s="368"/>
      <c r="AA24" s="203"/>
      <c r="AB24" s="50"/>
      <c r="AC24" s="85" t="s">
        <v>713</v>
      </c>
      <c r="AD24" s="85" t="s">
        <v>713</v>
      </c>
      <c r="AE24" s="53"/>
      <c r="AH24" s="358"/>
      <c r="AI24" s="5"/>
      <c r="AJ24" s="5"/>
      <c r="AK24" s="357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308</v>
      </c>
      <c r="BO24" s="368">
        <f t="shared" ref="BO24:BO28" si="11">BR24+BQ24/10000</f>
        <v>2.5600000000000001E-2</v>
      </c>
      <c r="BP24" s="5" t="b">
        <v>1</v>
      </c>
      <c r="BQ24" s="5">
        <f t="shared" si="10"/>
        <v>0</v>
      </c>
      <c r="BR24" s="368">
        <f>CNH_DATA!AZ29/100</f>
        <v>2.5600000000000001E-2</v>
      </c>
      <c r="BT24" s="50"/>
      <c r="BU24" s="149" t="s">
        <v>688</v>
      </c>
      <c r="BV24" s="223">
        <v>31</v>
      </c>
      <c r="BW24" s="52"/>
      <c r="BX24" s="299"/>
      <c r="BZ24" s="297"/>
      <c r="CA24" s="297"/>
      <c r="CG24" s="317"/>
      <c r="CH24" s="299"/>
      <c r="CM24" s="285"/>
      <c r="CN24" s="286"/>
      <c r="CO24" s="395"/>
      <c r="CP24" s="422"/>
      <c r="CQ24" s="422"/>
      <c r="CR24" s="423"/>
      <c r="CS24" s="420"/>
      <c r="CT24" s="405"/>
    </row>
    <row r="25" spans="6:98" x14ac:dyDescent="0.25">
      <c r="F25" s="50"/>
      <c r="G25" s="222" t="s">
        <v>679</v>
      </c>
      <c r="H25" s="223" t="str">
        <f>IF(INDEX('STATIC DATA'!C58:AZ58,1,MATCH(A1,'STATIC DATA'!C4:AZ4,0))="1Y","ANNUAL",(IF(INDEX('STATIC DATA'!C58:AZ58,1,MATCH($A$1,'STATIC DATA'!C4:AZ4,0))="6M","SEMI-ANNUAL", "QUARTERLY")))</f>
        <v>QUARTERLY</v>
      </c>
      <c r="I25" s="53"/>
      <c r="L25" s="5"/>
      <c r="M25" s="5"/>
      <c r="N25" s="5"/>
      <c r="O25" s="5"/>
      <c r="Q25" s="50"/>
      <c r="R25" s="234" t="s">
        <v>724</v>
      </c>
      <c r="S25" s="232" t="s">
        <v>426</v>
      </c>
      <c r="T25" s="53"/>
      <c r="W25" s="367"/>
      <c r="X25" s="5"/>
      <c r="Z25" s="368"/>
      <c r="AA25" s="203"/>
      <c r="AB25" s="50"/>
      <c r="AC25" s="54" t="s">
        <v>726</v>
      </c>
      <c r="AD25" s="52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255" t="s">
        <v>814</v>
      </c>
      <c r="BK25" s="256"/>
      <c r="BL25" s="53"/>
      <c r="BN25" s="339" t="s">
        <v>316</v>
      </c>
      <c r="BO25" s="368">
        <f t="shared" si="11"/>
        <v>2.5399999999999999E-2</v>
      </c>
      <c r="BP25" s="364" t="b">
        <v>1</v>
      </c>
      <c r="BQ25" s="5">
        <f t="shared" si="10"/>
        <v>0</v>
      </c>
      <c r="BR25" s="368">
        <f>CNH_DATA!AZ30/100</f>
        <v>2.5399999999999999E-2</v>
      </c>
      <c r="BT25" s="50"/>
      <c r="BU25" s="151" t="s">
        <v>819</v>
      </c>
      <c r="BV25" s="226" t="b">
        <v>0</v>
      </c>
      <c r="BW25" s="52"/>
      <c r="BX25" s="299"/>
      <c r="CG25" s="317"/>
      <c r="CH25" s="299"/>
      <c r="CM25" s="285"/>
      <c r="CN25" s="286"/>
      <c r="CO25" s="395"/>
      <c r="CP25" s="422"/>
      <c r="CQ25" s="422"/>
      <c r="CR25" s="423"/>
      <c r="CS25" s="420"/>
      <c r="CT25" s="405"/>
    </row>
    <row r="26" spans="6:98" x14ac:dyDescent="0.25">
      <c r="F26" s="50"/>
      <c r="G26" s="222" t="s">
        <v>681</v>
      </c>
      <c r="H26" s="223" t="s">
        <v>682</v>
      </c>
      <c r="I26" s="53"/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220" t="s">
        <v>677</v>
      </c>
      <c r="AD26" s="221" t="str">
        <f>INDEX('STATIC DATA'!C43:AZ43,1,MATCH($A$1,'STATIC DATA'!$C$4:$AZ$4,0))</f>
        <v>BEB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25" t="s">
        <v>677</v>
      </c>
      <c r="BK26" s="240" t="str">
        <f>INDEX('STATIC DATA'!C30:AF30,1,MATCH($A$1,'STATIC DATA'!$C$4:$AF$4,0))</f>
        <v>BEB:NYB:LNB</v>
      </c>
      <c r="BL26" s="53"/>
      <c r="BN26" t="s">
        <v>331</v>
      </c>
      <c r="BO26" s="368">
        <f t="shared" si="11"/>
        <v>2.5000000000000001E-2</v>
      </c>
      <c r="BP26" s="5" t="b">
        <v>1</v>
      </c>
      <c r="BQ26" s="5">
        <f t="shared" si="10"/>
        <v>0</v>
      </c>
      <c r="BR26" s="368">
        <f>CNH_DATA!AZ31/100</f>
        <v>2.5000000000000001E-2</v>
      </c>
      <c r="BT26" s="50"/>
      <c r="BU26" s="52"/>
      <c r="BV26" s="52"/>
      <c r="BW26" s="52"/>
      <c r="BX26" s="299"/>
      <c r="CD26" s="442" t="s">
        <v>1084</v>
      </c>
      <c r="CE26" t="s">
        <v>713</v>
      </c>
      <c r="CG26" s="317"/>
      <c r="CH26" s="299"/>
      <c r="CJ26" s="442" t="s">
        <v>1084</v>
      </c>
      <c r="CK26" t="s">
        <v>713</v>
      </c>
      <c r="CM26" s="285"/>
      <c r="CN26" s="286"/>
      <c r="CO26" s="395"/>
      <c r="CP26" s="422"/>
      <c r="CQ26" s="422"/>
      <c r="CR26" s="423"/>
      <c r="CS26" s="420"/>
      <c r="CT26" s="405"/>
    </row>
    <row r="27" spans="6:98" x14ac:dyDescent="0.25">
      <c r="F27" s="50"/>
      <c r="G27" s="222" t="s">
        <v>683</v>
      </c>
      <c r="H27" s="223" t="s">
        <v>28</v>
      </c>
      <c r="I27" s="53"/>
      <c r="Q27" s="50"/>
      <c r="R27" s="54" t="s">
        <v>726</v>
      </c>
      <c r="S27" s="52" t="s">
        <v>713</v>
      </c>
      <c r="T27" s="53"/>
      <c r="V27" s="620"/>
      <c r="W27" s="367"/>
      <c r="X27" s="5"/>
      <c r="Z27" s="368"/>
      <c r="AA27" s="203"/>
      <c r="AB27" s="50"/>
      <c r="AC27" s="222" t="s">
        <v>678</v>
      </c>
      <c r="AD27" s="223" t="str">
        <f>INDEX('STATIC DATA'!C55:AZ55,1,MATCH($A$1,'STATIC DATA'!C4:AZ4,0))</f>
        <v>ACT/360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683</v>
      </c>
      <c r="BK27" s="257" t="str">
        <f>INDEX('STATIC DATA'!N29:AL29,1,MATCH($A$1,'STATIC DATA'!N4:AL4,0))</f>
        <v>2D</v>
      </c>
      <c r="BL27" s="53"/>
      <c r="BN27" t="s">
        <v>342</v>
      </c>
      <c r="BO27" s="368">
        <f t="shared" si="11"/>
        <v>2.4900000000000002E-2</v>
      </c>
      <c r="BP27" s="5" t="b">
        <v>1</v>
      </c>
      <c r="BQ27" s="5">
        <v>0</v>
      </c>
      <c r="BR27" s="368">
        <f>CNH_DATA!AZ32/100</f>
        <v>2.4900000000000002E-2</v>
      </c>
      <c r="BT27" s="50"/>
      <c r="BU27" s="52"/>
      <c r="BV27" s="52"/>
      <c r="BW27" s="52"/>
      <c r="BX27" s="299"/>
      <c r="CD27" s="57" t="s">
        <v>1085</v>
      </c>
      <c r="CE27" s="57" t="s">
        <v>1093</v>
      </c>
      <c r="CG27" s="317"/>
      <c r="CH27" s="299"/>
      <c r="CJ27" s="57" t="s">
        <v>1085</v>
      </c>
      <c r="CK27" s="57" t="s">
        <v>1128</v>
      </c>
      <c r="CM27" s="285"/>
      <c r="CN27" s="286"/>
      <c r="CO27" s="395"/>
      <c r="CP27" s="422"/>
      <c r="CQ27" s="422"/>
      <c r="CR27" s="423"/>
      <c r="CS27" s="420"/>
      <c r="CT27" s="405"/>
    </row>
    <row r="28" spans="6:98" x14ac:dyDescent="0.25">
      <c r="F28" s="50"/>
      <c r="G28" s="222" t="s">
        <v>684</v>
      </c>
      <c r="H28" s="223" t="s">
        <v>685</v>
      </c>
      <c r="I28" s="53"/>
      <c r="Q28" s="50"/>
      <c r="R28" s="220" t="s">
        <v>677</v>
      </c>
      <c r="S28" s="221" t="str">
        <f>INDEX('STATIC DATA'!C43:AF43,1,MATCH($A$1,'STATIC DATA'!$C$4:$AF$4,0))</f>
        <v>BEB</v>
      </c>
      <c r="T28" s="53"/>
      <c r="V28" s="620"/>
      <c r="W28" s="367"/>
      <c r="X28" s="5"/>
      <c r="Z28" s="368"/>
      <c r="AA28" s="203"/>
      <c r="AB28" s="50"/>
      <c r="AC28" s="225" t="s">
        <v>686</v>
      </c>
      <c r="AD28" s="226" t="s">
        <v>728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b">
        <v>0</v>
      </c>
      <c r="BA28" s="53"/>
      <c r="BI28" s="50"/>
      <c r="BJ28" s="225" t="s">
        <v>686</v>
      </c>
      <c r="BK28" s="240" t="s">
        <v>816</v>
      </c>
      <c r="BL28" s="53"/>
      <c r="BN28" t="s">
        <v>349</v>
      </c>
      <c r="BO28" s="368">
        <f t="shared" si="11"/>
        <v>2.4799999999999999E-2</v>
      </c>
      <c r="BP28" s="5" t="b">
        <v>1</v>
      </c>
      <c r="BQ28" s="5">
        <f t="shared" si="10"/>
        <v>0</v>
      </c>
      <c r="BR28" s="368">
        <f>CNH_DATA!AZ33/100</f>
        <v>2.4799999999999999E-2</v>
      </c>
      <c r="BT28" s="50"/>
      <c r="BU28" s="52"/>
      <c r="BV28" s="52"/>
      <c r="BW28" s="52"/>
      <c r="BX28" s="299"/>
      <c r="CD28" s="57" t="s">
        <v>1086</v>
      </c>
      <c r="CE28" s="57" t="s">
        <v>1089</v>
      </c>
      <c r="CG28" s="329"/>
      <c r="CH28" s="299"/>
      <c r="CJ28" s="57" t="s">
        <v>1086</v>
      </c>
      <c r="CK28" s="57" t="s">
        <v>1129</v>
      </c>
      <c r="CM28" s="285"/>
      <c r="CN28" s="286"/>
      <c r="CO28" s="395"/>
      <c r="CP28" s="422"/>
      <c r="CQ28" s="422"/>
      <c r="CR28" s="423"/>
      <c r="CS28" s="420"/>
      <c r="CT28" s="405"/>
    </row>
    <row r="29" spans="6:98" x14ac:dyDescent="0.25">
      <c r="F29" s="50"/>
      <c r="G29" s="222" t="s">
        <v>686</v>
      </c>
      <c r="H29" s="223" t="s">
        <v>687</v>
      </c>
      <c r="I29" s="53"/>
      <c r="Q29" s="50"/>
      <c r="R29" s="222" t="s">
        <v>678</v>
      </c>
      <c r="S29" s="223" t="str">
        <f>INDEX('STATIC DATA'!C55:AF55,1,MATCH($A$1,'STATIC DATA'!C4:AF4,0))</f>
        <v>ACT/360</v>
      </c>
      <c r="T29" s="53"/>
      <c r="V29" s="620"/>
      <c r="W29" s="367"/>
      <c r="X29" s="5"/>
      <c r="Z29" s="368"/>
      <c r="AA29" s="203"/>
      <c r="AB29" s="50"/>
      <c r="AC29" s="52" t="s">
        <v>713</v>
      </c>
      <c r="AD29" s="52" t="s">
        <v>713</v>
      </c>
      <c r="AE29" s="53"/>
      <c r="AH29" s="5"/>
      <c r="AI29" s="5"/>
      <c r="AJ29" s="5"/>
      <c r="AK29" s="5"/>
      <c r="AM29" s="50"/>
      <c r="AN29" s="222" t="s">
        <v>751</v>
      </c>
      <c r="AO29" s="216" t="e">
        <f>INDEX('STATIC DATA'!C39:AB39,1,MATCH($A$1,'STATIC DATA'!$C$4:$AB$4,0))</f>
        <v>#N/A</v>
      </c>
      <c r="AP29" s="53"/>
      <c r="AX29" s="50"/>
      <c r="AY29" s="222" t="s">
        <v>751</v>
      </c>
      <c r="AZ29" s="216" t="e">
        <f>AZ38=INDEX('STATIC DATA'!C39:AB39,1,MATCH($A$1,'STATIC DATA'!$C$4:$AB$4,0))</f>
        <v>#N/A</v>
      </c>
      <c r="BA29" s="53"/>
      <c r="BI29" s="50"/>
      <c r="BJ29" s="225" t="s">
        <v>689</v>
      </c>
      <c r="BK29" s="240" t="b">
        <v>1</v>
      </c>
      <c r="BL29" s="53"/>
      <c r="BO29" s="5"/>
      <c r="BP29" s="5"/>
      <c r="BQ29" s="5"/>
      <c r="BR29" s="5"/>
      <c r="BT29" s="50"/>
      <c r="BU29" s="52"/>
      <c r="BV29" s="52"/>
      <c r="BW29" s="55"/>
      <c r="BX29" s="332"/>
      <c r="CD29" s="57" t="s">
        <v>1087</v>
      </c>
      <c r="CE29" s="57" t="s">
        <v>1253</v>
      </c>
      <c r="CG29" s="299"/>
      <c r="CH29" s="299"/>
      <c r="CJ29" s="57" t="s">
        <v>1087</v>
      </c>
      <c r="CK29" s="57" t="s">
        <v>1253</v>
      </c>
      <c r="CM29" s="285"/>
      <c r="CN29" s="286"/>
      <c r="CO29" s="395"/>
      <c r="CP29" s="422"/>
      <c r="CQ29" s="422"/>
      <c r="CR29" s="423"/>
      <c r="CS29" s="420"/>
      <c r="CT29" s="405"/>
    </row>
    <row r="30" spans="6:98" x14ac:dyDescent="0.25">
      <c r="F30" s="50"/>
      <c r="G30" s="222" t="s">
        <v>688</v>
      </c>
      <c r="H30" s="216">
        <v>31</v>
      </c>
      <c r="I30" s="53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54" t="s">
        <v>460</v>
      </c>
      <c r="AD30" s="52" t="s">
        <v>713</v>
      </c>
      <c r="AE30" s="53"/>
      <c r="AH30" s="5"/>
      <c r="AI30" s="5"/>
      <c r="AJ30" s="5"/>
      <c r="AK30" s="5"/>
      <c r="AM30" s="50"/>
      <c r="AN30" s="222" t="s">
        <v>752</v>
      </c>
      <c r="AO30" s="216" t="e">
        <f>INDEX('STATIC DATA'!C55:AB55,1,MATCH($A$1,'STATIC DATA'!C4:AB4,0))</f>
        <v>#N/A</v>
      </c>
      <c r="AP30" s="53"/>
      <c r="AX30" s="50"/>
      <c r="AY30" s="222" t="s">
        <v>752</v>
      </c>
      <c r="AZ30" s="216" t="str">
        <f>INDEX('STATIC DATA'!Y55:AY55,1,MATCH($A$1,'STATIC DATA'!Y4:AV4,0))</f>
        <v>ACT/360</v>
      </c>
      <c r="BA30" s="53"/>
      <c r="BI30" s="50"/>
      <c r="BJ30" s="225" t="s">
        <v>688</v>
      </c>
      <c r="BK30" s="257">
        <v>31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CB30" s="302"/>
      <c r="CD30" s="57" t="s">
        <v>1088</v>
      </c>
      <c r="CE30" s="443" t="s">
        <v>1253</v>
      </c>
      <c r="CG30" s="299"/>
      <c r="CH30" s="299"/>
      <c r="CJ30" s="57" t="s">
        <v>1088</v>
      </c>
      <c r="CK30" s="443" t="s">
        <v>1253</v>
      </c>
      <c r="CM30" s="285"/>
      <c r="CN30" s="286"/>
      <c r="CO30" s="395"/>
      <c r="CP30" s="422"/>
      <c r="CQ30" s="422"/>
      <c r="CR30" s="423"/>
      <c r="CS30" s="420"/>
      <c r="CT30" s="405"/>
    </row>
    <row r="31" spans="6:98" x14ac:dyDescent="0.25">
      <c r="F31" s="50"/>
      <c r="G31" s="222" t="s">
        <v>689</v>
      </c>
      <c r="H31" s="224" t="b">
        <v>1</v>
      </c>
      <c r="I31" s="53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0" t="s">
        <v>677</v>
      </c>
      <c r="AD31" s="221" t="str">
        <f>INDEX('STATIC DATA'!C43:AZ43,1,MATCH($A$1,'STATIC DATA'!$C$4:$AZ$4,0))</f>
        <v>BEB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34" t="s">
        <v>817</v>
      </c>
      <c r="BK31" s="258">
        <f>IF(INDEX('STATIC DATA'!C49:AF49,1,MATCH($A$1,'STATIC DATA'!C4:AF4,0))=4,10000,IF(INDEX('STATIC DATA'!C49:AF49,1,MATCH($A$1,'STATIC DATA'!C4:AF4,0))=3,1000,100))</f>
        <v>10000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2"/>
      <c r="BZ31" s="302"/>
      <c r="CA31" s="302"/>
      <c r="CB31" s="299"/>
      <c r="CD31" s="57" t="s">
        <v>781</v>
      </c>
      <c r="CE31" s="290" t="s">
        <v>810</v>
      </c>
      <c r="CG31" s="299"/>
      <c r="CH31" s="299"/>
      <c r="CJ31" s="57" t="s">
        <v>781</v>
      </c>
      <c r="CK31" s="290" t="s">
        <v>810</v>
      </c>
      <c r="CM31" s="285"/>
      <c r="CN31" s="286"/>
      <c r="CO31" s="395"/>
      <c r="CP31" s="422"/>
      <c r="CQ31" s="422"/>
      <c r="CR31" s="423"/>
      <c r="CS31" s="420"/>
      <c r="CT31" s="405"/>
    </row>
    <row r="32" spans="6:98" x14ac:dyDescent="0.25">
      <c r="F32" s="50"/>
      <c r="G32" s="222" t="s">
        <v>690</v>
      </c>
      <c r="H32" s="223" t="s">
        <v>691</v>
      </c>
      <c r="I32" s="53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678</v>
      </c>
      <c r="AD32" s="223" t="str">
        <f>INDEX('STATIC DATA'!C55:AZ55,1,MATCH($A$1,'STATIC DATA'!C4:AZ4,0))</f>
        <v>ACT/360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818</v>
      </c>
      <c r="BK32" s="259" t="b">
        <v>1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303"/>
      <c r="BZ32" s="299"/>
      <c r="CA32" s="299"/>
      <c r="CB32" s="299"/>
      <c r="CG32" s="299"/>
      <c r="CH32" s="299"/>
      <c r="CM32" s="285"/>
      <c r="CN32" s="286"/>
      <c r="CO32" s="395"/>
      <c r="CP32" s="422"/>
      <c r="CQ32" s="422"/>
      <c r="CR32" s="423"/>
      <c r="CS32" s="420"/>
      <c r="CT32" s="405"/>
    </row>
    <row r="33" spans="6:98" x14ac:dyDescent="0.25">
      <c r="F33" s="50"/>
      <c r="G33" s="222" t="s">
        <v>695</v>
      </c>
      <c r="H33" s="223" t="s">
        <v>696</v>
      </c>
      <c r="I33" s="53"/>
      <c r="Q33" s="50"/>
      <c r="R33" s="220" t="s">
        <v>677</v>
      </c>
      <c r="S33" s="221" t="str">
        <f>INDEX('STATIC DATA'!C39:AF39,1,MATCH($A$1,'STATIC DATA'!$C$4:$AF$4,0))</f>
        <v>BEB</v>
      </c>
      <c r="T33" s="53"/>
      <c r="W33" s="5"/>
      <c r="X33" s="5"/>
      <c r="Z33" s="5"/>
      <c r="AB33" s="50"/>
      <c r="AC33" s="222" t="s">
        <v>679</v>
      </c>
      <c r="AD33" s="223" t="s">
        <v>729</v>
      </c>
      <c r="AE33" s="53"/>
      <c r="AM33" s="50"/>
      <c r="AN33" s="222" t="s">
        <v>755</v>
      </c>
      <c r="AO33" s="216" t="e">
        <f>INDEX('STATIC DATA'!C7:AB7,1,MATCH($A$1,'STATIC DATA'!C4:AB4,0))</f>
        <v>#N/A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25" t="s">
        <v>679</v>
      </c>
      <c r="BK33" s="240" t="s">
        <v>729</v>
      </c>
      <c r="BL33" s="53"/>
      <c r="BT33" s="50"/>
      <c r="BU33" s="55"/>
      <c r="BV33" s="55"/>
      <c r="BW33" s="55"/>
      <c r="BX33" s="332"/>
      <c r="BY33" s="206"/>
      <c r="BZ33" s="206"/>
      <c r="CA33" s="299"/>
      <c r="CB33" s="299"/>
      <c r="CG33" s="299"/>
      <c r="CH33" s="299"/>
      <c r="CM33" s="285"/>
      <c r="CN33" s="286"/>
      <c r="CO33" s="395"/>
      <c r="CP33" s="422"/>
      <c r="CQ33" s="422"/>
      <c r="CR33" s="423"/>
      <c r="CS33" s="420"/>
      <c r="CT33" s="405"/>
    </row>
    <row r="34" spans="6:98" x14ac:dyDescent="0.25">
      <c r="F34" s="50"/>
      <c r="G34" s="222" t="s">
        <v>697</v>
      </c>
      <c r="H34" s="224">
        <v>1E-8</v>
      </c>
      <c r="I34" s="53"/>
      <c r="Q34" s="50"/>
      <c r="R34" s="222" t="s">
        <v>678</v>
      </c>
      <c r="S34" s="223" t="str">
        <f>INDEX('STATIC DATA'!C55:AF55,1,MATCH($A$1,'STATIC DATA'!C4:AF4,0))</f>
        <v>ACT/360</v>
      </c>
      <c r="T34" s="53"/>
      <c r="W34" s="5"/>
      <c r="X34" s="5"/>
      <c r="Z34" s="5"/>
      <c r="AB34" s="50"/>
      <c r="AC34" s="222" t="s">
        <v>683</v>
      </c>
      <c r="AD34" s="223" t="str">
        <f>INDEX('STATIC DATA'!C7:AF7,1,MATCH($A$1,'STATIC DATA'!C4:AF4,0))</f>
        <v>2D</v>
      </c>
      <c r="AE34" s="53"/>
      <c r="AM34" s="50"/>
      <c r="AN34" s="234" t="s">
        <v>756</v>
      </c>
      <c r="AO34" s="247" t="str">
        <f>$A$1&amp;"3M"</f>
        <v>CNH3M</v>
      </c>
      <c r="AP34" s="249" t="s">
        <v>801</v>
      </c>
      <c r="AX34" s="50"/>
      <c r="AY34" s="245" t="s">
        <v>756</v>
      </c>
      <c r="AZ34" s="244" t="str">
        <f>"AGAINST:"&amp;$A$1&amp;"3M"</f>
        <v>AGAINST:CNH3M</v>
      </c>
      <c r="BA34" s="53"/>
      <c r="BI34" s="50"/>
      <c r="BJ34" s="234" t="s">
        <v>819</v>
      </c>
      <c r="BK34" s="259" t="b">
        <v>0</v>
      </c>
      <c r="BL34" s="53"/>
      <c r="BT34" s="50"/>
      <c r="BU34" s="55"/>
      <c r="BV34" s="55"/>
      <c r="BW34" s="55"/>
      <c r="BX34" s="332"/>
      <c r="BY34" s="206"/>
      <c r="BZ34" s="206"/>
      <c r="CA34" s="305"/>
      <c r="CB34" s="299"/>
      <c r="CG34" s="299"/>
      <c r="CH34" s="299"/>
      <c r="CM34" s="287"/>
      <c r="CN34" s="288"/>
      <c r="CO34" s="396"/>
      <c r="CP34" s="424"/>
      <c r="CQ34" s="424"/>
      <c r="CR34" s="425"/>
      <c r="CS34" s="420"/>
      <c r="CT34" s="405"/>
    </row>
    <row r="35" spans="6:98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25" t="s">
        <v>686</v>
      </c>
      <c r="AD35" s="226" t="s">
        <v>687</v>
      </c>
      <c r="AE35" s="53"/>
      <c r="AM35" s="50"/>
      <c r="AN35" s="234" t="s">
        <v>757</v>
      </c>
      <c r="AO35" s="229" t="s">
        <v>714</v>
      </c>
      <c r="AP35" s="53"/>
      <c r="AX35" s="50"/>
      <c r="AY35" s="233" t="s">
        <v>757</v>
      </c>
      <c r="AZ35" s="244" t="str">
        <f>"AGAINST:OIS"</f>
        <v>AGAINST:OIS</v>
      </c>
      <c r="BA35" s="53"/>
      <c r="BI35" s="50"/>
      <c r="BJ35" s="85"/>
      <c r="BK35" s="85"/>
      <c r="BL35" s="53"/>
      <c r="BT35" s="50"/>
      <c r="BU35" s="55"/>
      <c r="BV35" s="55"/>
      <c r="BW35" s="55"/>
      <c r="BX35" s="332"/>
      <c r="BY35" s="206"/>
      <c r="BZ35" s="206"/>
      <c r="CA35" s="305"/>
      <c r="CB35" s="299"/>
      <c r="CG35" s="299"/>
      <c r="CH35" s="299"/>
      <c r="CM35" s="299"/>
      <c r="CN35" s="299"/>
      <c r="CO35" s="397"/>
      <c r="CP35" s="407"/>
      <c r="CQ35" s="407"/>
      <c r="CR35" s="407"/>
      <c r="CS35" s="420"/>
      <c r="CT35" s="405"/>
    </row>
    <row r="36" spans="6:98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DATA'!C7:AF7,1,MATCH($A$1,'STATIC DATA'!C4:AF4,0))</f>
        <v>2D</v>
      </c>
      <c r="T36" s="53"/>
      <c r="AB36" s="50"/>
      <c r="AC36" s="85" t="s">
        <v>713</v>
      </c>
      <c r="AD36" s="85" t="s">
        <v>713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54" t="s">
        <v>807</v>
      </c>
      <c r="BK36" s="85"/>
      <c r="BL36" s="53"/>
      <c r="BT36" s="50"/>
      <c r="BU36" s="55"/>
      <c r="BV36" s="55"/>
      <c r="BW36" s="55"/>
      <c r="BX36" s="332"/>
      <c r="BY36" s="303"/>
      <c r="BZ36" s="299"/>
      <c r="CA36" s="313"/>
      <c r="CB36" s="299"/>
      <c r="CG36" s="299"/>
      <c r="CH36" s="299"/>
      <c r="CM36" s="299"/>
      <c r="CN36" s="299"/>
      <c r="CO36" s="397"/>
      <c r="CP36" s="407"/>
      <c r="CQ36" s="407"/>
      <c r="CR36" s="407"/>
      <c r="CS36" s="420"/>
      <c r="CT36" s="405"/>
    </row>
    <row r="37" spans="6:98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54" t="s">
        <v>467</v>
      </c>
      <c r="AD37" s="85" t="s">
        <v>713</v>
      </c>
      <c r="AE37" s="53"/>
      <c r="AG37" s="2" t="s">
        <v>662</v>
      </c>
      <c r="AM37" s="50"/>
      <c r="AN37" s="222" t="s">
        <v>759</v>
      </c>
      <c r="AO37" s="216" t="e">
        <f>INDEX('STATIC DATA'!C55:AB55,1,MATCH($A$1,'STATIC DATA'!C4:AB4,0))</f>
        <v>#N/A</v>
      </c>
      <c r="AP37" s="53"/>
      <c r="AX37" s="50"/>
      <c r="AY37" s="222" t="s">
        <v>759</v>
      </c>
      <c r="AZ37" s="216" t="str">
        <f>INDEX('STATIC DATA'!Y55:AY55,1,MATCH($A$1,'STATIC DATA'!Y4:AV4,0))</f>
        <v>ACT/360</v>
      </c>
      <c r="BA37" s="53"/>
      <c r="BI37" s="50"/>
      <c r="BJ37" s="245" t="s">
        <v>749</v>
      </c>
      <c r="BK37" s="243" t="s">
        <v>803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G37" s="299"/>
      <c r="CH37" s="299"/>
      <c r="CJ37" s="2" t="s">
        <v>662</v>
      </c>
      <c r="CM37" s="299"/>
      <c r="CN37" s="299"/>
      <c r="CO37" s="397"/>
      <c r="CP37" s="407"/>
      <c r="CQ37" s="407"/>
      <c r="CR37" s="407"/>
      <c r="CS37" s="420"/>
      <c r="CT37" s="405"/>
    </row>
    <row r="38" spans="6:98" x14ac:dyDescent="0.25">
      <c r="F38" s="50"/>
      <c r="G38" s="222"/>
      <c r="H38" s="223"/>
      <c r="I38" s="53"/>
      <c r="K38" t="s">
        <v>434</v>
      </c>
      <c r="L38" t="str">
        <f>$A$1</f>
        <v>CNH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CNH</v>
      </c>
      <c r="AB38" s="50"/>
      <c r="AC38" s="245" t="s">
        <v>749</v>
      </c>
      <c r="AD38" s="243" t="s">
        <v>745</v>
      </c>
      <c r="AE38" s="53"/>
      <c r="AG38" t="s">
        <v>434</v>
      </c>
      <c r="AH38" t="str">
        <f>$A$1</f>
        <v>CNH</v>
      </c>
      <c r="AM38" s="50"/>
      <c r="AN38" s="222" t="s">
        <v>760</v>
      </c>
      <c r="AO38" s="216" t="e">
        <f>INDEX('STATIC DATA'!C39:AB39,1,MATCH($A$1,'STATIC DATA'!$C$4:$AB$4,0))</f>
        <v>#N/A</v>
      </c>
      <c r="AP38" s="53"/>
      <c r="AX38" s="50"/>
      <c r="AY38" s="222" t="s">
        <v>760</v>
      </c>
      <c r="AZ38" s="216" t="e">
        <f>INDEX('STATIC DATA'!C39:AB39,1,MATCH($A$1,'STATIC DATA'!$C$4:$AB$4,0))</f>
        <v>#N/A</v>
      </c>
      <c r="BA38" s="53"/>
      <c r="BI38" s="50"/>
      <c r="BJ38" s="233" t="s">
        <v>750</v>
      </c>
      <c r="BK38" s="230" t="b">
        <v>0</v>
      </c>
      <c r="BL38" s="53"/>
      <c r="BN38" t="s">
        <v>434</v>
      </c>
      <c r="BO38" t="str">
        <f>$A$1</f>
        <v>CNH</v>
      </c>
      <c r="BT38" s="50"/>
      <c r="BU38" s="55"/>
      <c r="BV38" s="55"/>
      <c r="BW38" s="55"/>
      <c r="BX38" s="332"/>
      <c r="BY38" s="147" t="s">
        <v>434</v>
      </c>
      <c r="BZ38" s="238" t="s">
        <v>1258</v>
      </c>
      <c r="CA38" s="305"/>
      <c r="CB38" s="299"/>
      <c r="CD38" t="s">
        <v>434</v>
      </c>
      <c r="CE38" t="str">
        <f>$A$1</f>
        <v>CNH</v>
      </c>
      <c r="CG38" s="299"/>
      <c r="CH38" s="299"/>
      <c r="CJ38" t="s">
        <v>434</v>
      </c>
      <c r="CK38" t="str">
        <f>$A$1</f>
        <v>CNH</v>
      </c>
      <c r="CM38" s="299"/>
      <c r="CN38" s="299"/>
      <c r="CO38" s="397"/>
      <c r="CP38" s="407"/>
      <c r="CQ38" s="407"/>
      <c r="CR38" s="407"/>
      <c r="CS38" s="420"/>
      <c r="CT38" s="405"/>
    </row>
    <row r="39" spans="6:98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33" t="s">
        <v>750</v>
      </c>
      <c r="AD39" s="230" t="s">
        <v>720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22" t="s">
        <v>751</v>
      </c>
      <c r="BK39" s="216" t="str">
        <f>INDEX('STATIC DATA'!C30:AF30,1,MATCH($A$1,'STATIC DATA'!$C$4:$AF$4,0))</f>
        <v>BEB:NYB:LNB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303"/>
      <c r="CD39" t="s">
        <v>435</v>
      </c>
      <c r="CE39" t="s">
        <v>1084</v>
      </c>
      <c r="CG39" s="299"/>
      <c r="CH39" s="299"/>
      <c r="CJ39" t="s">
        <v>435</v>
      </c>
      <c r="CK39" t="s">
        <v>1084</v>
      </c>
      <c r="CM39" s="299"/>
      <c r="CN39" s="299"/>
      <c r="CO39" s="397"/>
      <c r="CP39" s="407"/>
      <c r="CQ39" s="407"/>
      <c r="CR39" s="407"/>
      <c r="CS39" s="420"/>
      <c r="CT39" s="405"/>
    </row>
    <row r="40" spans="6:98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DATA'!C39:AF39,1,MATCH($A$1,'STATIC DATA'!$C$4:$AF$4,0))</f>
        <v>BEB</v>
      </c>
      <c r="T40" s="53"/>
      <c r="V40" t="s">
        <v>438</v>
      </c>
      <c r="W40" t="s">
        <v>458</v>
      </c>
      <c r="AB40" s="50"/>
      <c r="AC40" s="222" t="s">
        <v>751</v>
      </c>
      <c r="AD40" s="216" t="str">
        <f>INDEX('STATIC DATA'!C39:AZ39,1,MATCH($A$1,'STATIC DATA'!$C$4:$AZ$4,0))</f>
        <v>BEB</v>
      </c>
      <c r="AE40" s="53"/>
      <c r="AG40" t="s">
        <v>438</v>
      </c>
      <c r="AH40" t="s">
        <v>459</v>
      </c>
      <c r="AM40" s="50"/>
      <c r="AN40" s="225" t="s">
        <v>762</v>
      </c>
      <c r="AO40" s="219" t="e">
        <f>INDEX('STATIC DATA'!C39:AB39,1,MATCH($A$1,'STATIC DATA'!$C$4:$AB$4,0))</f>
        <v>#N/A</v>
      </c>
      <c r="AP40" s="53"/>
      <c r="AX40" s="50"/>
      <c r="AY40" s="225" t="s">
        <v>762</v>
      </c>
      <c r="AZ40" s="219" t="e">
        <f>INDEX('STATIC DATA'!C39:AB39,1,MATCH($A$1,'STATIC DATA'!$C$4:$AB$4,0))</f>
        <v>#N/A</v>
      </c>
      <c r="BA40" s="53"/>
      <c r="BI40" s="50"/>
      <c r="BJ40" s="222" t="s">
        <v>752</v>
      </c>
      <c r="BK40" s="216" t="str">
        <f>INDEX('STATIC DATA'!C55:AF55,1,MATCH("USD",'STATIC DATA'!C4:AF4,0))</f>
        <v>ACT/360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15">
        <f>'STATIC DATA'!AE5</f>
        <v>44083</v>
      </c>
      <c r="CA40" s="324"/>
      <c r="CB40" s="299"/>
      <c r="CD40" t="s">
        <v>438</v>
      </c>
      <c r="CE40" t="s">
        <v>439</v>
      </c>
      <c r="CG40" s="299"/>
      <c r="CH40" s="299"/>
      <c r="CJ40" t="s">
        <v>438</v>
      </c>
      <c r="CK40" t="s">
        <v>439</v>
      </c>
      <c r="CM40" s="299"/>
      <c r="CN40" s="299"/>
      <c r="CO40" s="397"/>
      <c r="CP40" s="407"/>
      <c r="CQ40" s="407"/>
      <c r="CR40" s="407"/>
      <c r="CS40" s="420"/>
      <c r="CT40" s="405"/>
    </row>
    <row r="41" spans="6:98" x14ac:dyDescent="0.25">
      <c r="F41" s="50"/>
      <c r="G41" s="293" t="s">
        <v>833</v>
      </c>
      <c r="H41" s="223"/>
      <c r="I41" s="53"/>
      <c r="K41" t="s">
        <v>440</v>
      </c>
      <c r="L41" s="200">
        <f>'STATIC DATA'!AE5</f>
        <v>44083</v>
      </c>
      <c r="Q41" s="50"/>
      <c r="R41" s="222" t="s">
        <v>731</v>
      </c>
      <c r="S41" s="223" t="str">
        <f>INDEX('STATIC DATA'!C55:AF55,1,MATCH($A$1,'STATIC DATA'!C4:AF4,0))</f>
        <v>ACT/360</v>
      </c>
      <c r="T41" s="53"/>
      <c r="V41" t="s">
        <v>440</v>
      </c>
      <c r="W41" s="200">
        <f>'STATIC DATA'!AE5</f>
        <v>44083</v>
      </c>
      <c r="AB41" s="50"/>
      <c r="AC41" s="222" t="s">
        <v>752</v>
      </c>
      <c r="AD41" s="216" t="str">
        <f>INDEX('STATIC DATA'!C55:AZ55,1,MATCH($A$1,'STATIC DATA'!C4:AZ4,0))</f>
        <v>ACT/360</v>
      </c>
      <c r="AE41" s="53"/>
      <c r="AG41" t="s">
        <v>440</v>
      </c>
      <c r="AH41" s="200">
        <f>'STATIC DATA'!AE5</f>
        <v>44083</v>
      </c>
      <c r="AM41" s="50"/>
      <c r="AN41" s="225" t="s">
        <v>763</v>
      </c>
      <c r="AO41" s="219" t="e">
        <f>INDEX('STATIC DATA'!C7:AB7,1,MATCH($A$1,'STATIC DATA'!C4:AB4,0))</f>
        <v>#N/A</v>
      </c>
      <c r="AP41" s="53"/>
      <c r="AX41" s="50"/>
      <c r="AY41" s="225" t="s">
        <v>763</v>
      </c>
      <c r="AZ41" s="216" t="e">
        <f>INDEX('STATIC DATA'!C7:AB7,1,MATCH($A$1,'STATIC DATA'!C4:AB4,0))</f>
        <v>#N/A</v>
      </c>
      <c r="BA41" s="53"/>
      <c r="BI41" s="50"/>
      <c r="BJ41" s="225" t="s">
        <v>753</v>
      </c>
      <c r="BK41" s="219" t="s">
        <v>458</v>
      </c>
      <c r="BL41" s="249"/>
      <c r="BN41" t="s">
        <v>440</v>
      </c>
      <c r="BO41" s="200">
        <f>'STATIC DATA'!AE5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DATA'!C49:AF49,1,MATCH($A$1,'STATIC DATA'!C4:AF4,0))=4,1/10000,IF(INDEX('STATIC DATA'!C49:AF49,1,MATCH($A$1,'STATIC DATA'!C4:AF4,0))=3,1/1000,1/100))</f>
        <v>1E-4</v>
      </c>
      <c r="CA41" s="305"/>
      <c r="CB41" s="299"/>
      <c r="CD41" t="s">
        <v>440</v>
      </c>
      <c r="CE41" s="275">
        <f>'STATIC DATA'!AE5</f>
        <v>44083</v>
      </c>
      <c r="CG41" s="299"/>
      <c r="CH41" s="299"/>
      <c r="CJ41" t="s">
        <v>440</v>
      </c>
      <c r="CK41" s="275">
        <f>'STATIC DATA'!AE5</f>
        <v>44083</v>
      </c>
      <c r="CM41" s="299"/>
      <c r="CN41" s="299"/>
      <c r="CO41" s="397"/>
      <c r="CP41" s="407"/>
      <c r="CQ41" s="407"/>
      <c r="CR41" s="407"/>
      <c r="CS41" s="420"/>
      <c r="CT41" s="405"/>
    </row>
    <row r="42" spans="6:98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tr">
        <f>INDEX('STATIC DATA'!C7:AF29,1,MATCH($A$1,'STATIC DATA'!C4:AF4,0))</f>
        <v>2D</v>
      </c>
      <c r="T42" s="53"/>
      <c r="AB42" s="50"/>
      <c r="AC42" s="225" t="s">
        <v>753</v>
      </c>
      <c r="AD42" s="219" t="s">
        <v>459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2" t="s">
        <v>754</v>
      </c>
      <c r="BK42" s="216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G42" s="299"/>
      <c r="CH42" s="299"/>
      <c r="CM42" s="299"/>
      <c r="CN42" s="299"/>
      <c r="CO42" s="397"/>
      <c r="CP42" s="407"/>
      <c r="CQ42" s="407"/>
      <c r="CR42" s="407"/>
      <c r="CS42" s="420"/>
      <c r="CT42" s="405"/>
    </row>
    <row r="43" spans="6:98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754</v>
      </c>
      <c r="AD43" s="216" t="s">
        <v>687</v>
      </c>
      <c r="AE43" s="53"/>
      <c r="AG43" s="2" t="s">
        <v>441</v>
      </c>
      <c r="AM43" s="50"/>
      <c r="AN43" s="222" t="s">
        <v>765</v>
      </c>
      <c r="AO43" s="216" t="e">
        <f>INDEX('STATIC DATA'!C39:AB39,1,MATCH($A$1,'STATIC DATA'!$C$4:$AB$4,0))</f>
        <v>#N/A</v>
      </c>
      <c r="AP43" s="53"/>
      <c r="AX43" s="50"/>
      <c r="AY43" s="222" t="s">
        <v>765</v>
      </c>
      <c r="AZ43" s="216" t="e">
        <f>INDEX('STATIC DATA'!C39:AB39,1,MATCH($A$1,'STATIC DATA'!$C$4:$AB$4,0))</f>
        <v>#N/A</v>
      </c>
      <c r="BA43" s="53"/>
      <c r="BI43" s="50"/>
      <c r="BJ43" s="222" t="s">
        <v>755</v>
      </c>
      <c r="BK43" s="216" t="str">
        <f>INDEX('STATIC DATA'!N29:AL29,1,MATCH($A$1,'STATIC DATA'!N4:AL4,0))</f>
        <v>2D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303"/>
      <c r="CD43" s="2" t="s">
        <v>441</v>
      </c>
      <c r="CG43" s="299"/>
      <c r="CH43" s="299"/>
      <c r="CJ43" s="2" t="s">
        <v>441</v>
      </c>
      <c r="CM43" s="299"/>
      <c r="CN43" s="299"/>
      <c r="CO43" s="397"/>
      <c r="CP43" s="407"/>
      <c r="CQ43" s="407"/>
      <c r="CR43" s="407"/>
      <c r="CS43" s="420"/>
      <c r="CT43" s="405"/>
    </row>
    <row r="44" spans="6:98" x14ac:dyDescent="0.25">
      <c r="F44" s="50"/>
      <c r="G44" s="222"/>
      <c r="H44" s="223"/>
      <c r="I44" s="53"/>
      <c r="K44" s="206" t="s">
        <v>442</v>
      </c>
      <c r="L44" s="206" t="str">
        <f>L38&amp;"_"&amp;L39&amp;"_CURVE_MARKETDATA"</f>
        <v>CNH_OIS_CURVE_MARKETDATA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DATA'!$C$56:$AF$56,1,MATCH($W38,'STATIC DATA'!$C$4:$AF$4,0))&amp;"_CURVE_MARKETDATA"</f>
        <v>CNH_SWAP_3M_CURVE_MARKETDATA</v>
      </c>
      <c r="AB44" s="50"/>
      <c r="AC44" s="222" t="s">
        <v>755</v>
      </c>
      <c r="AD44" s="216">
        <v>0</v>
      </c>
      <c r="AE44" s="53"/>
      <c r="AG44" t="s">
        <v>442</v>
      </c>
      <c r="AH44" t="str">
        <f>A1&amp;"_BASIS_3M6M_MARKETDATA"</f>
        <v>CNH_BASIS_3M6M_MARKETDATA</v>
      </c>
      <c r="AM44" s="50"/>
      <c r="AN44" s="222" t="s">
        <v>766</v>
      </c>
      <c r="AO44" s="216" t="e">
        <f>INDEX('STATIC DATA'!C55:AB55,1,MATCH($A$1,'STATIC DATA'!C4:AB4,0))</f>
        <v>#N/A</v>
      </c>
      <c r="AP44" s="53"/>
      <c r="AX44" s="50"/>
      <c r="AY44" s="222" t="s">
        <v>766</v>
      </c>
      <c r="AZ44" s="216" t="str">
        <f>INDEX('STATIC DATA'!Y55:AY55,1,MATCH($A$1,'STATIC DATA'!Y4:AV4,0))</f>
        <v>ACT/360</v>
      </c>
      <c r="BA44" s="53"/>
      <c r="BI44" s="50"/>
      <c r="BJ44" s="234" t="s">
        <v>757</v>
      </c>
      <c r="BK44" s="260" t="s">
        <v>773</v>
      </c>
      <c r="BL44" s="53"/>
      <c r="BN44" t="s">
        <v>442</v>
      </c>
      <c r="BO44" t="str">
        <f>A1&amp;"_"&amp;BO39&amp;"_CURVE_MARKETDATA"</f>
        <v>CNH_XCCYBASIS_CURVE_MARKETDATA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1251</v>
      </c>
      <c r="CA44" s="325"/>
      <c r="CB44" s="313"/>
      <c r="CD44" t="s">
        <v>442</v>
      </c>
      <c r="CE44" t="str">
        <f>$A$1&amp;"_FXFWD_MARKET_DATA"</f>
        <v>CNH_FXFWD_MARKET_DATA</v>
      </c>
      <c r="CG44" s="299"/>
      <c r="CH44" s="299"/>
      <c r="CJ44" t="s">
        <v>442</v>
      </c>
      <c r="CK44" t="str">
        <f>$A$1&amp;"_FXFWD_MARKET_DATA"</f>
        <v>CNH_FXFWD_MARKET_DATA</v>
      </c>
      <c r="CM44" s="299"/>
      <c r="CN44" s="299"/>
      <c r="CO44" s="397"/>
      <c r="CP44" s="407"/>
      <c r="CQ44" s="407"/>
      <c r="CR44" s="407"/>
      <c r="CS44" s="420"/>
      <c r="CT44" s="405"/>
    </row>
    <row r="45" spans="6:98" x14ac:dyDescent="0.25">
      <c r="F45" s="50"/>
      <c r="G45" s="222"/>
      <c r="H45" s="223"/>
      <c r="I45" s="53"/>
      <c r="K45" s="206" t="s">
        <v>444</v>
      </c>
      <c r="L45" s="206" t="str">
        <f>_xll.meLWOCurveMarketDataCreate(L44,"MarketDataProperties",K38:L41,"OIS",K7:L17)</f>
        <v>CNH_OIS_CURVE_MARKETDATA@111:7</v>
      </c>
      <c r="Q45" s="50"/>
      <c r="R45" s="225"/>
      <c r="S45" s="226"/>
      <c r="T45" s="53"/>
      <c r="V45" t="s">
        <v>444</v>
      </c>
      <c r="W45" t="str">
        <f>_xll.meLWOCurveMarketDataCreate(W44,V37,V38:W41,"LIBORFIXINGS",V7:X9,"SWAPS",V12:X20)</f>
        <v>CNH_SWAP_3M_CURVE_MARKETDATA@109:7</v>
      </c>
      <c r="AB45" s="50"/>
      <c r="AC45" s="245" t="s">
        <v>756</v>
      </c>
      <c r="AD45" s="247" t="s">
        <v>1250</v>
      </c>
      <c r="AE45" s="249" t="s">
        <v>801</v>
      </c>
      <c r="AG45" t="s">
        <v>444</v>
      </c>
      <c r="AH45" t="str">
        <f>_xll.meLWOCurveMarketDataCreate(AH44,"MARKETDATAPROPERTIES",AG38:AH42,"LIBORFIXINGS",AG7:AI10,"BASISSWAPS",AG11:AI17)</f>
        <v>CNH_BASIS_3M6M_MARKETDATA@106:7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34" t="s">
        <v>756</v>
      </c>
      <c r="BK45" s="260" t="s">
        <v>809</v>
      </c>
      <c r="BL45" s="53"/>
      <c r="BN45" t="s">
        <v>444</v>
      </c>
      <c r="BO45" t="str">
        <f>_xll.meLWOCurveMarketDataCreate(BO44,BN37,BN38:BO41,"FXSPOTS",BN7:BP7,"FXFWDS",BN8:BP20,"XCCYSWAPS",BN23:BP28)</f>
        <v>CNH_XCCYBASIS_CURVE_MARKETDATA@110:7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_xll.meLWOCurveMarketDataCreate(BZ44,"MARKETDATAPROPERTIES",BY38:BZ41,"FXSPOTS",BZ7:CA7,"FXFWDS",BY8:CA19)</f>
        <v>MKTDATA_USDCNH@115:7</v>
      </c>
      <c r="CA45" s="313"/>
      <c r="CB45" s="299"/>
      <c r="CD45" t="s">
        <v>444</v>
      </c>
      <c r="CE45" t="str">
        <f>_xll.meLWOCurveMarketDataCreate(CE44,CD37,CD38:CE41)</f>
        <v>CNH_FXFWD_MARKET_DATA@107:7</v>
      </c>
      <c r="CG45" s="299"/>
      <c r="CH45" s="299"/>
      <c r="CJ45" t="s">
        <v>444</v>
      </c>
      <c r="CK45" t="str">
        <f>_xll.meLWOCurveMarketDataCreate(CK44,CJ37,CJ38:CK41)</f>
        <v>CNH_FXFWD_MARKET_DATA@108:7</v>
      </c>
      <c r="CM45" s="299"/>
      <c r="CN45" s="299"/>
      <c r="CO45" s="397"/>
      <c r="CP45" s="407"/>
      <c r="CQ45" s="407"/>
      <c r="CR45" s="407"/>
      <c r="CS45" s="420"/>
      <c r="CT45" s="405"/>
    </row>
    <row r="46" spans="6:98" x14ac:dyDescent="0.25">
      <c r="F46" s="50"/>
      <c r="G46" s="225"/>
      <c r="H46" s="226"/>
      <c r="I46" s="53"/>
      <c r="K46" s="206"/>
      <c r="L46" s="206"/>
      <c r="Q46" s="50"/>
      <c r="R46" s="52" t="s">
        <v>713</v>
      </c>
      <c r="S46" s="52" t="s">
        <v>713</v>
      </c>
      <c r="T46" s="53"/>
      <c r="AB46" s="50"/>
      <c r="AC46" s="233" t="s">
        <v>757</v>
      </c>
      <c r="AD46" s="229" t="s">
        <v>1250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45" t="s">
        <v>758</v>
      </c>
      <c r="BK46" s="260" t="s">
        <v>49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G46" s="299"/>
      <c r="CH46" s="299"/>
      <c r="CM46" s="299"/>
      <c r="CN46" s="299"/>
      <c r="CO46" s="397"/>
      <c r="CP46" s="407"/>
      <c r="CQ46" s="407"/>
      <c r="CR46" s="407"/>
      <c r="CS46" s="420"/>
      <c r="CT46" s="405"/>
    </row>
    <row r="47" spans="6:98" x14ac:dyDescent="0.25">
      <c r="F47" s="50"/>
      <c r="G47" s="52"/>
      <c r="H47" s="52"/>
      <c r="I47" s="53"/>
      <c r="K47" s="678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45" t="s">
        <v>758</v>
      </c>
      <c r="AD47" s="244" t="s">
        <v>46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22" t="s">
        <v>759</v>
      </c>
      <c r="BK47" s="216" t="str">
        <f>INDEX('STATIC DATA'!C55:AF55,1,MATCH("USD",'STATIC DATA'!C4:AF4,0))</f>
        <v>ACT/360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G47" s="299"/>
      <c r="CH47" s="299"/>
      <c r="CJ47" s="2" t="s">
        <v>447</v>
      </c>
      <c r="CM47" s="299"/>
      <c r="CN47" s="299"/>
      <c r="CO47" s="397"/>
      <c r="CP47" s="407"/>
      <c r="CQ47" s="407"/>
      <c r="CR47" s="407"/>
      <c r="CS47" s="420"/>
      <c r="CT47" s="405"/>
    </row>
    <row r="48" spans="6:98" x14ac:dyDescent="0.25">
      <c r="F48" s="50"/>
      <c r="G48" s="54" t="s">
        <v>702</v>
      </c>
      <c r="H48" s="227" t="s">
        <v>703</v>
      </c>
      <c r="I48" s="53"/>
      <c r="K48" s="206" t="s">
        <v>442</v>
      </c>
      <c r="L48" s="206" t="str">
        <f>L38&amp;"_"&amp;L39&amp;"_CURVE"</f>
        <v>CNH_OIS_CURVE</v>
      </c>
      <c r="Q48" s="50"/>
      <c r="R48" s="220" t="s">
        <v>704</v>
      </c>
      <c r="S48" s="221" t="str">
        <f>INDEX('STATIC DATA'!C39:AF39,1,MATCH($A$1,'STATIC DATA'!$C$4:$AF$4,0))</f>
        <v>BEB</v>
      </c>
      <c r="T48" s="53"/>
      <c r="V48" t="s">
        <v>442</v>
      </c>
      <c r="W48" t="str">
        <f>W38&amp;"_"&amp;W39&amp;"_"&amp;INDEX('STATIC DATA'!$C$56:$AF$56,1,MATCH($W38,'STATIC DATA'!$C$4:$AF$4,0))&amp;"_CURVE"</f>
        <v>CNH_SWAP_3M_CURVE</v>
      </c>
      <c r="AB48" s="50"/>
      <c r="AC48" s="222" t="s">
        <v>759</v>
      </c>
      <c r="AD48" s="216" t="str">
        <f>INDEX('STATIC DATA'!C55:AZ55,1,MATCH($A$1,'STATIC DATA'!C4:AZ4,0))</f>
        <v>ACT/360</v>
      </c>
      <c r="AE48" s="53"/>
      <c r="AG48" t="s">
        <v>442</v>
      </c>
      <c r="AH48" t="str">
        <f>A1&amp;"_BASIS_6M_CURVE"</f>
        <v>CNH_BASIS_6M_CURVE</v>
      </c>
      <c r="AM48" s="50"/>
      <c r="AN48" s="225" t="s">
        <v>770</v>
      </c>
      <c r="AO48" s="219" t="e">
        <f>INDEX('STATIC DATA'!C7:AB7,1,MATCH($A$1,'STATIC DATA'!C4:AB4,0))</f>
        <v>#N/A</v>
      </c>
      <c r="AP48" s="53"/>
      <c r="AX48" s="50"/>
      <c r="AY48" s="225" t="s">
        <v>770</v>
      </c>
      <c r="AZ48" s="216" t="e">
        <f>INDEX('STATIC DATA'!C7:AB7,1,MATCH($A$1,'STATIC DATA'!C4:AB4,0))</f>
        <v>#N/A</v>
      </c>
      <c r="BA48" s="53"/>
      <c r="BI48" s="50"/>
      <c r="BJ48" s="222" t="s">
        <v>760</v>
      </c>
      <c r="BK48" s="216" t="str">
        <f>INDEX('STATIC DATA'!C30:AF30,1,MATCH($A$1,'STATIC DATA'!$C$4:$AF$4,0))</f>
        <v>BEB:NYB:LNB</v>
      </c>
      <c r="BL48" s="53"/>
      <c r="BN48" t="s">
        <v>442</v>
      </c>
      <c r="BO48" t="str">
        <f>A1&amp;"_"&amp;BO39&amp;"_CURVE"</f>
        <v>CNH_XCCYBASIS_CURVE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1254</v>
      </c>
      <c r="CG48" s="299"/>
      <c r="CH48" s="299"/>
      <c r="CJ48" t="s">
        <v>442</v>
      </c>
      <c r="CK48" t="s">
        <v>1257</v>
      </c>
      <c r="CM48" s="299"/>
      <c r="CN48" s="299"/>
      <c r="CO48" s="397"/>
      <c r="CP48" s="407"/>
      <c r="CQ48" s="407"/>
      <c r="CR48" s="407"/>
      <c r="CS48" s="420"/>
      <c r="CT48" s="405"/>
    </row>
    <row r="49" spans="6:98" x14ac:dyDescent="0.25">
      <c r="F49" s="50"/>
      <c r="G49" s="220" t="s">
        <v>704</v>
      </c>
      <c r="H49" s="221" t="str">
        <f>INDEX('STATIC DATA'!C43:AZ43,1,MATCH(A1,'STATIC DATA'!$C$4:$AZ$4,0))</f>
        <v>BEB</v>
      </c>
      <c r="I49" s="53"/>
      <c r="K49" s="206" t="s">
        <v>450</v>
      </c>
      <c r="L49" s="206" t="str">
        <f>H8</f>
        <v>CNH_OIS@105:2</v>
      </c>
      <c r="Q49" s="50"/>
      <c r="R49" s="222" t="s">
        <v>731</v>
      </c>
      <c r="S49" s="223" t="str">
        <f>INDEX('STATIC DATA'!C53:AF53,1,MATCH($A$1,'STATIC DATA'!C4:AF4,0))</f>
        <v>ACT/360</v>
      </c>
      <c r="T49" s="53"/>
      <c r="V49" t="s">
        <v>450</v>
      </c>
      <c r="W49" t="str">
        <f>S8</f>
        <v>CNH_SWAP_3M@101:0</v>
      </c>
      <c r="AB49" s="50"/>
      <c r="AC49" s="222" t="s">
        <v>760</v>
      </c>
      <c r="AD49" s="216" t="str">
        <f>INDEX('STATIC DATA'!C39:AZ39,1,MATCH($A$1,'STATIC DATA'!$C$4:$AZ$4,0))</f>
        <v>BEB</v>
      </c>
      <c r="AE49" s="53"/>
      <c r="AG49" t="s">
        <v>450</v>
      </c>
      <c r="AH49" t="str">
        <f>AD8</f>
        <v>CNH_BASIS_3M6M@104:2</v>
      </c>
      <c r="AM49" s="50"/>
      <c r="AN49" s="234" t="s">
        <v>771</v>
      </c>
      <c r="AO49" s="242" t="str">
        <f>"AGAINST:"&amp;A1&amp;"3M"</f>
        <v>AGAINST:CNH3M</v>
      </c>
      <c r="AP49" s="53"/>
      <c r="AX49" s="50"/>
      <c r="AY49" s="234" t="s">
        <v>771</v>
      </c>
      <c r="AZ49" s="248" t="str">
        <f>$A$1&amp;"3M"</f>
        <v>CNH3M</v>
      </c>
      <c r="BA49" s="249" t="s">
        <v>801</v>
      </c>
      <c r="BI49" s="50"/>
      <c r="BJ49" s="225" t="s">
        <v>761</v>
      </c>
      <c r="BK49" s="219" t="s">
        <v>458</v>
      </c>
      <c r="BL49" s="53"/>
      <c r="BN49" t="s">
        <v>450</v>
      </c>
      <c r="BO49" t="str">
        <f>BK8</f>
        <v>CNH_XCCY@100:0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CNH_EURCSA@102:0</v>
      </c>
      <c r="CG49" s="299"/>
      <c r="CH49" s="299"/>
      <c r="CJ49" t="s">
        <v>450</v>
      </c>
      <c r="CK49" t="str">
        <f>CK8</f>
        <v>CNH_JPYCSA@99:0</v>
      </c>
      <c r="CM49" s="299"/>
      <c r="CN49" s="299"/>
      <c r="CO49" s="397"/>
      <c r="CP49" s="407"/>
      <c r="CQ49" s="407"/>
      <c r="CR49" s="407"/>
      <c r="CS49" s="420"/>
      <c r="CT49" s="206"/>
    </row>
    <row r="50" spans="6:98" x14ac:dyDescent="0.25">
      <c r="F50" s="50"/>
      <c r="G50" s="222" t="s">
        <v>705</v>
      </c>
      <c r="H50" s="223" t="str">
        <f>INDEX('STATIC DATA'!C55:AZ55,1,MATCH(A1,'STATIC DATA'!C4:AZ4,0))</f>
        <v>ACT/360</v>
      </c>
      <c r="I50" s="53"/>
      <c r="K50" s="206" t="s">
        <v>452</v>
      </c>
      <c r="L50" s="206" t="str">
        <f>$A$1&amp;"YC"</f>
        <v>CNHYC</v>
      </c>
      <c r="Q50" s="50"/>
      <c r="R50" s="222" t="s">
        <v>734</v>
      </c>
      <c r="S50" s="223" t="str">
        <f>INDEX('STATIC DATA'!C55:AF55,1,MATCH($A$1,'STATIC DATA'!C4:AF4,0))</f>
        <v>ACT/360</v>
      </c>
      <c r="T50" s="53"/>
      <c r="V50" t="s">
        <v>452</v>
      </c>
      <c r="W50" t="str">
        <f>$A$1&amp;"YC"</f>
        <v>CNHYC</v>
      </c>
      <c r="AB50" s="50"/>
      <c r="AC50" s="225" t="s">
        <v>761</v>
      </c>
      <c r="AD50" s="219" t="s">
        <v>721</v>
      </c>
      <c r="AE50" s="53"/>
      <c r="AG50" t="s">
        <v>452</v>
      </c>
      <c r="AH50" t="str">
        <f>A1&amp;"YC"</f>
        <v>CNHYC</v>
      </c>
      <c r="AM50" s="50"/>
      <c r="AN50" s="234" t="s">
        <v>772</v>
      </c>
      <c r="AO50" s="242" t="s">
        <v>714</v>
      </c>
      <c r="AP50" s="53"/>
      <c r="AX50" s="50"/>
      <c r="AY50" s="234" t="s">
        <v>772</v>
      </c>
      <c r="AZ50" s="242" t="s">
        <v>426</v>
      </c>
      <c r="BA50" s="53"/>
      <c r="BI50" s="50"/>
      <c r="BJ50" s="225" t="s">
        <v>762</v>
      </c>
      <c r="BK50" s="219" t="str">
        <f>INDEX('STATIC DATA'!C30:AF30,1,MATCH($A$1,'STATIC DATA'!$C$4:$AF$4,0))</f>
        <v>BEB:NYB:LNB</v>
      </c>
      <c r="BL50" s="53"/>
      <c r="BN50" t="s">
        <v>452</v>
      </c>
      <c r="BO50" t="str">
        <f>A1&amp;"YC"</f>
        <v>CNHYC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1255</v>
      </c>
      <c r="CG50" s="299"/>
      <c r="CH50" s="299"/>
      <c r="CJ50" t="s">
        <v>452</v>
      </c>
      <c r="CK50" t="s">
        <v>1255</v>
      </c>
      <c r="CM50" s="299"/>
      <c r="CN50" s="299"/>
      <c r="CO50" s="397"/>
      <c r="CP50" s="407"/>
      <c r="CQ50" s="407"/>
      <c r="CR50" s="407"/>
      <c r="CS50" s="420"/>
      <c r="CT50" s="206"/>
    </row>
    <row r="51" spans="6:98" x14ac:dyDescent="0.25">
      <c r="F51" s="50"/>
      <c r="G51" s="222" t="s">
        <v>706</v>
      </c>
      <c r="H51" s="223" t="str">
        <f>IF(INDEX('STATIC DATA'!C56:AZ56,1,MATCH(A1,'STATIC DATA'!C4:AZ4,0))="1Y","ANNUAL",(IF(INDEX('STATIC DATA'!C56:AZ56,1,MATCH(A1,'STATIC DATA'!C4:AZ4,0))="6M","SEMI-ANNUAL", "QUARTERLY")))</f>
        <v>QUARTERLY</v>
      </c>
      <c r="I51" s="53"/>
      <c r="K51" s="206" t="s">
        <v>453</v>
      </c>
      <c r="L51" s="206"/>
      <c r="Q51" s="50"/>
      <c r="R51" s="222" t="s">
        <v>706</v>
      </c>
      <c r="S51" s="223" t="str">
        <f>IF(INDEX('STATIC DATA'!C54:AF54,1,MATCH(A1,'STATIC DATA'!C4:AF4,0))="1Y","ANNUAL",(IF(INDEX('STATIC DATA'!C54:AF54,1,MATCH(A1,'STATIC DATA'!C4:AF4,0))="6M","SEMI-ANNUAL", "QUARTERLY")))</f>
        <v>QUARTERLY</v>
      </c>
      <c r="T51" s="53"/>
      <c r="V51" t="s">
        <v>453</v>
      </c>
      <c r="AB51" s="50"/>
      <c r="AC51" s="225" t="s">
        <v>762</v>
      </c>
      <c r="AD51" s="219" t="str">
        <f>INDEX('STATIC DATA'!C39:AZ39,1,MATCH($A$1,'STATIC DATA'!$C$4:$AZ$4,0))</f>
        <v>BEB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5" t="s">
        <v>763</v>
      </c>
      <c r="BK51" s="219" t="str">
        <f>INDEX('STATIC DATA'!N29:AL29,1,MATCH($A$1,'STATIC DATA'!N4:AL4,0))</f>
        <v>2D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G51" s="299"/>
      <c r="CH51" s="299"/>
      <c r="CJ51" t="s">
        <v>453</v>
      </c>
      <c r="CK51" t="s">
        <v>1131</v>
      </c>
      <c r="CM51" s="299"/>
      <c r="CN51" s="299"/>
      <c r="CO51" s="397"/>
      <c r="CP51" s="407"/>
      <c r="CQ51" s="407"/>
      <c r="CR51" s="407"/>
      <c r="CS51" s="420"/>
      <c r="CT51" s="206"/>
    </row>
    <row r="52" spans="6:98" x14ac:dyDescent="0.25">
      <c r="F52" s="50"/>
      <c r="G52" s="225" t="s">
        <v>707</v>
      </c>
      <c r="H52" s="226" t="s">
        <v>687</v>
      </c>
      <c r="I52" s="53"/>
      <c r="Q52" s="50"/>
      <c r="R52" s="222" t="s">
        <v>735</v>
      </c>
      <c r="S52" s="223" t="str">
        <f>IF(INDEX('STATIC DATA'!C56:AF56,1,MATCH(A1,'STATIC DATA'!C4:AF4,0))="1Y","ANNUAL",(IF(INDEX('STATIC DATA'!C56:AF56,1,MATCH(A1,'STATIC DATA'!C4:AF4,0))="6M","SEMI-ANNUAL", "QUARTERLY")))</f>
        <v>QUARTERLY</v>
      </c>
      <c r="T52" s="53"/>
      <c r="AB52" s="50"/>
      <c r="AC52" s="225" t="s">
        <v>763</v>
      </c>
      <c r="AD52" s="219">
        <v>0</v>
      </c>
      <c r="AE52" s="53"/>
      <c r="AM52" s="50"/>
      <c r="AN52" s="222" t="s">
        <v>775</v>
      </c>
      <c r="AO52" s="216" t="e">
        <f>INDEX('STATIC DATA'!C55:AB55,1,MATCH($A$1,'STATIC DATA'!C4:AB4,0))</f>
        <v>#N/A</v>
      </c>
      <c r="AP52" s="53"/>
      <c r="AX52" s="50"/>
      <c r="AY52" s="222" t="s">
        <v>775</v>
      </c>
      <c r="AZ52" s="216" t="str">
        <f>INDEX('STATIC DATA'!Y55:AY55,1,MATCH($A$1,'STATIC DATA'!Y4:AV4,0))</f>
        <v>ACT/360</v>
      </c>
      <c r="BA52" s="53"/>
      <c r="BI52" s="50"/>
      <c r="BJ52" s="220" t="s">
        <v>764</v>
      </c>
      <c r="BK52" s="238" t="s">
        <v>687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G52" s="299"/>
      <c r="CH52" s="299"/>
      <c r="CM52" s="299"/>
      <c r="CN52" s="299"/>
      <c r="CO52" s="397"/>
      <c r="CP52" s="407"/>
      <c r="CQ52" s="407"/>
      <c r="CR52" s="407"/>
      <c r="CS52" s="420"/>
      <c r="CT52" s="206"/>
    </row>
    <row r="53" spans="6:98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0" t="s">
        <v>764</v>
      </c>
      <c r="AD53" s="238" t="s">
        <v>687</v>
      </c>
      <c r="AE53" s="53"/>
      <c r="AG53" s="2" t="s">
        <v>454</v>
      </c>
      <c r="AM53" s="50"/>
      <c r="AN53" s="222" t="s">
        <v>776</v>
      </c>
      <c r="AO53" s="216" t="e">
        <f>INDEX('STATIC DATA'!C39:AB39,1,MATCH($A$1,'STATIC DATA'!$C$4:$AB$4,0))</f>
        <v>#N/A</v>
      </c>
      <c r="AP53" s="53"/>
      <c r="AX53" s="50"/>
      <c r="AY53" s="222" t="s">
        <v>776</v>
      </c>
      <c r="AZ53" s="216" t="e">
        <f>INDEX('STATIC DATA'!C39:AB39,1,MATCH($A$1,'STATIC DATA'!$C$4:$AB$4,0))</f>
        <v>#N/A</v>
      </c>
      <c r="BA53" s="53"/>
      <c r="BI53" s="50"/>
      <c r="BJ53" s="222" t="s">
        <v>765</v>
      </c>
      <c r="BK53" s="216" t="str">
        <f>INDEX('STATIC DATA'!C30:AF30,1,MATCH($A$1,'STATIC DATA'!$C$4:$AF$4,0))</f>
        <v>BEB:NYB:LNB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G53" s="332"/>
      <c r="CH53" s="332"/>
      <c r="CJ53" s="2" t="s">
        <v>454</v>
      </c>
      <c r="CM53" s="332"/>
      <c r="CN53" s="332"/>
      <c r="CO53" s="398"/>
      <c r="CP53" s="408"/>
      <c r="CQ53" s="408"/>
      <c r="CR53" s="408"/>
      <c r="CS53" s="420"/>
      <c r="CT53" s="206"/>
    </row>
    <row r="54" spans="6:98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CNH_OIS_CURVE@112:7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IF(ExistsCNHOIS,_xll.meLWOCurveCalibrate(W48,W49,W45,W50),"LOAD DEPENDENCY")</f>
        <v>CNH_SWAP_3M_CURVE@113:7</v>
      </c>
      <c r="AB54" s="50"/>
      <c r="AC54" s="222" t="s">
        <v>765</v>
      </c>
      <c r="AD54" s="216" t="str">
        <f>INDEX('STATIC DATA'!C39:AZ39,1,MATCH($A$1,'STATIC DATA'!$C$4:$AZ$4,0))</f>
        <v>BEB</v>
      </c>
      <c r="AE54" s="53"/>
      <c r="AG54" t="s">
        <v>442</v>
      </c>
      <c r="AH54" s="647" t="str">
        <f t="array" ref="AH54:AH57">IF(ExistsCNH3M,_xll.meLWOCurveCalibrate($AH$48,$AH$49,$AH$45,$AH$50),"LOAD DEPENDENCY")</f>
        <v>CNH_BASIS_6M_CURVE@114:7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766</v>
      </c>
      <c r="BK54" s="216" t="str">
        <f>INDEX('STATIC DATA'!C55:AF55,1,MATCH($A$1,'STATIC DATA'!C4:AF4,0))</f>
        <v>ACT/360</v>
      </c>
      <c r="BL54" s="53"/>
      <c r="BN54" t="s">
        <v>442</v>
      </c>
      <c r="BO54" s="647" t="str">
        <f t="array" ref="BO54:BO57">IF(AND(ExistsCNH3M,ExistsUSD3M),_xll.meLWOCurveCalibrate($BO$48,$BO$49,$BO$45,$BO$50,$BO$51),"LOAD DEPENDENCY")</f>
        <v>CNH_XCCYBASIS_CURVE@117:7</v>
      </c>
      <c r="BT54" s="50"/>
      <c r="BU54" s="55"/>
      <c r="BV54" s="55"/>
      <c r="BW54" s="55"/>
      <c r="BX54" s="332"/>
      <c r="BY54" s="270" t="s">
        <v>831</v>
      </c>
      <c r="BZ54" s="271" t="s">
        <v>1670</v>
      </c>
      <c r="CA54" s="283"/>
      <c r="CB54" s="299"/>
      <c r="CD54" t="s">
        <v>442</v>
      </c>
      <c r="CE54" s="647" t="str">
        <f t="array" ref="CE54:CE57">IF(AND(ExistsCNHXCCY,ExistsEURXCCY),_xll.meLWOCurveCalibrate(CE48,CE49,CE45,CE50,CE51),"LOAD DEPENDENCY")</f>
        <v>CNH_EURCSA_CURVE@118:7</v>
      </c>
      <c r="CG54" s="332"/>
      <c r="CH54" s="332"/>
      <c r="CJ54" t="s">
        <v>442</v>
      </c>
      <c r="CK54" s="647" t="str">
        <f t="array" ref="CK54:CK57">IF(AND(ExistsCNHXCCY,ExistsJPYXCCY),_xll.meLWOCurveCalibrate(CK48,CK49,CK45,CK50,CK51),"LOAD DEPENDENCY")</f>
        <v>CNH_JPYCSA_CURVE@119:7</v>
      </c>
      <c r="CM54" s="332"/>
      <c r="CN54" s="332"/>
      <c r="CO54" s="398"/>
      <c r="CP54" s="408"/>
      <c r="CQ54" s="408"/>
      <c r="CR54" s="408"/>
      <c r="CS54" s="420"/>
      <c r="CT54" s="206"/>
    </row>
    <row r="55" spans="6:98" x14ac:dyDescent="0.25">
      <c r="F55" s="50"/>
      <c r="G55" s="220" t="s">
        <v>677</v>
      </c>
      <c r="H55" s="221" t="str">
        <f>INDEX('STATIC DATA'!C43:AZ43,1,MATCH(A1,'STATIC DATA'!$C$4:$AZ$4,0))</f>
        <v>BEB</v>
      </c>
      <c r="I55" s="53"/>
      <c r="K55" t="s">
        <v>455</v>
      </c>
      <c r="L55" t="str">
        <v>CNHYC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CNHYC</v>
      </c>
      <c r="AB55" s="50"/>
      <c r="AC55" s="222" t="s">
        <v>766</v>
      </c>
      <c r="AD55" s="216" t="str">
        <f>INDEX('STATIC DATA'!C55:AZ55,1,MATCH($A$1,'STATIC DATA'!C4:AZ4,0))</f>
        <v>ACT/360</v>
      </c>
      <c r="AE55" s="53"/>
      <c r="AG55" t="s">
        <v>455</v>
      </c>
      <c r="AH55" t="str">
        <v>CNHYC</v>
      </c>
      <c r="AM55" s="50"/>
      <c r="AN55" s="222" t="s">
        <v>778</v>
      </c>
      <c r="AO55" s="216" t="e">
        <f>INDEX('STATIC DATA'!C39:AB39,1,MATCH($A$1,'STATIC DATA'!$C$4:$AB$4,0))</f>
        <v>#N/A</v>
      </c>
      <c r="AP55" s="53"/>
      <c r="AX55" s="50"/>
      <c r="AY55" s="222" t="s">
        <v>778</v>
      </c>
      <c r="AZ55" s="216" t="e">
        <f>INDEX('STATIC DATA'!C39:AB39,1,MATCH($A$1,'STATIC DATA'!$C$4:$AB$4,0))</f>
        <v>#N/A</v>
      </c>
      <c r="BA55" s="53"/>
      <c r="BI55" s="50"/>
      <c r="BJ55" s="222" t="s">
        <v>767</v>
      </c>
      <c r="BK55" s="216" t="s">
        <v>458</v>
      </c>
      <c r="BL55" s="53"/>
      <c r="BN55" t="s">
        <v>455</v>
      </c>
      <c r="BO55" t="str">
        <v>CNHYC</v>
      </c>
      <c r="BT55" s="50"/>
      <c r="BU55" s="55"/>
      <c r="BV55" s="55"/>
      <c r="BW55" s="55"/>
      <c r="BX55" s="332"/>
      <c r="BZ55" s="263" t="str">
        <f>_xll.meLWOFXCurveCreate(BZ54,BV8,BZ45)</f>
        <v>FX_CURVE_USDCNH@116:7</v>
      </c>
      <c r="CA55" s="283"/>
      <c r="CB55" s="299"/>
      <c r="CD55" t="s">
        <v>455</v>
      </c>
      <c r="CE55" t="str">
        <v>CNHYC</v>
      </c>
      <c r="CG55" s="332"/>
      <c r="CH55" s="332"/>
      <c r="CJ55" t="s">
        <v>455</v>
      </c>
      <c r="CK55" t="str">
        <v>CNHYC</v>
      </c>
      <c r="CM55" s="332"/>
      <c r="CN55" s="332"/>
      <c r="CO55" s="398"/>
      <c r="CP55" s="408"/>
      <c r="CQ55" s="408"/>
      <c r="CR55" s="408"/>
      <c r="CS55" s="420"/>
      <c r="CT55" s="206"/>
    </row>
    <row r="56" spans="6:98" x14ac:dyDescent="0.25">
      <c r="F56" s="50"/>
      <c r="G56" s="222" t="s">
        <v>709</v>
      </c>
      <c r="H56" s="223" t="str">
        <f>INDEX('STATIC DATA'!C53:AZ53,1,MATCH(A1,'STATIC DATA'!C4:AZ4,0))</f>
        <v>ACT/360</v>
      </c>
      <c r="I56" s="53"/>
      <c r="K56" t="s">
        <v>456</v>
      </c>
      <c r="L56" t="str">
        <v>OIS:CNHOIS</v>
      </c>
      <c r="Q56" s="50"/>
      <c r="R56" s="222" t="s">
        <v>739</v>
      </c>
      <c r="S56" s="223" t="str">
        <f>INDEX('STATIC DATA'!C7:AF29,1,MATCH($A$1,'STATIC DATA'!C4:AF4,0))</f>
        <v>2D</v>
      </c>
      <c r="T56" s="53"/>
      <c r="V56" t="s">
        <v>456</v>
      </c>
      <c r="W56" s="206" t="str">
        <v>STD:CNH3M</v>
      </c>
      <c r="AB56" s="50"/>
      <c r="AC56" s="222" t="s">
        <v>767</v>
      </c>
      <c r="AD56" s="216" t="s">
        <v>458</v>
      </c>
      <c r="AE56" s="53"/>
      <c r="AG56" t="s">
        <v>456</v>
      </c>
      <c r="AH56" t="str">
        <v>3M6MBasis:CNH6M</v>
      </c>
      <c r="AM56" s="50"/>
      <c r="AN56" s="222" t="s">
        <v>779</v>
      </c>
      <c r="AO56" s="216" t="e">
        <f>INDEX('STATIC DATA'!C7:AB7,1,MATCH($A$1,'STATIC DATA'!C4:AB4,0))</f>
        <v>#N/A</v>
      </c>
      <c r="AP56" s="53"/>
      <c r="AX56" s="50"/>
      <c r="AY56" s="222" t="s">
        <v>779</v>
      </c>
      <c r="AZ56" s="216" t="e">
        <f>INDEX('STATIC DATA'!C7:AB7,1,MATCH($A$1,'STATIC DATA'!C4:AB4,0))</f>
        <v>#N/A</v>
      </c>
      <c r="BA56" s="53"/>
      <c r="BI56" s="50"/>
      <c r="BJ56" s="222" t="s">
        <v>769</v>
      </c>
      <c r="BK56" s="239" t="s">
        <v>687</v>
      </c>
      <c r="BL56" s="53"/>
      <c r="BN56" t="s">
        <v>456</v>
      </c>
      <c r="BO56" t="str">
        <v>XccyBasis:CNHDF_USDCSA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FwdFXConstEUR:CNHDF_EURCSA</v>
      </c>
      <c r="CG56" s="332"/>
      <c r="CH56" s="332"/>
      <c r="CJ56" t="s">
        <v>456</v>
      </c>
      <c r="CK56" t="str">
        <v>FwdFXConstJPY:CNHDF_JPYCSA</v>
      </c>
      <c r="CM56" s="332"/>
      <c r="CN56" s="332"/>
      <c r="CO56" s="398"/>
      <c r="CP56" s="408"/>
      <c r="CQ56" s="408"/>
      <c r="CR56" s="408"/>
      <c r="CS56" s="420"/>
      <c r="CT56" s="206"/>
    </row>
    <row r="57" spans="6:98" x14ac:dyDescent="0.25">
      <c r="F57" s="50"/>
      <c r="G57" s="222" t="s">
        <v>710</v>
      </c>
      <c r="H57" s="223" t="str">
        <f>IF(INDEX('STATIC DATA'!C54:AZ54,1,MATCH(A1,'STATIC DATA'!C4:AZ4,0))="1Y","ANNUAL",(IF(INDEX('STATIC DATA'!C54:AZ54,1,MATCH(A1,'STATIC DATA'!C4:AZ4,0))="6M","SEMI-ANNUAL", "QUARTERLY")))</f>
        <v>QUARTERLY</v>
      </c>
      <c r="I57" s="53"/>
      <c r="K57" t="s">
        <v>664</v>
      </c>
      <c r="L57" t="str">
        <v>0.007000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0.004000 sec</v>
      </c>
      <c r="AB57" s="50"/>
      <c r="AC57" s="222" t="s">
        <v>769</v>
      </c>
      <c r="AD57" s="216" t="s">
        <v>687</v>
      </c>
      <c r="AE57" s="53"/>
      <c r="AG57" t="s">
        <v>664</v>
      </c>
      <c r="AH57" t="str">
        <v>0.004000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22" t="s">
        <v>770</v>
      </c>
      <c r="BK57" s="216" t="str">
        <f>INDEX('STATIC DATA'!N29:AL29,1,MATCH($A$1,'STATIC DATA'!N4:AL4,0))</f>
        <v>2D</v>
      </c>
      <c r="BL57" s="53"/>
      <c r="BN57" t="s">
        <v>664</v>
      </c>
      <c r="BO57" t="str">
        <v>0.008000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G57" s="332"/>
      <c r="CH57" s="332"/>
      <c r="CJ57" t="s">
        <v>664</v>
      </c>
      <c r="CK57" t="str">
        <v>0.001000 sec</v>
      </c>
      <c r="CM57" s="332"/>
      <c r="CN57" s="332"/>
      <c r="CO57" s="398"/>
      <c r="CP57" s="408"/>
      <c r="CQ57" s="408"/>
      <c r="CR57" s="408"/>
      <c r="CS57" s="420"/>
      <c r="CT57" s="206"/>
    </row>
    <row r="58" spans="6:98" x14ac:dyDescent="0.25">
      <c r="F58" s="50"/>
      <c r="G58" s="225" t="s">
        <v>686</v>
      </c>
      <c r="H58" s="226" t="s">
        <v>687</v>
      </c>
      <c r="I58" s="53"/>
      <c r="Q58" s="50"/>
      <c r="R58" s="222" t="s">
        <v>740</v>
      </c>
      <c r="S58" s="223" t="s">
        <v>718</v>
      </c>
      <c r="T58" s="53"/>
      <c r="AB58" s="50"/>
      <c r="AC58" s="225" t="s">
        <v>770</v>
      </c>
      <c r="AD58" s="219">
        <v>0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34" t="s">
        <v>772</v>
      </c>
      <c r="BK58" s="242" t="s">
        <v>842</v>
      </c>
      <c r="BL58" s="249" t="s">
        <v>801</v>
      </c>
      <c r="BT58" s="50"/>
      <c r="BU58" s="55"/>
      <c r="BV58" s="55"/>
      <c r="BW58" s="55"/>
      <c r="BX58" s="332"/>
      <c r="BY58" s="279"/>
      <c r="BZ58" s="282"/>
      <c r="CA58" s="283"/>
      <c r="CB58" s="299"/>
      <c r="CG58" s="332"/>
      <c r="CH58" s="332"/>
      <c r="CM58" s="332"/>
      <c r="CN58" s="332"/>
      <c r="CO58" s="398"/>
      <c r="CP58" s="408"/>
      <c r="CQ58" s="408"/>
      <c r="CR58" s="408"/>
      <c r="CS58" s="420"/>
      <c r="CT58" s="206"/>
    </row>
    <row r="59" spans="6:98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34" t="s">
        <v>771</v>
      </c>
      <c r="AD59" s="242" t="s">
        <v>714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771</v>
      </c>
      <c r="BK59" s="242" t="s">
        <v>842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G59" s="332"/>
      <c r="CH59" s="332"/>
      <c r="CM59" s="332"/>
      <c r="CN59" s="332"/>
      <c r="CO59" s="398"/>
      <c r="CP59" s="408"/>
      <c r="CQ59" s="408"/>
      <c r="CR59" s="408"/>
      <c r="CS59" s="420"/>
      <c r="CT59" s="206"/>
    </row>
    <row r="60" spans="6:98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34" t="s">
        <v>772</v>
      </c>
      <c r="AD60" s="242" t="s">
        <v>1250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45" t="s">
        <v>774</v>
      </c>
      <c r="BK60" s="244" t="s">
        <v>49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G60" s="332"/>
      <c r="CH60" s="332"/>
      <c r="CM60" s="332"/>
      <c r="CN60" s="332"/>
      <c r="CO60" s="398"/>
      <c r="CP60" s="408"/>
      <c r="CQ60" s="408"/>
      <c r="CR60" s="408"/>
      <c r="CS60" s="420"/>
      <c r="CT60" s="206"/>
    </row>
    <row r="61" spans="6:98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45" t="s">
        <v>774</v>
      </c>
      <c r="AD61" s="244" t="s">
        <v>49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775</v>
      </c>
      <c r="BK61" s="216" t="str">
        <f>INDEX('STATIC DATA'!C55:AF55,1,MATCH($A$1,'STATIC DATA'!C4:AF4,0))</f>
        <v>ACT/360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G61" s="299"/>
      <c r="CH61" s="299"/>
      <c r="CM61" s="299"/>
      <c r="CN61" s="299"/>
      <c r="CO61" s="397"/>
      <c r="CP61" s="407"/>
      <c r="CQ61" s="407"/>
      <c r="CR61" s="407"/>
      <c r="CS61" s="420"/>
      <c r="CT61" s="206"/>
    </row>
    <row r="62" spans="6:98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22" t="s">
        <v>775</v>
      </c>
      <c r="AD62" s="216" t="str">
        <f>INDEX('STATIC DATA'!C55:AZ55,1,MATCH($A$1,'STATIC DATA'!C4:AZ4,0))</f>
        <v>ACT/360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776</v>
      </c>
      <c r="BK62" s="216" t="str">
        <f>INDEX('STATIC DATA'!C30:AF30,1,MATCH($A$1,'STATIC DATA'!$C$4:$AF$4,0))</f>
        <v>BEB:NYB:LNB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G62" s="299"/>
      <c r="CH62" s="299"/>
      <c r="CM62" s="299"/>
      <c r="CN62" s="299"/>
      <c r="CO62" s="397"/>
      <c r="CP62" s="407"/>
      <c r="CQ62" s="407"/>
      <c r="CR62" s="407"/>
      <c r="CS62" s="420"/>
      <c r="CT62" s="206"/>
    </row>
    <row r="63" spans="6:98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776</v>
      </c>
      <c r="AD63" s="216" t="str">
        <f>INDEX('STATIC DATA'!C39:AZ39,1,MATCH($A$1,'STATIC DATA'!$C$4:$AZ$4,0))</f>
        <v>BEB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777</v>
      </c>
      <c r="BK63" s="216" t="s">
        <v>721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G63" s="299"/>
      <c r="CH63" s="299"/>
      <c r="CM63" s="299"/>
      <c r="CN63" s="299"/>
      <c r="CO63" s="397"/>
      <c r="CP63" s="407"/>
      <c r="CQ63" s="407"/>
      <c r="CR63" s="407"/>
      <c r="CS63" s="420"/>
      <c r="CT63" s="206"/>
    </row>
    <row r="64" spans="6:98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2" t="s">
        <v>777</v>
      </c>
      <c r="AD64" s="216" t="s">
        <v>721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778</v>
      </c>
      <c r="BK64" s="216" t="str">
        <f>INDEX('STATIC DATA'!C30:AF30,1,MATCH($A$1,'STATIC DATA'!$C$4:$AF$4,0))</f>
        <v>BEB:NYB:LNB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G64" s="299"/>
      <c r="CH64" s="299"/>
      <c r="CM64" s="299"/>
      <c r="CN64" s="299"/>
      <c r="CO64" s="397"/>
      <c r="CP64" s="407"/>
      <c r="CQ64" s="407"/>
      <c r="CR64" s="407"/>
      <c r="CS64" s="420"/>
      <c r="CT64" s="206"/>
    </row>
    <row r="65" spans="6:98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2" t="s">
        <v>778</v>
      </c>
      <c r="AD65" s="216" t="str">
        <f>INDEX('STATIC DATA'!C39:AZ39,1,MATCH($A$1,'STATIC DATA'!$C$4:$AZ$4,0))</f>
        <v>BEB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779</v>
      </c>
      <c r="BK65" s="216" t="str">
        <f>INDEX('STATIC DATA'!N29:AL29,1,MATCH($A$1,'STATIC DATA'!N4:AL4,0))</f>
        <v>2D</v>
      </c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G65" s="299"/>
      <c r="CH65" s="299"/>
      <c r="CM65" s="299"/>
      <c r="CN65" s="299"/>
      <c r="CO65" s="397"/>
      <c r="CP65" s="407"/>
      <c r="CQ65" s="407"/>
      <c r="CR65" s="407"/>
      <c r="CS65" s="420"/>
      <c r="CT65" s="206"/>
    </row>
    <row r="66" spans="6:98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2" t="s">
        <v>779</v>
      </c>
      <c r="AD66" s="216">
        <v>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780</v>
      </c>
      <c r="BK66" s="216" t="s">
        <v>687</v>
      </c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G66" s="299"/>
      <c r="CH66" s="299"/>
      <c r="CM66" s="299"/>
      <c r="CN66" s="299"/>
      <c r="CO66" s="397"/>
      <c r="CP66" s="407"/>
      <c r="CQ66" s="407"/>
      <c r="CR66" s="407"/>
      <c r="CS66" s="420"/>
      <c r="CT66" s="206"/>
    </row>
    <row r="67" spans="6:98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2" t="s">
        <v>780</v>
      </c>
      <c r="AD67" s="216" t="s">
        <v>687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33" t="s">
        <v>781</v>
      </c>
      <c r="BK67" s="241" t="s">
        <v>810</v>
      </c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G67" s="299"/>
      <c r="CH67" s="299"/>
      <c r="CM67" s="299"/>
      <c r="CN67" s="299"/>
      <c r="CO67" s="397"/>
      <c r="CP67" s="407"/>
      <c r="CQ67" s="407"/>
      <c r="CR67" s="407"/>
      <c r="CS67" s="420"/>
      <c r="CT67" s="206"/>
    </row>
    <row r="68" spans="6:98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33" t="s">
        <v>781</v>
      </c>
      <c r="AD68" s="241" t="s">
        <v>782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2" t="s">
        <v>811</v>
      </c>
      <c r="BK68" s="216" t="b">
        <v>0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G68" s="299"/>
      <c r="CH68" s="299"/>
      <c r="CM68" s="299"/>
      <c r="CN68" s="299"/>
      <c r="CO68" s="397"/>
      <c r="CP68" s="407"/>
      <c r="CQ68" s="407"/>
      <c r="CR68" s="407"/>
      <c r="CS68" s="420"/>
      <c r="CT68" s="206"/>
    </row>
    <row r="69" spans="6:98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222" t="s">
        <v>783</v>
      </c>
      <c r="AD69" s="216" t="s">
        <v>718</v>
      </c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2" t="s">
        <v>812</v>
      </c>
      <c r="BK69" s="216" t="b">
        <v>1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G69" s="299"/>
      <c r="CH69" s="299"/>
      <c r="CM69" s="299"/>
      <c r="CN69" s="299"/>
      <c r="CO69" s="397"/>
      <c r="CP69" s="407"/>
      <c r="CQ69" s="407"/>
      <c r="CR69" s="407"/>
      <c r="CS69" s="420"/>
      <c r="CT69" s="206"/>
    </row>
    <row r="70" spans="6:98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222" t="s">
        <v>784</v>
      </c>
      <c r="AD70" s="639" t="s">
        <v>1655</v>
      </c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688</v>
      </c>
      <c r="BK70" s="216">
        <v>31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G70" s="299"/>
      <c r="CH70" s="299"/>
      <c r="CM70" s="299"/>
      <c r="CN70" s="299"/>
      <c r="CO70" s="397"/>
      <c r="CP70" s="407"/>
      <c r="CQ70" s="407"/>
      <c r="CR70" s="407"/>
      <c r="CS70" s="420"/>
      <c r="CT70" s="206"/>
    </row>
    <row r="71" spans="6:98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222" t="s">
        <v>785</v>
      </c>
      <c r="AD71" s="216" t="s">
        <v>718</v>
      </c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689</v>
      </c>
      <c r="BK71" s="216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G71" s="299"/>
      <c r="CH71" s="299"/>
      <c r="CM71" s="299"/>
      <c r="CN71" s="299"/>
      <c r="CO71" s="397"/>
      <c r="CP71" s="407"/>
      <c r="CQ71" s="407"/>
      <c r="CR71" s="407"/>
      <c r="CS71" s="420"/>
      <c r="CT71" s="206"/>
    </row>
    <row r="72" spans="6:98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233" t="s">
        <v>786</v>
      </c>
      <c r="AD72" s="246" t="s">
        <v>46</v>
      </c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740</v>
      </c>
      <c r="BK72" s="216" t="b">
        <v>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G72" s="299"/>
      <c r="CH72" s="299"/>
      <c r="CM72" s="299"/>
      <c r="CN72" s="299"/>
      <c r="CO72" s="397"/>
      <c r="CP72" s="407"/>
      <c r="CQ72" s="407"/>
      <c r="CR72" s="407"/>
      <c r="CS72" s="420"/>
      <c r="CT72" s="206"/>
    </row>
    <row r="73" spans="6:98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222" t="s">
        <v>787</v>
      </c>
      <c r="AD73" s="216" t="s">
        <v>720</v>
      </c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22" t="s">
        <v>813</v>
      </c>
      <c r="BK73" s="216" t="b">
        <v>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G73" s="299"/>
      <c r="CH73" s="299"/>
      <c r="CM73" s="299"/>
      <c r="CN73" s="299"/>
      <c r="CO73" s="397"/>
      <c r="CP73" s="407"/>
      <c r="CQ73" s="407"/>
      <c r="CR73" s="407"/>
      <c r="CS73" s="420"/>
      <c r="CT73" s="206"/>
    </row>
    <row r="74" spans="6:98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225" t="s">
        <v>697</v>
      </c>
      <c r="AD74" s="240">
        <v>1.0000000000000003E-9</v>
      </c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3"/>
      <c r="BK74" s="246"/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G74" s="299"/>
      <c r="CH74" s="299"/>
      <c r="CM74" s="299"/>
      <c r="CN74" s="299"/>
      <c r="CO74" s="397"/>
      <c r="CP74" s="407"/>
      <c r="CQ74" s="407"/>
      <c r="CR74" s="407"/>
      <c r="CS74" s="420"/>
      <c r="CT74" s="206"/>
    </row>
    <row r="75" spans="6:98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225" t="s">
        <v>698</v>
      </c>
      <c r="AD75" s="219">
        <v>1000</v>
      </c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52"/>
      <c r="BK75" s="253"/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G75" s="299"/>
      <c r="CH75" s="299"/>
      <c r="CM75" s="299"/>
      <c r="CN75" s="299"/>
      <c r="CO75" s="397"/>
      <c r="CP75" s="407"/>
      <c r="CQ75" s="407"/>
      <c r="CR75" s="407"/>
      <c r="CS75" s="420"/>
      <c r="CT75" s="206"/>
    </row>
    <row r="76" spans="6:98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225" t="s">
        <v>788</v>
      </c>
      <c r="AD76" s="219" t="s">
        <v>720</v>
      </c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50"/>
      <c r="BK76" s="254"/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G76" s="299"/>
      <c r="CH76" s="299"/>
      <c r="CM76" s="299"/>
      <c r="CN76" s="299"/>
      <c r="CO76" s="397"/>
      <c r="CP76" s="407"/>
      <c r="CQ76" s="407"/>
      <c r="CR76" s="407"/>
      <c r="CS76" s="420"/>
      <c r="CT76" s="206"/>
    </row>
    <row r="77" spans="6:98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225" t="s">
        <v>789</v>
      </c>
      <c r="AD77" s="219" t="s">
        <v>718</v>
      </c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G77" s="299"/>
      <c r="CH77" s="299"/>
      <c r="CM77" s="299"/>
      <c r="CN77" s="299"/>
      <c r="CO77" s="397"/>
      <c r="CP77" s="407"/>
      <c r="CQ77" s="407"/>
      <c r="CR77" s="407"/>
      <c r="CS77" s="420"/>
      <c r="CT77" s="206"/>
    </row>
    <row r="78" spans="6:98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225" t="s">
        <v>688</v>
      </c>
      <c r="AD78" s="219">
        <v>31</v>
      </c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G78" s="299"/>
      <c r="CH78" s="299"/>
      <c r="CM78" s="299"/>
      <c r="CN78" s="299"/>
      <c r="CO78" s="397"/>
      <c r="CP78" s="407"/>
      <c r="CQ78" s="407"/>
      <c r="CR78" s="407"/>
      <c r="CS78" s="420"/>
      <c r="CT78" s="206"/>
    </row>
    <row r="79" spans="6:98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G79" s="299"/>
      <c r="CH79" s="299"/>
      <c r="CM79" s="299"/>
      <c r="CN79" s="299"/>
      <c r="CO79" s="397"/>
      <c r="CP79" s="407"/>
      <c r="CQ79" s="407"/>
      <c r="CR79" s="407"/>
      <c r="CS79" s="420"/>
      <c r="CT79" s="206"/>
    </row>
    <row r="80" spans="6:98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G80" s="299"/>
      <c r="CH80" s="299"/>
      <c r="CM80" s="299"/>
      <c r="CN80" s="299"/>
      <c r="CO80" s="397"/>
      <c r="CP80" s="407"/>
      <c r="CQ80" s="407"/>
      <c r="CR80" s="407"/>
      <c r="CS80" s="420"/>
      <c r="CT80" s="206"/>
    </row>
    <row r="81" spans="6:98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G81" s="299"/>
      <c r="CH81" s="299"/>
      <c r="CM81" s="299"/>
      <c r="CN81" s="299"/>
      <c r="CO81" s="397"/>
      <c r="CP81" s="407"/>
      <c r="CQ81" s="407"/>
      <c r="CR81" s="407"/>
      <c r="CS81" s="420"/>
      <c r="CT81" s="206"/>
    </row>
    <row r="82" spans="6:98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G82" s="299"/>
      <c r="CH82" s="299"/>
      <c r="CM82" s="299"/>
      <c r="CN82" s="299"/>
      <c r="CO82" s="397"/>
      <c r="CP82" s="407"/>
      <c r="CQ82" s="407"/>
      <c r="CR82" s="407"/>
      <c r="CS82" s="420"/>
      <c r="CT82" s="206"/>
    </row>
    <row r="83" spans="6:98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332"/>
      <c r="CG83" s="299"/>
      <c r="CH83" s="299"/>
      <c r="CM83" s="299"/>
      <c r="CN83" s="299"/>
      <c r="CO83" s="397"/>
      <c r="CP83" s="407"/>
      <c r="CQ83" s="407"/>
      <c r="CR83" s="407"/>
      <c r="CS83" s="420"/>
      <c r="CT83" s="206"/>
    </row>
    <row r="84" spans="6:98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G84" s="299"/>
      <c r="CH84" s="299"/>
      <c r="CM84" s="299"/>
      <c r="CN84" s="299"/>
      <c r="CO84" s="397"/>
      <c r="CP84" s="407"/>
      <c r="CQ84" s="407"/>
      <c r="CR84" s="407"/>
      <c r="CS84" s="420"/>
      <c r="CT84" s="206"/>
    </row>
    <row r="85" spans="6:98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G85" s="299"/>
      <c r="CH85" s="299"/>
      <c r="CM85" s="299"/>
      <c r="CN85" s="299"/>
      <c r="CO85" s="397"/>
      <c r="CP85" s="407"/>
      <c r="CQ85" s="407"/>
      <c r="CR85" s="407"/>
      <c r="CS85" s="420"/>
      <c r="CT85" s="206"/>
    </row>
    <row r="86" spans="6:98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G86" s="299"/>
      <c r="CH86" s="299"/>
      <c r="CM86" s="299"/>
      <c r="CN86" s="299"/>
      <c r="CO86" s="397"/>
      <c r="CP86" s="407"/>
      <c r="CQ86" s="407"/>
      <c r="CR86" s="407"/>
      <c r="CS86" s="420"/>
      <c r="CT86" s="206"/>
    </row>
    <row r="87" spans="6:98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G87" s="299"/>
      <c r="CH87" s="299"/>
      <c r="CM87" s="299"/>
      <c r="CN87" s="299"/>
      <c r="CO87" s="397"/>
      <c r="CP87" s="407"/>
      <c r="CQ87" s="407"/>
      <c r="CR87" s="407"/>
      <c r="CS87" s="420"/>
      <c r="CT87" s="206"/>
    </row>
    <row r="88" spans="6:98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G88" s="299"/>
      <c r="CH88" s="299"/>
      <c r="CM88" s="299"/>
      <c r="CN88" s="299"/>
      <c r="CO88" s="397"/>
      <c r="CP88" s="407"/>
      <c r="CQ88" s="407"/>
      <c r="CR88" s="407"/>
      <c r="CS88" s="420"/>
      <c r="CT88" s="206"/>
    </row>
    <row r="89" spans="6:98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G89" s="299"/>
      <c r="CH89" s="299"/>
      <c r="CM89" s="299"/>
      <c r="CN89" s="299"/>
      <c r="CO89" s="397"/>
      <c r="CP89" s="407"/>
      <c r="CQ89" s="407"/>
      <c r="CR89" s="407"/>
      <c r="CS89" s="420"/>
      <c r="CT89" s="206"/>
    </row>
    <row r="90" spans="6:98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G90" s="299"/>
      <c r="CH90" s="299"/>
      <c r="CM90" s="299"/>
      <c r="CN90" s="299"/>
      <c r="CO90" s="397"/>
      <c r="CP90" s="407"/>
      <c r="CQ90" s="407"/>
      <c r="CR90" s="407"/>
      <c r="CS90" s="420"/>
      <c r="CT90" s="206"/>
    </row>
    <row r="91" spans="6:98" x14ac:dyDescent="0.25">
      <c r="F91" s="50"/>
      <c r="G91" s="52"/>
      <c r="H91" s="52"/>
      <c r="I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299"/>
      <c r="CG91" s="299"/>
      <c r="CH91" s="299"/>
      <c r="CM91" s="299"/>
      <c r="CN91" s="299"/>
      <c r="CO91" s="397"/>
      <c r="CP91" s="407"/>
      <c r="CQ91" s="407"/>
      <c r="CR91" s="407"/>
      <c r="CS91" s="420"/>
      <c r="CT91" s="206"/>
    </row>
    <row r="92" spans="6:98" x14ac:dyDescent="0.25">
      <c r="F92" s="50"/>
      <c r="G92" s="52"/>
      <c r="H92" s="52"/>
      <c r="I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G92" s="299"/>
      <c r="CH92" s="299"/>
      <c r="CM92" s="299"/>
      <c r="CN92" s="299"/>
      <c r="CO92" s="397"/>
      <c r="CP92" s="407"/>
      <c r="CQ92" s="407"/>
      <c r="CR92" s="407"/>
      <c r="CS92" s="420"/>
      <c r="CT92" s="206"/>
    </row>
    <row r="93" spans="6:98" x14ac:dyDescent="0.25">
      <c r="F93" s="50"/>
      <c r="G93" s="52"/>
      <c r="H93" s="52"/>
      <c r="I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G93" s="299"/>
      <c r="CH93" s="299"/>
      <c r="CM93" s="299"/>
      <c r="CN93" s="299"/>
      <c r="CO93" s="397"/>
      <c r="CP93" s="407"/>
      <c r="CQ93" s="407"/>
      <c r="CR93" s="407"/>
      <c r="CS93" s="420"/>
      <c r="CT93" s="206"/>
    </row>
    <row r="94" spans="6:98" x14ac:dyDescent="0.25">
      <c r="F94" s="50"/>
      <c r="G94" s="52"/>
      <c r="H94" s="52"/>
      <c r="I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G94" s="298"/>
      <c r="CH94" s="298"/>
      <c r="CM94" s="298"/>
      <c r="CN94" s="298"/>
      <c r="CO94" s="399"/>
      <c r="CP94" s="409"/>
      <c r="CQ94" s="409"/>
      <c r="CR94" s="409"/>
      <c r="CS94" s="426"/>
      <c r="CT94" s="206"/>
    </row>
    <row r="95" spans="6:98" x14ac:dyDescent="0.25">
      <c r="F95" s="50"/>
      <c r="G95" s="52"/>
      <c r="H95" s="52"/>
      <c r="I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G95" s="206"/>
      <c r="CH95" s="206"/>
      <c r="CM95" s="206"/>
      <c r="CN95" s="206"/>
      <c r="CO95" s="400"/>
      <c r="CP95" s="410"/>
      <c r="CQ95" s="410"/>
      <c r="CR95" s="410"/>
      <c r="CS95" s="410"/>
      <c r="CT95" s="206"/>
    </row>
    <row r="96" spans="6:98" x14ac:dyDescent="0.25">
      <c r="F96" s="50"/>
      <c r="G96" s="52"/>
      <c r="H96" s="52"/>
      <c r="I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G96" s="206"/>
      <c r="CH96" s="206"/>
      <c r="CM96" s="206"/>
      <c r="CN96" s="206"/>
      <c r="CO96" s="400"/>
      <c r="CP96" s="410"/>
      <c r="CQ96" s="410"/>
      <c r="CR96" s="410"/>
      <c r="CS96" s="410"/>
      <c r="CT96" s="206"/>
    </row>
    <row r="97" spans="6:105" x14ac:dyDescent="0.25">
      <c r="F97" s="50"/>
      <c r="G97" s="52"/>
      <c r="H97" s="52"/>
      <c r="I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O97" s="360"/>
    </row>
    <row r="98" spans="6:105" x14ac:dyDescent="0.25">
      <c r="F98" s="75"/>
      <c r="G98" s="76"/>
      <c r="H98" s="76"/>
      <c r="I98" s="77"/>
      <c r="AB98" s="50"/>
      <c r="AC98" s="85"/>
      <c r="AD98" s="85"/>
      <c r="AE98" s="53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O98" s="360"/>
    </row>
    <row r="99" spans="6:105" x14ac:dyDescent="0.25">
      <c r="AB99" s="50"/>
      <c r="AC99" s="85"/>
      <c r="AD99" s="85"/>
      <c r="AE99" s="53"/>
      <c r="BT99" s="206"/>
      <c r="BU99" s="298"/>
      <c r="BV99" s="298"/>
      <c r="BW99" s="298"/>
      <c r="BX99" s="299"/>
      <c r="BY99" s="299"/>
      <c r="BZ99" s="299"/>
      <c r="CA99" s="299"/>
      <c r="CB99" s="299"/>
      <c r="CO99" s="360"/>
      <c r="CU99" s="206"/>
      <c r="CV99" s="206"/>
      <c r="CW99" s="206"/>
      <c r="CX99" s="206"/>
      <c r="CY99" s="206"/>
      <c r="CZ99" s="206"/>
      <c r="DA99" s="206"/>
    </row>
    <row r="100" spans="6:105" x14ac:dyDescent="0.25">
      <c r="AB100" s="50"/>
      <c r="AC100" s="85"/>
      <c r="AD100" s="85"/>
      <c r="AE100" s="53"/>
      <c r="BT100" s="206"/>
      <c r="BU100" s="206"/>
      <c r="BV100" s="206"/>
      <c r="BW100" s="206"/>
      <c r="BY100" s="299"/>
      <c r="BZ100" s="299"/>
      <c r="CA100" s="299"/>
      <c r="CB100" s="299"/>
      <c r="CO100" s="360"/>
      <c r="CU100" s="206"/>
      <c r="CV100" s="206"/>
      <c r="CW100" s="206"/>
      <c r="CX100" s="206"/>
      <c r="CY100" s="206"/>
      <c r="CZ100" s="206"/>
      <c r="DA100" s="206"/>
    </row>
    <row r="101" spans="6:105" x14ac:dyDescent="0.25">
      <c r="AB101" s="50"/>
      <c r="AC101" s="85"/>
      <c r="AD101" s="85"/>
      <c r="AE101" s="53"/>
      <c r="BT101" s="206"/>
      <c r="BU101" s="206"/>
      <c r="BV101" s="206"/>
      <c r="BW101" s="206"/>
      <c r="BY101" s="299"/>
      <c r="BZ101" s="299"/>
      <c r="CA101" s="299"/>
      <c r="CB101" s="299"/>
      <c r="CO101" s="360"/>
      <c r="CU101" s="206"/>
      <c r="CV101" s="206"/>
      <c r="CW101" s="206"/>
      <c r="CX101" s="206"/>
      <c r="CY101" s="206"/>
      <c r="CZ101" s="206"/>
      <c r="DA101" s="206"/>
    </row>
    <row r="102" spans="6:105" x14ac:dyDescent="0.25">
      <c r="AB102" s="50"/>
      <c r="AC102" s="85"/>
      <c r="AD102" s="85"/>
      <c r="AE102" s="53"/>
      <c r="BT102" s="206"/>
      <c r="BU102" s="206"/>
      <c r="BV102" s="206"/>
      <c r="BW102" s="206"/>
      <c r="BY102" s="299"/>
      <c r="BZ102" s="299"/>
      <c r="CA102" s="299"/>
      <c r="CB102" s="299"/>
      <c r="CO102" s="360"/>
      <c r="CU102" s="206"/>
      <c r="CV102" s="206"/>
      <c r="CW102" s="206"/>
      <c r="CX102" s="206"/>
      <c r="CY102" s="206"/>
      <c r="CZ102" s="206"/>
      <c r="DA102" s="206"/>
    </row>
    <row r="103" spans="6:105" x14ac:dyDescent="0.25">
      <c r="AB103" s="50"/>
      <c r="AC103" s="85"/>
      <c r="AD103" s="85"/>
      <c r="AE103" s="53"/>
      <c r="BT103" s="206"/>
      <c r="BU103" s="206"/>
      <c r="BV103" s="206"/>
      <c r="BW103" s="206"/>
      <c r="BY103" s="299"/>
      <c r="BZ103" s="299"/>
      <c r="CA103" s="299"/>
      <c r="CB103" s="299"/>
      <c r="CO103" s="360"/>
      <c r="CU103" s="206"/>
      <c r="CV103" s="206"/>
      <c r="CW103" s="206"/>
      <c r="CX103" s="206"/>
      <c r="CY103" s="206"/>
      <c r="CZ103" s="206"/>
      <c r="DA103" s="206"/>
    </row>
    <row r="104" spans="6:105" x14ac:dyDescent="0.25">
      <c r="AB104" s="50"/>
      <c r="AC104" s="85"/>
      <c r="AD104" s="85"/>
      <c r="AE104" s="53"/>
      <c r="BT104" s="206"/>
      <c r="BU104" s="206"/>
      <c r="BV104" s="206"/>
      <c r="BW104" s="206"/>
      <c r="BY104" s="299"/>
      <c r="BZ104" s="299"/>
      <c r="CA104" s="299"/>
      <c r="CB104" s="299"/>
      <c r="CO104" s="360"/>
      <c r="CU104" s="206"/>
      <c r="CV104" s="206"/>
      <c r="CW104" s="206"/>
      <c r="CX104" s="206"/>
      <c r="CY104" s="206"/>
      <c r="CZ104" s="206"/>
      <c r="DA104" s="206"/>
    </row>
    <row r="105" spans="6:105" x14ac:dyDescent="0.25">
      <c r="AB105" s="50"/>
      <c r="AC105" s="85"/>
      <c r="AD105" s="85"/>
      <c r="AE105" s="53"/>
      <c r="BT105" s="206"/>
      <c r="BU105" s="206"/>
      <c r="BV105" s="206"/>
      <c r="BW105" s="206"/>
      <c r="BY105" s="299"/>
      <c r="BZ105" s="299"/>
      <c r="CA105" s="299"/>
      <c r="CB105" s="299"/>
      <c r="CO105" s="360"/>
      <c r="CU105" s="206"/>
      <c r="CV105" s="206"/>
      <c r="CW105" s="206"/>
      <c r="CX105" s="206"/>
      <c r="CY105" s="206"/>
      <c r="CZ105" s="206"/>
      <c r="DA105" s="206"/>
    </row>
    <row r="106" spans="6:105" x14ac:dyDescent="0.25">
      <c r="AB106" s="50"/>
      <c r="AC106" s="85"/>
      <c r="AD106" s="85"/>
      <c r="AE106" s="53"/>
      <c r="BT106" s="206"/>
      <c r="BU106" s="206"/>
      <c r="BV106" s="206"/>
      <c r="BW106" s="206"/>
      <c r="BY106" s="299"/>
      <c r="BZ106" s="299"/>
      <c r="CA106" s="299"/>
      <c r="CB106" s="299"/>
      <c r="CO106" s="360"/>
      <c r="CU106" s="206"/>
      <c r="CV106" s="206"/>
      <c r="CW106" s="206"/>
      <c r="CX106" s="206"/>
      <c r="CY106" s="206"/>
      <c r="CZ106" s="206"/>
      <c r="DA106" s="206"/>
    </row>
    <row r="107" spans="6:105" x14ac:dyDescent="0.25">
      <c r="AB107" s="50"/>
      <c r="AC107" s="85"/>
      <c r="AD107" s="85"/>
      <c r="AE107" s="53"/>
      <c r="BT107" s="206"/>
      <c r="BU107" s="206"/>
      <c r="BV107" s="206"/>
      <c r="BW107" s="206"/>
      <c r="BY107" s="299"/>
      <c r="BZ107" s="299"/>
      <c r="CA107" s="299"/>
      <c r="CB107" s="299"/>
      <c r="CO107" s="360"/>
      <c r="CU107" s="206"/>
      <c r="CV107" s="206"/>
      <c r="CW107" s="206"/>
      <c r="CX107" s="206"/>
      <c r="CY107" s="206"/>
      <c r="CZ107" s="206"/>
      <c r="DA107" s="206"/>
    </row>
    <row r="108" spans="6:105" x14ac:dyDescent="0.25">
      <c r="AB108" s="75"/>
      <c r="AC108" s="76"/>
      <c r="AD108" s="76"/>
      <c r="AE108" s="77"/>
      <c r="BT108" s="206"/>
      <c r="BU108" s="206"/>
      <c r="BV108" s="206"/>
      <c r="BW108" s="206"/>
      <c r="BY108" s="299"/>
      <c r="BZ108" s="299"/>
      <c r="CA108" s="299"/>
      <c r="CB108" s="299"/>
      <c r="CO108" s="360"/>
      <c r="CU108" s="206"/>
      <c r="CV108" s="206"/>
      <c r="CW108" s="206"/>
      <c r="CX108" s="206"/>
      <c r="CY108" s="206"/>
      <c r="CZ108" s="206"/>
      <c r="DA108" s="206"/>
    </row>
    <row r="109" spans="6:105" x14ac:dyDescent="0.25">
      <c r="BT109" s="206"/>
      <c r="BU109" s="206"/>
      <c r="BV109" s="206"/>
      <c r="BW109" s="206"/>
      <c r="BY109" s="299"/>
      <c r="BZ109" s="299"/>
      <c r="CA109" s="299"/>
      <c r="CB109" s="299"/>
      <c r="CO109" s="360"/>
      <c r="CU109" s="206"/>
      <c r="CV109" s="206"/>
      <c r="CW109" s="206"/>
      <c r="CX109" s="206"/>
      <c r="CY109" s="206"/>
      <c r="CZ109" s="206"/>
      <c r="DA109" s="206"/>
    </row>
    <row r="110" spans="6:105" x14ac:dyDescent="0.25">
      <c r="BT110" s="206"/>
      <c r="BU110" s="206"/>
      <c r="BV110" s="206"/>
      <c r="BW110" s="206"/>
      <c r="BY110" s="299"/>
      <c r="BZ110" s="299"/>
      <c r="CA110" s="299"/>
      <c r="CB110" s="299"/>
      <c r="CO110" s="360"/>
      <c r="CU110" s="206"/>
      <c r="CV110" s="206"/>
      <c r="CW110" s="206"/>
      <c r="CX110" s="206"/>
      <c r="CY110" s="206"/>
      <c r="CZ110" s="206"/>
      <c r="DA110" s="206"/>
    </row>
    <row r="111" spans="6:105" x14ac:dyDescent="0.25">
      <c r="BT111" s="206"/>
      <c r="BU111" s="206"/>
      <c r="BV111" s="206"/>
      <c r="BW111" s="206"/>
      <c r="BY111" s="299"/>
      <c r="BZ111" s="299"/>
      <c r="CA111" s="299"/>
      <c r="CB111" s="299"/>
      <c r="CO111" s="360"/>
      <c r="CU111" s="206"/>
      <c r="CV111" s="206"/>
      <c r="CW111" s="206"/>
      <c r="CX111" s="206"/>
      <c r="CY111" s="206"/>
      <c r="CZ111" s="206"/>
      <c r="DA111" s="206"/>
    </row>
    <row r="112" spans="6:105" x14ac:dyDescent="0.25">
      <c r="BT112" s="206"/>
      <c r="BU112" s="206"/>
      <c r="BV112" s="206"/>
      <c r="BW112" s="206"/>
      <c r="BY112" s="299"/>
      <c r="BZ112" s="299"/>
      <c r="CA112" s="299"/>
      <c r="CB112" s="299"/>
      <c r="CO112" s="360"/>
      <c r="CU112" s="206"/>
      <c r="CV112" s="206"/>
      <c r="CW112" s="206"/>
      <c r="CX112" s="206"/>
      <c r="CY112" s="206"/>
      <c r="CZ112" s="206"/>
      <c r="DA112" s="206"/>
    </row>
    <row r="113" spans="72:105" x14ac:dyDescent="0.25">
      <c r="BT113" s="206"/>
      <c r="BU113" s="206"/>
      <c r="BV113" s="206"/>
      <c r="BW113" s="206"/>
      <c r="BY113" s="299"/>
      <c r="BZ113" s="299"/>
      <c r="CA113" s="299"/>
      <c r="CB113" s="299"/>
      <c r="CO113" s="360"/>
      <c r="CU113" s="206"/>
      <c r="CV113" s="206"/>
      <c r="CW113" s="206"/>
      <c r="CX113" s="206"/>
      <c r="CY113" s="206"/>
      <c r="CZ113" s="206"/>
      <c r="DA113" s="206"/>
    </row>
    <row r="114" spans="72:105" x14ac:dyDescent="0.25">
      <c r="BT114" s="206"/>
      <c r="BU114" s="206"/>
      <c r="BV114" s="206"/>
      <c r="BW114" s="206"/>
      <c r="BY114" s="299"/>
      <c r="BZ114" s="299"/>
      <c r="CA114" s="299"/>
      <c r="CB114" s="299"/>
      <c r="CO114" s="360"/>
      <c r="CU114" s="206"/>
      <c r="CV114" s="206"/>
      <c r="CW114" s="206"/>
      <c r="CX114" s="206"/>
      <c r="CY114" s="206"/>
      <c r="CZ114" s="206"/>
      <c r="DA114" s="206"/>
    </row>
    <row r="115" spans="72:105" x14ac:dyDescent="0.25">
      <c r="BT115" s="206"/>
      <c r="BU115" s="206"/>
      <c r="BV115" s="206"/>
      <c r="BW115" s="206"/>
      <c r="BY115" s="299"/>
      <c r="BZ115" s="299"/>
      <c r="CA115" s="299"/>
      <c r="CB115" s="299"/>
      <c r="CO115" s="360"/>
      <c r="CU115" s="206"/>
      <c r="CV115" s="206"/>
      <c r="CW115" s="206"/>
      <c r="CX115" s="206"/>
      <c r="CY115" s="206"/>
      <c r="CZ115" s="206"/>
      <c r="DA115" s="206"/>
    </row>
    <row r="116" spans="72:105" x14ac:dyDescent="0.25">
      <c r="BT116" s="206"/>
      <c r="BU116" s="206"/>
      <c r="BV116" s="206"/>
      <c r="BW116" s="206"/>
      <c r="BY116" s="299"/>
      <c r="BZ116" s="299"/>
      <c r="CA116" s="299"/>
      <c r="CB116" s="299"/>
      <c r="CO116" s="360"/>
      <c r="CU116" s="206"/>
      <c r="CV116" s="206"/>
      <c r="CW116" s="206"/>
      <c r="CX116" s="206"/>
      <c r="CY116" s="206"/>
      <c r="CZ116" s="206"/>
      <c r="DA116" s="206"/>
    </row>
    <row r="117" spans="72:105" x14ac:dyDescent="0.25">
      <c r="BT117" s="206"/>
      <c r="BU117" s="206"/>
      <c r="BV117" s="206"/>
      <c r="BW117" s="206"/>
      <c r="BY117" s="299"/>
      <c r="BZ117" s="299"/>
      <c r="CA117" s="299"/>
      <c r="CB117" s="299"/>
      <c r="CO117" s="360"/>
      <c r="CU117" s="206"/>
      <c r="CV117" s="206"/>
      <c r="CW117" s="206"/>
      <c r="CX117" s="206"/>
      <c r="CY117" s="206"/>
      <c r="CZ117" s="206"/>
      <c r="DA117" s="206"/>
    </row>
    <row r="118" spans="72:105" x14ac:dyDescent="0.25">
      <c r="BT118" s="206"/>
      <c r="BU118" s="206"/>
      <c r="BV118" s="206"/>
      <c r="BW118" s="206"/>
      <c r="BY118" s="299"/>
      <c r="BZ118" s="299"/>
      <c r="CA118" s="299"/>
      <c r="CB118" s="299"/>
      <c r="CO118" s="360"/>
      <c r="CU118" s="206"/>
      <c r="CV118" s="206"/>
      <c r="CW118" s="206"/>
      <c r="CX118" s="206"/>
      <c r="CY118" s="206"/>
      <c r="CZ118" s="206"/>
      <c r="DA118" s="206"/>
    </row>
    <row r="119" spans="72:105" x14ac:dyDescent="0.25">
      <c r="BT119" s="206"/>
      <c r="BU119" s="206"/>
      <c r="BV119" s="206"/>
      <c r="BW119" s="206"/>
      <c r="BY119" s="299"/>
      <c r="BZ119" s="299"/>
      <c r="CA119" s="299"/>
      <c r="CB119" s="299"/>
      <c r="CO119" s="360"/>
      <c r="CU119" s="206"/>
      <c r="CV119" s="206"/>
      <c r="CW119" s="206"/>
      <c r="CX119" s="206"/>
      <c r="CY119" s="206"/>
      <c r="CZ119" s="206"/>
      <c r="DA119" s="206"/>
    </row>
    <row r="120" spans="72:105" x14ac:dyDescent="0.25">
      <c r="BT120" s="206"/>
      <c r="BU120" s="206"/>
      <c r="BV120" s="206"/>
      <c r="BW120" s="206"/>
      <c r="BY120" s="299"/>
      <c r="BZ120" s="299"/>
      <c r="CA120" s="299"/>
      <c r="CB120" s="299"/>
      <c r="CO120" s="360"/>
      <c r="CU120" s="206"/>
      <c r="CV120" s="206"/>
      <c r="CW120" s="206"/>
      <c r="CX120" s="206"/>
      <c r="CY120" s="206"/>
      <c r="CZ120" s="206"/>
      <c r="DA120" s="206"/>
    </row>
    <row r="121" spans="72:105" x14ac:dyDescent="0.25">
      <c r="BT121" s="206"/>
      <c r="BU121" s="206"/>
      <c r="BV121" s="206"/>
      <c r="BW121" s="206"/>
      <c r="BY121" s="299"/>
      <c r="BZ121" s="299"/>
      <c r="CA121" s="299"/>
      <c r="CB121" s="299"/>
      <c r="CO121" s="360"/>
      <c r="CU121" s="206"/>
      <c r="CV121" s="206"/>
      <c r="CW121" s="206"/>
      <c r="CX121" s="206"/>
      <c r="CY121" s="206"/>
      <c r="CZ121" s="206"/>
      <c r="DA121" s="206"/>
    </row>
    <row r="122" spans="72:105" x14ac:dyDescent="0.25">
      <c r="BT122" s="206"/>
      <c r="BU122" s="206"/>
      <c r="BV122" s="206"/>
      <c r="BW122" s="206"/>
      <c r="BY122" s="299"/>
      <c r="BZ122" s="299"/>
      <c r="CA122" s="299"/>
      <c r="CB122" s="299"/>
      <c r="CO122" s="360"/>
      <c r="CU122" s="206"/>
      <c r="CV122" s="206"/>
      <c r="CW122" s="206"/>
      <c r="CX122" s="206"/>
      <c r="CY122" s="206"/>
      <c r="CZ122" s="206"/>
      <c r="DA122" s="206"/>
    </row>
    <row r="123" spans="72:105" x14ac:dyDescent="0.25">
      <c r="BT123" s="206"/>
      <c r="BU123" s="206"/>
      <c r="BV123" s="206"/>
      <c r="BW123" s="206"/>
      <c r="BY123" s="299"/>
      <c r="BZ123" s="299"/>
      <c r="CA123" s="299"/>
      <c r="CB123" s="299"/>
      <c r="CO123" s="360"/>
      <c r="CU123" s="206"/>
      <c r="CV123" s="206"/>
      <c r="CW123" s="206"/>
      <c r="CX123" s="206"/>
      <c r="CY123" s="206"/>
      <c r="CZ123" s="206"/>
      <c r="DA123" s="206"/>
    </row>
    <row r="124" spans="72:105" x14ac:dyDescent="0.25">
      <c r="BT124" s="206"/>
      <c r="BU124" s="206"/>
      <c r="BV124" s="206"/>
      <c r="BW124" s="206"/>
      <c r="BY124" s="299"/>
      <c r="BZ124" s="299"/>
      <c r="CA124" s="299"/>
      <c r="CB124" s="298"/>
      <c r="CO124" s="360"/>
      <c r="CU124" s="206"/>
      <c r="CV124" s="206"/>
      <c r="CW124" s="206"/>
      <c r="CX124" s="206"/>
      <c r="CY124" s="206"/>
      <c r="CZ124" s="206"/>
      <c r="DA124" s="206"/>
    </row>
    <row r="125" spans="72:105" x14ac:dyDescent="0.25">
      <c r="BT125" s="206"/>
      <c r="BU125" s="206"/>
      <c r="BV125" s="206"/>
      <c r="BW125" s="206"/>
      <c r="BY125" s="298"/>
      <c r="BZ125" s="298"/>
      <c r="CA125" s="298"/>
      <c r="CB125" s="206"/>
      <c r="CO125" s="360"/>
      <c r="CU125" s="206"/>
      <c r="CV125" s="206"/>
      <c r="CW125" s="206"/>
      <c r="CX125" s="206"/>
      <c r="CY125" s="206"/>
      <c r="CZ125" s="206"/>
      <c r="DA125" s="206"/>
    </row>
    <row r="126" spans="72:105" x14ac:dyDescent="0.25">
      <c r="BT126" s="206"/>
      <c r="BU126" s="206"/>
      <c r="BV126" s="206"/>
      <c r="BW126" s="206"/>
      <c r="BY126" s="206"/>
      <c r="BZ126" s="206"/>
      <c r="CA126" s="206"/>
      <c r="CB126" s="206"/>
      <c r="CO126" s="360"/>
      <c r="CU126" s="206"/>
      <c r="CV126" s="206"/>
      <c r="CW126" s="206"/>
      <c r="CX126" s="206"/>
      <c r="CY126" s="206"/>
      <c r="CZ126" s="206"/>
      <c r="DA126" s="206"/>
    </row>
    <row r="127" spans="72:105" x14ac:dyDescent="0.25">
      <c r="BT127" s="206"/>
      <c r="BU127" s="206"/>
      <c r="BV127" s="206"/>
      <c r="BW127" s="206"/>
      <c r="BY127" s="206"/>
      <c r="BZ127" s="206"/>
      <c r="CA127" s="206"/>
      <c r="CO127" s="360"/>
      <c r="CU127" s="206"/>
      <c r="CV127" s="206"/>
      <c r="CW127" s="206"/>
      <c r="CX127" s="206"/>
      <c r="CY127" s="206"/>
      <c r="CZ127" s="206"/>
      <c r="DA127" s="206"/>
    </row>
    <row r="128" spans="72:105" x14ac:dyDescent="0.25">
      <c r="CO128" s="360"/>
    </row>
  </sheetData>
  <dataValidations disablePrompts="1" count="2"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CX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10.7109375" customWidth="1" outlineLevel="2"/>
    <col min="7" max="7" width="30.7109375" customWidth="1" outlineLevel="2"/>
    <col min="8" max="8" width="60.7109375" bestFit="1" customWidth="1" outlineLevel="2"/>
    <col min="9" max="9" width="10.7109375" customWidth="1" outlineLevel="2"/>
    <col min="10" max="10" width="9.140625" customWidth="1"/>
    <col min="11" max="11" width="20.140625" customWidth="1"/>
    <col min="12" max="15" width="10.7109375" customWidth="1"/>
    <col min="16" max="16" width="9.140625" customWidth="1"/>
    <col min="17" max="17" width="10.7109375" customWidth="1" outlineLevel="1"/>
    <col min="18" max="18" width="30.7109375" customWidth="1" outlineLevel="1"/>
    <col min="19" max="19" width="40.7109375" style="209" customWidth="1" outlineLevel="1"/>
    <col min="20" max="20" width="10.7109375" customWidth="1" outlineLevel="1"/>
    <col min="21" max="21" width="9.140625" customWidth="1"/>
    <col min="22" max="22" width="15.140625" customWidth="1"/>
    <col min="23" max="24" width="10.7109375" customWidth="1"/>
    <col min="25" max="25" width="10.7109375" style="5" customWidth="1"/>
    <col min="26" max="26" width="10.7109375" customWidth="1"/>
    <col min="28" max="28" width="10.7109375" customWidth="1" outlineLevel="1"/>
    <col min="29" max="29" width="30.7109375" customWidth="1" outlineLevel="1"/>
    <col min="30" max="30" width="40.7109375" style="209" customWidth="1" outlineLevel="1"/>
    <col min="31" max="31" width="10.7109375" customWidth="1" outlineLevel="1"/>
    <col min="33" max="33" width="15.5703125" customWidth="1"/>
    <col min="34" max="34" width="22.140625" customWidth="1"/>
    <col min="35" max="37" width="10.7109375" customWidth="1"/>
    <col min="39" max="39" width="9.140625" hidden="1" customWidth="1" outlineLevel="1"/>
    <col min="40" max="40" width="30.7109375" hidden="1" customWidth="1" outlineLevel="1"/>
    <col min="41" max="41" width="40.7109375" hidden="1" customWidth="1" outlineLevel="1"/>
    <col min="42" max="42" width="9.140625" hidden="1" customWidth="1" outlineLevel="1"/>
    <col min="43" max="43" width="11" hidden="1" customWidth="1" outlineLevel="1"/>
    <col min="44" max="44" width="14.28515625" hidden="1" customWidth="1" outlineLevel="1"/>
    <col min="45" max="48" width="10.7109375" hidden="1" customWidth="1" outlineLevel="1"/>
    <col min="49" max="49" width="9.140625" collapsed="1"/>
    <col min="50" max="50" width="10.7109375" customWidth="1" outlineLevel="1"/>
    <col min="51" max="51" width="30.7109375" customWidth="1" outlineLevel="1"/>
    <col min="52" max="52" width="40.7109375" customWidth="1" outlineLevel="1"/>
    <col min="53" max="53" width="10.7109375" customWidth="1" outlineLevel="1"/>
    <col min="55" max="55" width="14.42578125" customWidth="1"/>
    <col min="56" max="56" width="10.7109375" style="203" customWidth="1"/>
    <col min="57" max="59" width="10.7109375" customWidth="1"/>
    <col min="61" max="61" width="10.7109375" customWidth="1" outlineLevel="1"/>
    <col min="62" max="62" width="30.7109375" customWidth="1" outlineLevel="1"/>
    <col min="63" max="63" width="68.7109375" customWidth="1" outlineLevel="1"/>
    <col min="64" max="64" width="10.7109375" customWidth="1" outlineLevel="1"/>
    <col min="66" max="66" width="15.42578125" customWidth="1"/>
    <col min="67" max="70" width="10.7109375" customWidth="1"/>
    <col min="72" max="72" width="10.7109375" customWidth="1" outlineLevel="1"/>
    <col min="73" max="73" width="28.5703125" customWidth="1" outlineLevel="1"/>
    <col min="74" max="74" width="20.7109375" customWidth="1" outlineLevel="1"/>
    <col min="75" max="75" width="10.7109375" customWidth="1" outlineLevel="1"/>
    <col min="76" max="76" width="9.140625" style="206" customWidth="1"/>
    <col min="77" max="77" width="20.7109375" customWidth="1"/>
    <col min="78" max="78" width="25.28515625" bestFit="1" customWidth="1"/>
    <col min="79" max="79" width="10.7109375" customWidth="1"/>
    <col min="80" max="80" width="9.140625" customWidth="1"/>
    <col min="81" max="81" width="10.7109375" customWidth="1"/>
    <col min="82" max="82" width="29.7109375" bestFit="1" customWidth="1"/>
    <col min="83" max="83" width="34.28515625" bestFit="1" customWidth="1"/>
    <col min="84" max="87" width="10.7109375" customWidth="1"/>
    <col min="88" max="88" width="29.7109375" bestFit="1" customWidth="1"/>
    <col min="89" max="89" width="34.28515625" bestFit="1" customWidth="1"/>
    <col min="90" max="90" width="10.7109375" customWidth="1"/>
    <col min="92" max="92" width="9.140625" style="299"/>
    <col min="93" max="93" width="10.85546875" style="299" bestFit="1" customWidth="1"/>
    <col min="94" max="94" width="9.140625" style="299"/>
    <col min="95" max="95" width="9.7109375" style="299" bestFit="1" customWidth="1"/>
    <col min="96" max="96" width="13.85546875" style="299" bestFit="1" customWidth="1"/>
    <col min="97" max="97" width="14.5703125" style="299" bestFit="1" customWidth="1"/>
    <col min="98" max="98" width="9.140625" style="299"/>
    <col min="99" max="100" width="12" bestFit="1" customWidth="1"/>
    <col min="101" max="101" width="9.140625" style="203"/>
  </cols>
  <sheetData>
    <row r="1" spans="1:102" x14ac:dyDescent="0.25">
      <c r="A1" t="s">
        <v>155</v>
      </c>
      <c r="L1" s="5"/>
      <c r="M1" s="5"/>
      <c r="N1" s="5"/>
      <c r="O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D1" s="368"/>
      <c r="BE1" s="5"/>
      <c r="BF1" s="5"/>
      <c r="BG1" s="5"/>
      <c r="BH1" s="5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O1" s="390"/>
    </row>
    <row r="2" spans="1:102" x14ac:dyDescent="0.25">
      <c r="F2" s="237" t="s">
        <v>712</v>
      </c>
      <c r="K2" s="2" t="str">
        <f>A1&amp;"_OIS"</f>
        <v>CZK_OIS</v>
      </c>
      <c r="L2" s="5"/>
      <c r="M2" s="5"/>
      <c r="N2" s="5"/>
      <c r="O2" s="5"/>
      <c r="Q2" s="237"/>
      <c r="V2" s="2" t="str">
        <f>A1&amp;"_SWAP_6M"</f>
        <v>CZK_SWAP_6M</v>
      </c>
      <c r="AB2" s="237"/>
      <c r="AG2" s="2" t="str">
        <f>A1&amp;"_SWAP_3M"</f>
        <v>CZK_SWAP_3M</v>
      </c>
      <c r="AH2" s="5"/>
      <c r="AI2" s="5"/>
      <c r="AJ2" s="5"/>
      <c r="AK2" s="5"/>
      <c r="AR2" t="str">
        <f>A1&amp;"_BASIS_12M"</f>
        <v>CZK_BASIS_12M</v>
      </c>
      <c r="BC2" s="2" t="str">
        <f>A1&amp;"_SWAP_1M"</f>
        <v>CZK_SWAP_1M</v>
      </c>
      <c r="BD2" s="368"/>
      <c r="BE2" s="5"/>
      <c r="BF2" s="5"/>
      <c r="BG2" s="5"/>
      <c r="BH2" s="5"/>
      <c r="BN2" s="2" t="str">
        <f>A1&amp;"_XCCYBASIS"</f>
        <v>CZK_XCCYBASIS</v>
      </c>
      <c r="BO2" s="5"/>
      <c r="BP2" s="5"/>
      <c r="BQ2" s="5"/>
      <c r="BR2" s="5"/>
      <c r="CD2" t="s">
        <v>1337</v>
      </c>
      <c r="CO2" s="511"/>
    </row>
    <row r="3" spans="1:102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D3" s="368"/>
      <c r="BE3" s="5"/>
      <c r="BF3" s="5"/>
      <c r="BG3" s="5"/>
      <c r="BH3" s="5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9"/>
      <c r="CO3" s="543"/>
    </row>
    <row r="4" spans="1:102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Y4" s="5">
        <v>0</v>
      </c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D4" s="368"/>
      <c r="BE4" s="5"/>
      <c r="BF4" s="5">
        <v>0</v>
      </c>
      <c r="BG4" s="5"/>
      <c r="BH4" s="5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3"/>
      <c r="CO4" s="543"/>
    </row>
    <row r="5" spans="1:102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20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D5" s="368"/>
      <c r="BE5" s="5"/>
      <c r="BF5" s="5"/>
      <c r="BG5" s="5"/>
      <c r="BH5" s="5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1452</v>
      </c>
      <c r="CE5" s="228"/>
      <c r="CF5" s="53"/>
      <c r="CI5" s="50"/>
      <c r="CJ5" s="54" t="s">
        <v>1453</v>
      </c>
      <c r="CK5" s="228"/>
      <c r="CL5" s="53"/>
      <c r="CO5" s="543"/>
    </row>
    <row r="6" spans="1:102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s="368" t="s">
        <v>430</v>
      </c>
      <c r="BE6" s="5" t="s">
        <v>433</v>
      </c>
      <c r="BF6" s="5" t="s">
        <v>665</v>
      </c>
      <c r="BG6" s="5" t="s">
        <v>666</v>
      </c>
      <c r="BH6" s="5"/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3"/>
    </row>
    <row r="7" spans="1:102" x14ac:dyDescent="0.25">
      <c r="F7" s="50"/>
      <c r="G7" s="59" t="s">
        <v>711</v>
      </c>
      <c r="H7" s="211" t="str">
        <f>$A$1&amp;"_OIS"</f>
        <v>CZK_OIS</v>
      </c>
      <c r="I7" s="53"/>
      <c r="K7" t="s">
        <v>298</v>
      </c>
      <c r="L7" s="357">
        <f>O7+N7/10000</f>
        <v>1.1000000000000001E-3</v>
      </c>
      <c r="M7" s="5" t="b">
        <v>1</v>
      </c>
      <c r="N7" s="5">
        <f>$N$4</f>
        <v>0</v>
      </c>
      <c r="O7" s="358">
        <f>CZK_DATA!M7</f>
        <v>1.1000000000000001E-3</v>
      </c>
      <c r="Q7" s="50"/>
      <c r="R7" s="59" t="s">
        <v>711</v>
      </c>
      <c r="S7" s="211" t="str">
        <f>$A$1&amp;"_SWAP_"&amp;"6M"</f>
        <v>CZK_SWAP_6M</v>
      </c>
      <c r="T7" s="53"/>
      <c r="V7" t="s">
        <v>298</v>
      </c>
      <c r="W7" s="204">
        <f t="shared" ref="W7:W41" si="0">Z7+Y7/10000</f>
        <v>2.5000000000000001E-3</v>
      </c>
      <c r="X7" t="b">
        <v>1</v>
      </c>
      <c r="Y7" s="5">
        <v>0</v>
      </c>
      <c r="Z7" s="203">
        <f>CZK_DATA!U7</f>
        <v>2.5000000000000001E-3</v>
      </c>
      <c r="AA7" s="203"/>
      <c r="AB7" s="50"/>
      <c r="AC7" s="59" t="s">
        <v>711</v>
      </c>
      <c r="AD7" s="211" t="str">
        <f>$A$1&amp;"_BASIS_3M6M"</f>
        <v>CZK_BASIS_3M6M</v>
      </c>
      <c r="AE7" s="53"/>
      <c r="AG7" t="str">
        <f>CZK_DATA!X7</f>
        <v>ON</v>
      </c>
      <c r="AH7" s="358">
        <f t="shared" ref="AH7:AH9" si="1">AK7+AJ7/10000</f>
        <v>3.2000000000000002E-3</v>
      </c>
      <c r="AI7" s="5" t="b">
        <v>1</v>
      </c>
      <c r="AJ7" s="5">
        <v>7</v>
      </c>
      <c r="AK7" s="357">
        <f>CZK_DATA!Z7</f>
        <v>2.5000000000000001E-3</v>
      </c>
      <c r="AL7" s="207"/>
      <c r="AM7" s="50"/>
      <c r="AN7" s="59" t="s">
        <v>711</v>
      </c>
      <c r="AO7" s="211" t="str">
        <f>A1&amp;"_BASIS_3X12"</f>
        <v>CZK_BASIS_3X12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CZK_BASIS_1M3M</v>
      </c>
      <c r="BA7" s="53"/>
      <c r="BC7" t="s">
        <v>298</v>
      </c>
      <c r="BD7" s="368">
        <f t="shared" ref="BD7:BD8" si="2">BG7+BF7/10000</f>
        <v>2.5000000000000001E-3</v>
      </c>
      <c r="BE7" s="5" t="b">
        <v>1</v>
      </c>
      <c r="BF7" s="5">
        <v>0</v>
      </c>
      <c r="BG7" s="357">
        <f>CZK_DATA!AE7</f>
        <v>2.5000000000000001E-3</v>
      </c>
      <c r="BH7" s="5"/>
      <c r="BI7" s="50"/>
      <c r="BJ7" s="59" t="s">
        <v>711</v>
      </c>
      <c r="BK7" s="211" t="str">
        <f>$A$1&amp;"_XCCY"</f>
        <v>CZK_XCCY</v>
      </c>
      <c r="BL7" s="53"/>
      <c r="BN7" t="s">
        <v>2</v>
      </c>
      <c r="BO7" s="5" t="s">
        <v>155</v>
      </c>
      <c r="BP7" s="5">
        <f>BR7</f>
        <v>22.5487</v>
      </c>
      <c r="BQ7" s="5"/>
      <c r="BR7" s="5">
        <f>FX!M2</f>
        <v>22.5487</v>
      </c>
      <c r="BT7" s="50"/>
      <c r="BU7" s="270" t="s">
        <v>830</v>
      </c>
      <c r="BV7" s="271" t="str">
        <f>"FX_CURVE_"&amp;$A$1&amp;"USD"</f>
        <v>FX_CURVE_CZKUSD</v>
      </c>
      <c r="BW7" s="52"/>
      <c r="BX7" s="299"/>
      <c r="BY7" t="s">
        <v>836</v>
      </c>
      <c r="BZ7" s="296">
        <f>CZK_DATA!AW7</f>
        <v>22.541899999999998</v>
      </c>
      <c r="CA7" s="296">
        <f>CZK_DATA!AX7</f>
        <v>22.555499999999999</v>
      </c>
      <c r="CC7" s="50"/>
      <c r="CD7" s="59" t="s">
        <v>711</v>
      </c>
      <c r="CE7" s="211" t="str">
        <f>$A$1&amp;"_EURCSA"</f>
        <v>CZK_EURCSA</v>
      </c>
      <c r="CF7" s="53"/>
      <c r="CI7" s="50"/>
      <c r="CJ7" s="59" t="s">
        <v>711</v>
      </c>
      <c r="CK7" s="211" t="str">
        <f>$A$1&amp;"_JPYCSA"</f>
        <v>CZK_JPYCSA</v>
      </c>
      <c r="CL7" s="53"/>
    </row>
    <row r="8" spans="1:102" x14ac:dyDescent="0.25">
      <c r="F8" s="50"/>
      <c r="G8" s="72" t="s">
        <v>670</v>
      </c>
      <c r="H8" s="35" t="str">
        <f>IF(H$6,_xll.meLWOCurveGeneratorCreate(H$7,"CURVEPROPERTIES",G12:H18,"OIS",G23:H37),"Disabled")</f>
        <v>CZK_OIS@394:6</v>
      </c>
      <c r="I8" s="53" t="s">
        <v>424</v>
      </c>
      <c r="K8" t="s">
        <v>305</v>
      </c>
      <c r="L8" s="357">
        <f t="shared" ref="L8:L31" si="3">O8+N8/10000</f>
        <v>1.1999999999999999E-3</v>
      </c>
      <c r="M8" s="5" t="b">
        <v>1</v>
      </c>
      <c r="N8" s="5">
        <f t="shared" ref="N8:N31" si="4">$N$4</f>
        <v>0</v>
      </c>
      <c r="O8" s="358">
        <f>CZK_DATA!M8</f>
        <v>1.1999999999999999E-3</v>
      </c>
      <c r="Q8" s="50"/>
      <c r="R8" s="72" t="s">
        <v>670</v>
      </c>
      <c r="S8" s="35" t="str">
        <f>IF(S$6,_xll.meLWOCurveGeneratorCreate(S$7,"CURVEPROPERTIES",R12:S27,"MONEYMARKET",R30:S32,"LIBORFIXINGS",R35:S39,"FRAS",R42:S45,"SWAPS",R48:S65,"BASISSWAPS",R68:S99),"Disabled")</f>
        <v>CZK_SWAP_6M@400:6</v>
      </c>
      <c r="T8" s="53" t="s">
        <v>424</v>
      </c>
      <c r="V8" t="s">
        <v>300</v>
      </c>
      <c r="W8" s="204">
        <f t="shared" si="0"/>
        <v>3.0000000000000001E-3</v>
      </c>
      <c r="X8" t="b">
        <v>1</v>
      </c>
      <c r="Y8" s="5">
        <f t="shared" ref="Y8:Y41" si="5">$Y$4</f>
        <v>0</v>
      </c>
      <c r="Z8" s="203">
        <f>CZK_DATA!U8</f>
        <v>3.0000000000000001E-3</v>
      </c>
      <c r="AA8" s="203"/>
      <c r="AB8" s="50"/>
      <c r="AC8" s="72" t="s">
        <v>670</v>
      </c>
      <c r="AD8" s="35" t="str">
        <f>IF(AD$6,_xll.meLWOCurveGeneratorCreate(AD$7,"CURVEPROPERTIES",AC12:AD22,"MONEYMARKET",AC25:AD27,"LIBORFIXINGS",AC30:AD34,"FRAS",AC37:AD41,"BASISSWAPS",AC43:AD84),"Disabled")</f>
        <v>CZK_BASIS_3M6M@393:6</v>
      </c>
      <c r="AE8" s="53" t="s">
        <v>424</v>
      </c>
      <c r="AG8" t="str">
        <f>CZK_DATA!X8</f>
        <v>1M</v>
      </c>
      <c r="AH8" s="358">
        <f t="shared" si="1"/>
        <v>3.0000000000000001E-3</v>
      </c>
      <c r="AI8" s="5" t="b">
        <v>1</v>
      </c>
      <c r="AJ8" s="5">
        <f t="shared" ref="AJ8:AJ9" si="6">$AJ$4</f>
        <v>0</v>
      </c>
      <c r="AK8" s="357">
        <f>CZK_DATA!Z8</f>
        <v>3.0000000000000001E-3</v>
      </c>
      <c r="AL8" s="207"/>
      <c r="AM8" s="50"/>
      <c r="AN8" s="72" t="s">
        <v>670</v>
      </c>
      <c r="AO8" s="35" t="str">
        <f>IF(AO$6,_xll.meLWOCurveGeneratorCreate(AO$7,AN11,AN12:AO21,AN26,AN27:AO65),"Disabled")</f>
        <v>CZK_BASIS_3X12@395:6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IF(AZ$6,_xll.meLWOCurveGeneratorCreate(AZ$7,AY11,AY12:AZ21,"LIBORFIXINGS",AY32:AZ36,"BASISSWAPS",AY39:AZ80),"Disabled")</f>
        <v>CZK_BASIS_1M3M@399:6</v>
      </c>
      <c r="BA8" s="53" t="s">
        <v>424</v>
      </c>
      <c r="BC8" t="s">
        <v>300</v>
      </c>
      <c r="BD8" s="368">
        <f t="shared" si="2"/>
        <v>3.0000000000000001E-3</v>
      </c>
      <c r="BE8" s="5" t="b">
        <v>1</v>
      </c>
      <c r="BF8" s="5">
        <f t="shared" ref="BF8" si="7">$BF$4</f>
        <v>0</v>
      </c>
      <c r="BG8" s="357">
        <f>CZK_DATA!AE8</f>
        <v>3.0000000000000001E-3</v>
      </c>
      <c r="BH8" s="5"/>
      <c r="BI8" s="50"/>
      <c r="BJ8" s="72" t="s">
        <v>670</v>
      </c>
      <c r="BK8" s="35" t="str">
        <f>IF(BK$6,_xll.meLWOCurveGeneratorCreate(BK$7,"CURVEPROPERTIES",BJ12:BK23,"XCCYSWAPS",BJ27:BK64,"FXFWDS",BJ68:BK76),"Disabled")</f>
        <v>CZK_XCCY@397:6</v>
      </c>
      <c r="BL8" s="53" t="s">
        <v>424</v>
      </c>
      <c r="BN8" t="s">
        <v>298</v>
      </c>
      <c r="BO8" s="5">
        <f>BR8</f>
        <v>-0.08</v>
      </c>
      <c r="BP8" s="5" t="b">
        <v>1</v>
      </c>
      <c r="BQ8" s="5"/>
      <c r="BR8" s="369">
        <f>CZK_DATA!AZ8</f>
        <v>-0.08</v>
      </c>
      <c r="BT8" s="50"/>
      <c r="BU8" t="s">
        <v>670</v>
      </c>
      <c r="BV8" s="263" t="str">
        <f>IF(BV6,_xll.meLWOCurveGeneratorCreate(BV7,"CURVEPROPERTIES",BU12:BV15,"FXFWDS",BU20:BV25),"DISABLED")</f>
        <v>FX_CURVE_CZKUSD@396:6</v>
      </c>
      <c r="BW8" s="52"/>
      <c r="BX8" s="299"/>
      <c r="BY8" s="15" t="s">
        <v>298</v>
      </c>
      <c r="BZ8" s="297">
        <f>CZK_DATA!AW8</f>
        <v>-0.16</v>
      </c>
      <c r="CA8" s="297">
        <f>CZK_DATA!AX8</f>
        <v>-0.02</v>
      </c>
      <c r="CC8" s="50"/>
      <c r="CD8" s="72" t="s">
        <v>670</v>
      </c>
      <c r="CE8" s="35" t="str">
        <f>IF(CE$6,_xll.meLWOCurveGeneratorCreate(CE$7,"CURVEPROPERTIES",CD12:CE20,"FWDFXCONST",CD27:CE31),"Disabled")</f>
        <v>CZK_EURCSA@398:6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CZK_JPYCSA@401:6</v>
      </c>
      <c r="CL8" s="53" t="s">
        <v>424</v>
      </c>
      <c r="CO8" s="383"/>
      <c r="CP8" s="507"/>
      <c r="CQ8" s="507"/>
      <c r="CR8" s="507"/>
      <c r="CS8" s="507"/>
      <c r="CU8" s="193"/>
      <c r="CV8" s="193"/>
    </row>
    <row r="9" spans="1:102" x14ac:dyDescent="0.25">
      <c r="F9" s="50"/>
      <c r="G9" s="289"/>
      <c r="H9" s="289" t="str">
        <f>IF(H6,_xll.meLWOSave(H8,"Curve_Generator","C:\Temp\"&amp;H7&amp;".JSON"),"Disabled")</f>
        <v>Saved: Object 'CZK_OIS@394' saved to file C:\TEMP\CZK_OIS.JSON</v>
      </c>
      <c r="I9" s="53" t="s">
        <v>424</v>
      </c>
      <c r="K9" t="s">
        <v>313</v>
      </c>
      <c r="L9" s="357">
        <f t="shared" si="3"/>
        <v>1.5E-3</v>
      </c>
      <c r="M9" s="5" t="b">
        <v>1</v>
      </c>
      <c r="N9" s="5">
        <f t="shared" si="4"/>
        <v>0</v>
      </c>
      <c r="O9" s="358">
        <f>CZK_DATA!M9</f>
        <v>1.5E-3</v>
      </c>
      <c r="Q9" s="50"/>
      <c r="R9" s="52"/>
      <c r="S9" s="289" t="str">
        <f>IF(S6,_xll.meLWOSave(S8,"Curve_Generator","C:\Temp\"&amp;S7&amp;".JSON"),"Disabled")</f>
        <v>Saved: Object 'CZK_SWAP_6M@400' saved to file C:\TEMP\CZK_SWAP_6M.JSON</v>
      </c>
      <c r="T9" s="53"/>
      <c r="V9" t="s">
        <v>49</v>
      </c>
      <c r="W9" s="204">
        <f t="shared" si="0"/>
        <v>3.4000000000000002E-3</v>
      </c>
      <c r="X9" t="b">
        <v>1</v>
      </c>
      <c r="Y9" s="5">
        <f t="shared" si="5"/>
        <v>0</v>
      </c>
      <c r="Z9" s="203">
        <f>CZK_DATA!U9</f>
        <v>3.4000000000000002E-3</v>
      </c>
      <c r="AA9" s="203"/>
      <c r="AB9" s="50"/>
      <c r="AC9" s="52"/>
      <c r="AD9" s="289" t="str">
        <f>IF(AD6,_xll.meLWOSave(AD8,"Curve_Generator","C:\Temp\"&amp;AD7&amp;".JSON"),"Disabled")</f>
        <v>Saved: Object 'CZK_BASIS_3M6M@393' saved to file C:\TEMP\CZK_BASIS_3M6M.JSON</v>
      </c>
      <c r="AE9" s="53"/>
      <c r="AG9" t="str">
        <f>CZK_DATA!X9</f>
        <v>3M</v>
      </c>
      <c r="AH9" s="358">
        <f t="shared" si="1"/>
        <v>3.4000000000000002E-3</v>
      </c>
      <c r="AI9" s="5" t="b">
        <v>1</v>
      </c>
      <c r="AJ9" s="5">
        <f t="shared" si="6"/>
        <v>0</v>
      </c>
      <c r="AK9" s="357">
        <f>CZK_DATA!Z9</f>
        <v>3.4000000000000002E-3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289" t="str">
        <f>IF(AZ6,_xll.meLWOSave(AZ8,"Curve_Generator","C:\Temp\"&amp;AZ7&amp;".JSON"),"Disabled")</f>
        <v>Saved: Object 'CZK_BASIS_1M3M@399' saved to file C:\TEMP\CZK_BASIS_1M3M.JSON</v>
      </c>
      <c r="BA9" s="53"/>
      <c r="BC9" t="s">
        <v>47</v>
      </c>
      <c r="BD9" s="368">
        <f>BG9+BF9/10000</f>
        <v>2.5000000000000001E-3</v>
      </c>
      <c r="BE9" s="5" t="b">
        <v>1</v>
      </c>
      <c r="BF9" s="5">
        <f>$BF$4</f>
        <v>0</v>
      </c>
      <c r="BG9" s="368">
        <f>CZK_DATA!AE7</f>
        <v>2.5000000000000001E-3</v>
      </c>
      <c r="BH9" s="5"/>
      <c r="BI9" s="50"/>
      <c r="BJ9" s="52"/>
      <c r="BK9" s="289" t="str">
        <f>IF(BK6,_xll.meLWOSave(BK8,"Curve_Generator","C:\Temp\"&amp;BK7&amp;".JSON"),"Disabled")</f>
        <v>Saved: Object 'CZK_XCCY@397' saved to file C:\TEMP\CZK_XCCY.JSON</v>
      </c>
      <c r="BL9" s="53"/>
      <c r="BN9" t="s">
        <v>506</v>
      </c>
      <c r="BO9" s="5">
        <f t="shared" ref="BO9:BO21" si="8">BR9</f>
        <v>-0.1</v>
      </c>
      <c r="BP9" s="5" t="b">
        <v>1</v>
      </c>
      <c r="BQ9" s="5"/>
      <c r="BR9" s="369">
        <f>CZK_DATA!AZ9</f>
        <v>-0.1</v>
      </c>
      <c r="BT9" s="50"/>
      <c r="BU9" s="57"/>
      <c r="BV9" s="57"/>
      <c r="BW9" s="52"/>
      <c r="BX9" s="299"/>
      <c r="BY9" s="25" t="s">
        <v>506</v>
      </c>
      <c r="BZ9" s="297">
        <f>CZK_DATA!AW9</f>
        <v>-0.17</v>
      </c>
      <c r="CA9" s="297">
        <f>CZK_DATA!AX9</f>
        <v>-0.03</v>
      </c>
      <c r="CC9" s="50"/>
      <c r="CD9" s="52"/>
      <c r="CE9" s="52"/>
      <c r="CF9" s="53"/>
      <c r="CI9" s="50"/>
      <c r="CJ9" s="52"/>
      <c r="CK9" s="52"/>
      <c r="CL9" s="53"/>
      <c r="CO9" s="383"/>
      <c r="CP9" s="507"/>
      <c r="CQ9" s="507"/>
      <c r="CR9" s="507"/>
      <c r="CS9" s="507"/>
      <c r="CU9" s="193"/>
      <c r="CV9" s="193"/>
    </row>
    <row r="10" spans="1:102" x14ac:dyDescent="0.25">
      <c r="F10" s="50"/>
      <c r="G10" s="289"/>
      <c r="H10" s="289"/>
      <c r="I10" s="53"/>
      <c r="K10" t="s">
        <v>300</v>
      </c>
      <c r="L10" s="357">
        <f t="shared" si="3"/>
        <v>1.1999999999999999E-3</v>
      </c>
      <c r="M10" s="5" t="b">
        <v>1</v>
      </c>
      <c r="N10" s="5">
        <f t="shared" si="4"/>
        <v>0</v>
      </c>
      <c r="O10" s="358">
        <f>CZK_DATA!M10</f>
        <v>1.1999999999999999E-3</v>
      </c>
      <c r="Q10" s="50"/>
      <c r="R10" s="52"/>
      <c r="S10" s="52"/>
      <c r="T10" s="53"/>
      <c r="V10" t="s">
        <v>46</v>
      </c>
      <c r="W10" s="204">
        <f t="shared" si="0"/>
        <v>3.5999999999999999E-3</v>
      </c>
      <c r="X10" t="b">
        <v>1</v>
      </c>
      <c r="Y10" s="5">
        <f t="shared" si="5"/>
        <v>0</v>
      </c>
      <c r="Z10" s="203">
        <f>CZK_DATA!U10</f>
        <v>3.5999999999999999E-3</v>
      </c>
      <c r="AA10" s="203"/>
      <c r="AB10" s="50"/>
      <c r="AC10" s="52"/>
      <c r="AD10" s="52"/>
      <c r="AE10" s="53"/>
      <c r="AG10" t="str">
        <f>CZK_DATA!X10</f>
        <v>1x4</v>
      </c>
      <c r="AH10" s="358">
        <f t="shared" ref="AH10:AH14" si="9">AK10+AJ10/10000</f>
        <v>3.4300000000000003E-3</v>
      </c>
      <c r="AI10" s="5" t="b">
        <v>1</v>
      </c>
      <c r="AJ10" s="5">
        <f t="shared" ref="AJ10:AJ14" si="10">$AJ$4</f>
        <v>0</v>
      </c>
      <c r="AK10" s="357">
        <f>CZK_DATA!Z10</f>
        <v>3.4300000000000003E-3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308</v>
      </c>
      <c r="BD10" s="368">
        <f t="shared" ref="BD10:BD18" si="11">BG10+BF10/10000</f>
        <v>8.25E-4</v>
      </c>
      <c r="BE10" s="5" t="b">
        <v>1</v>
      </c>
      <c r="BF10" s="5">
        <f t="shared" ref="BF10:BF18" si="12">$BF$4</f>
        <v>0</v>
      </c>
      <c r="BG10" s="368">
        <f>CZK_DATA!AE10</f>
        <v>8.25E-4</v>
      </c>
      <c r="BH10" s="5"/>
      <c r="BI10" s="50"/>
      <c r="BJ10" s="52"/>
      <c r="BK10" s="52"/>
      <c r="BL10" s="53"/>
      <c r="BN10" t="s">
        <v>1483</v>
      </c>
      <c r="BO10" s="5">
        <f t="shared" si="8"/>
        <v>-0.23</v>
      </c>
      <c r="BP10" s="5" t="b">
        <v>0</v>
      </c>
      <c r="BQ10" s="5"/>
      <c r="BR10" s="369">
        <f>CZK_DATA!AZ10</f>
        <v>-0.23</v>
      </c>
      <c r="BT10" s="50"/>
      <c r="BU10" s="57"/>
      <c r="BV10" s="57"/>
      <c r="BW10" s="52"/>
      <c r="BX10" s="299"/>
      <c r="BY10" s="25" t="s">
        <v>305</v>
      </c>
      <c r="BZ10" s="297">
        <f>CZK_DATA!AW11</f>
        <v>-1.17</v>
      </c>
      <c r="CA10" s="297">
        <f>CZK_DATA!AX11</f>
        <v>-0.27</v>
      </c>
      <c r="CC10" s="50"/>
      <c r="CD10" s="52"/>
      <c r="CE10" s="52"/>
      <c r="CF10" s="53"/>
      <c r="CI10" s="50"/>
      <c r="CJ10" s="52"/>
      <c r="CK10" s="52"/>
      <c r="CL10" s="53"/>
      <c r="CO10" s="383"/>
      <c r="CP10" s="507"/>
      <c r="CQ10" s="507"/>
      <c r="CR10" s="507"/>
      <c r="CS10" s="507"/>
      <c r="CU10" s="193"/>
      <c r="CV10" s="193"/>
    </row>
    <row r="11" spans="1:102" x14ac:dyDescent="0.25">
      <c r="F11" s="50"/>
      <c r="G11" s="54" t="s">
        <v>671</v>
      </c>
      <c r="H11" s="52"/>
      <c r="I11" s="53"/>
      <c r="K11" t="s">
        <v>335</v>
      </c>
      <c r="L11" s="357">
        <f t="shared" si="3"/>
        <v>1.1999999999999999E-3</v>
      </c>
      <c r="M11" s="5" t="b">
        <v>1</v>
      </c>
      <c r="N11" s="5">
        <f t="shared" si="4"/>
        <v>0</v>
      </c>
      <c r="O11" s="358">
        <f>CZK_DATA!M11</f>
        <v>1.1999999999999999E-3</v>
      </c>
      <c r="Q11" s="50"/>
      <c r="R11" s="54" t="s">
        <v>671</v>
      </c>
      <c r="S11" s="52" t="s">
        <v>713</v>
      </c>
      <c r="T11" s="53"/>
      <c r="V11" t="s">
        <v>1070</v>
      </c>
      <c r="W11" s="204">
        <f t="shared" si="0"/>
        <v>3.5999999999999999E-3</v>
      </c>
      <c r="X11" t="b">
        <v>1</v>
      </c>
      <c r="Y11" s="5">
        <f t="shared" si="5"/>
        <v>0</v>
      </c>
      <c r="Z11" s="203">
        <f>CZK_DATA!U11</f>
        <v>3.5999999999999999E-3</v>
      </c>
      <c r="AA11" s="203"/>
      <c r="AB11" s="50"/>
      <c r="AC11" s="54" t="s">
        <v>671</v>
      </c>
      <c r="AD11" s="85" t="s">
        <v>713</v>
      </c>
      <c r="AE11" s="53"/>
      <c r="AG11" t="str">
        <f>CZK_DATA!X11</f>
        <v>2x5</v>
      </c>
      <c r="AH11" s="358">
        <f t="shared" si="9"/>
        <v>3.4300000000000003E-3</v>
      </c>
      <c r="AI11" s="5" t="b">
        <v>1</v>
      </c>
      <c r="AJ11" s="5">
        <f t="shared" si="10"/>
        <v>0</v>
      </c>
      <c r="AK11" s="357">
        <f>CZK_DATA!Z11</f>
        <v>3.4300000000000003E-3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316</v>
      </c>
      <c r="BD11" s="368">
        <f t="shared" si="11"/>
        <v>6.9499999999999998E-4</v>
      </c>
      <c r="BE11" s="5" t="b">
        <v>1</v>
      </c>
      <c r="BF11" s="5">
        <f t="shared" si="12"/>
        <v>0</v>
      </c>
      <c r="BG11" s="368">
        <f>CZK_DATA!AE11</f>
        <v>6.9499999999999998E-4</v>
      </c>
      <c r="BH11" s="5"/>
      <c r="BI11" s="50"/>
      <c r="BJ11" s="54" t="s">
        <v>671</v>
      </c>
      <c r="BK11" s="85"/>
      <c r="BL11" s="53"/>
      <c r="BN11" t="s">
        <v>305</v>
      </c>
      <c r="BO11" s="5">
        <f t="shared" si="8"/>
        <v>-0.55000000000000004</v>
      </c>
      <c r="BP11" s="5" t="b">
        <v>1</v>
      </c>
      <c r="BQ11" s="5"/>
      <c r="BR11" s="369">
        <f>CZK_DATA!AZ11</f>
        <v>-0.55000000000000004</v>
      </c>
      <c r="BT11" s="50"/>
      <c r="BU11" s="56" t="s">
        <v>671</v>
      </c>
      <c r="BV11" s="272" t="s">
        <v>825</v>
      </c>
      <c r="BW11" s="52"/>
      <c r="BX11" s="299"/>
      <c r="BY11" s="25" t="s">
        <v>313</v>
      </c>
      <c r="BZ11" s="297">
        <f>CZK_DATA!AW12</f>
        <v>-2.38</v>
      </c>
      <c r="CA11" s="297">
        <f>CZK_DATA!AX12</f>
        <v>-0.57999999999999996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O11" s="383"/>
      <c r="CP11" s="507"/>
      <c r="CQ11" s="507"/>
      <c r="CR11" s="507"/>
      <c r="CS11" s="507"/>
      <c r="CU11" s="193"/>
      <c r="CV11" s="193"/>
    </row>
    <row r="12" spans="1:102" x14ac:dyDescent="0.25">
      <c r="F12" s="50"/>
      <c r="G12" s="212" t="s">
        <v>435</v>
      </c>
      <c r="H12" s="213" t="s">
        <v>426</v>
      </c>
      <c r="I12" s="53"/>
      <c r="K12" t="s">
        <v>49</v>
      </c>
      <c r="L12" s="357">
        <f t="shared" si="3"/>
        <v>1.1999999999999999E-3</v>
      </c>
      <c r="M12" s="5" t="b">
        <v>1</v>
      </c>
      <c r="N12" s="5">
        <f t="shared" si="4"/>
        <v>0</v>
      </c>
      <c r="O12" s="358">
        <f>CZK_DATA!M12</f>
        <v>1.1999999999999999E-3</v>
      </c>
      <c r="Q12" s="50"/>
      <c r="R12" s="220" t="s">
        <v>435</v>
      </c>
      <c r="S12" s="221" t="s">
        <v>463</v>
      </c>
      <c r="T12" s="53"/>
      <c r="V12" t="s">
        <v>1071</v>
      </c>
      <c r="W12" s="204">
        <f t="shared" si="0"/>
        <v>3.7000000000000002E-3</v>
      </c>
      <c r="X12" t="b">
        <v>1</v>
      </c>
      <c r="Y12" s="5">
        <f t="shared" si="5"/>
        <v>0</v>
      </c>
      <c r="Z12" s="203">
        <f>CZK_DATA!U12</f>
        <v>3.7000000000000002E-3</v>
      </c>
      <c r="AA12" s="203"/>
      <c r="AB12" s="50"/>
      <c r="AC12" s="220" t="s">
        <v>434</v>
      </c>
      <c r="AD12" s="238" t="str">
        <f>$A$1</f>
        <v>CZK</v>
      </c>
      <c r="AE12" s="53"/>
      <c r="AG12" t="str">
        <f>CZK_DATA!X12</f>
        <v>3x6</v>
      </c>
      <c r="AH12" s="358">
        <f t="shared" si="9"/>
        <v>3.4499999999999999E-3</v>
      </c>
      <c r="AI12" s="5" t="b">
        <v>1</v>
      </c>
      <c r="AJ12" s="5">
        <f t="shared" si="10"/>
        <v>0</v>
      </c>
      <c r="AK12" s="357">
        <f>CZK_DATA!Z12</f>
        <v>3.4499999999999999E-3</v>
      </c>
      <c r="AL12" s="207"/>
      <c r="AM12" s="50"/>
      <c r="AN12" s="220" t="s">
        <v>434</v>
      </c>
      <c r="AO12" s="238" t="str">
        <f>$A$1</f>
        <v>CZK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CZK</v>
      </c>
      <c r="BA12" s="53"/>
      <c r="BC12" t="s">
        <v>324</v>
      </c>
      <c r="BD12" s="368">
        <f t="shared" si="11"/>
        <v>5.9999999999999995E-4</v>
      </c>
      <c r="BE12" s="5" t="b">
        <v>1</v>
      </c>
      <c r="BF12" s="5">
        <f t="shared" si="12"/>
        <v>0</v>
      </c>
      <c r="BG12" s="368">
        <f>CZK_DATA!AE12</f>
        <v>5.9999999999999995E-4</v>
      </c>
      <c r="BH12" s="5"/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8"/>
        <v>-5.2</v>
      </c>
      <c r="BP12" s="5" t="b">
        <v>1</v>
      </c>
      <c r="BQ12" s="5"/>
      <c r="BR12" s="369">
        <f>CZK_DATA!AZ13</f>
        <v>-5.2</v>
      </c>
      <c r="BT12" s="50"/>
      <c r="BU12" s="238" t="s">
        <v>434</v>
      </c>
      <c r="BV12" s="238" t="str">
        <f>$A$1&amp;"/"&amp;"USD"</f>
        <v>CZK/USD</v>
      </c>
      <c r="BW12" s="52"/>
      <c r="BX12" s="299"/>
      <c r="BY12" s="25" t="s">
        <v>300</v>
      </c>
      <c r="BZ12" s="297">
        <f>CZK_DATA!AW13</f>
        <v>-7.15</v>
      </c>
      <c r="CA12" s="297">
        <f>CZK_DATA!AX13</f>
        <v>-3.25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O12" s="383"/>
      <c r="CP12" s="507"/>
      <c r="CQ12" s="507"/>
      <c r="CR12" s="507"/>
      <c r="CS12" s="507"/>
      <c r="CU12" s="193"/>
      <c r="CV12" s="193"/>
      <c r="CX12" s="2"/>
    </row>
    <row r="13" spans="1:102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357">
        <f t="shared" si="3"/>
        <v>1.2999999999999999E-3</v>
      </c>
      <c r="M13" s="5" t="b">
        <v>1</v>
      </c>
      <c r="N13" s="5">
        <f t="shared" si="4"/>
        <v>0</v>
      </c>
      <c r="O13" s="358">
        <f>CZK_DATA!M13</f>
        <v>1.2999999999999999E-3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SEMI-ANNUAL</v>
      </c>
      <c r="T13" s="53"/>
      <c r="V13" s="2" t="s">
        <v>1072</v>
      </c>
      <c r="W13" s="477">
        <f t="shared" si="0"/>
        <v>4.0000000000000001E-3</v>
      </c>
      <c r="X13" t="b">
        <v>1</v>
      </c>
      <c r="Y13" s="5">
        <f t="shared" si="5"/>
        <v>0</v>
      </c>
      <c r="Z13" s="203">
        <f>CZK_DATA!U13</f>
        <v>4.0000000000000001E-3</v>
      </c>
      <c r="AA13" s="203"/>
      <c r="AB13" s="50"/>
      <c r="AC13" s="222" t="s">
        <v>435</v>
      </c>
      <c r="AD13" s="216" t="s">
        <v>468</v>
      </c>
      <c r="AE13" s="53"/>
      <c r="AG13" t="str">
        <f>CZK_DATA!X13</f>
        <v>6x9</v>
      </c>
      <c r="AH13" s="358">
        <f t="shared" si="9"/>
        <v>3.5499999999999998E-3</v>
      </c>
      <c r="AI13" s="5" t="b">
        <v>1</v>
      </c>
      <c r="AJ13" s="5">
        <f t="shared" si="10"/>
        <v>0</v>
      </c>
      <c r="AK13" s="357">
        <f>CZK_DATA!Z13</f>
        <v>3.5499999999999998E-3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331</v>
      </c>
      <c r="BD13" s="368">
        <f t="shared" si="11"/>
        <v>5.4000000000000001E-4</v>
      </c>
      <c r="BE13" s="5" t="b">
        <v>1</v>
      </c>
      <c r="BF13" s="5">
        <f t="shared" si="12"/>
        <v>0</v>
      </c>
      <c r="BG13" s="368">
        <f>CZK_DATA!AE13</f>
        <v>5.4000000000000001E-4</v>
      </c>
      <c r="BH13" s="5"/>
      <c r="BI13" s="50"/>
      <c r="BJ13" s="222" t="s">
        <v>438</v>
      </c>
      <c r="BK13" s="216" t="s">
        <v>458</v>
      </c>
      <c r="BL13" s="53"/>
      <c r="BN13" t="s">
        <v>335</v>
      </c>
      <c r="BO13" s="5">
        <f t="shared" si="8"/>
        <v>-8.25</v>
      </c>
      <c r="BP13" s="5" t="b">
        <v>1</v>
      </c>
      <c r="BQ13" s="5"/>
      <c r="BR13" s="369">
        <f>CZK_DATA!AZ14</f>
        <v>-8.25</v>
      </c>
      <c r="BT13" s="50"/>
      <c r="BU13" s="216" t="s">
        <v>724</v>
      </c>
      <c r="BV13" s="216" t="s">
        <v>1451</v>
      </c>
      <c r="BW13" s="52"/>
      <c r="BX13" s="299"/>
      <c r="BY13" s="25" t="s">
        <v>335</v>
      </c>
      <c r="BZ13" s="297">
        <f>CZK_DATA!AW14</f>
        <v>-10.5</v>
      </c>
      <c r="CA13" s="297">
        <f>CZK_DATA!AX14</f>
        <v>-6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O13" s="383"/>
      <c r="CP13" s="507"/>
      <c r="CQ13" s="507"/>
      <c r="CR13" s="507"/>
      <c r="CS13" s="507"/>
      <c r="CU13" s="193"/>
      <c r="CV13" s="193"/>
    </row>
    <row r="14" spans="1:102" x14ac:dyDescent="0.25">
      <c r="F14" s="50"/>
      <c r="G14" s="214" t="s">
        <v>672</v>
      </c>
      <c r="H14" s="215" t="s">
        <v>426</v>
      </c>
      <c r="I14" s="53"/>
      <c r="K14" t="s">
        <v>376</v>
      </c>
      <c r="L14" s="357">
        <f t="shared" si="3"/>
        <v>1.4000000000000002E-3</v>
      </c>
      <c r="M14" s="5" t="b">
        <v>1</v>
      </c>
      <c r="N14" s="5">
        <f t="shared" si="4"/>
        <v>0</v>
      </c>
      <c r="O14" s="358">
        <f>CZK_DATA!M14</f>
        <v>1.4000000000000002E-3</v>
      </c>
      <c r="Q14" s="50"/>
      <c r="R14" s="222" t="s">
        <v>672</v>
      </c>
      <c r="S14" s="223" t="s">
        <v>714</v>
      </c>
      <c r="T14" s="53"/>
      <c r="V14" t="s">
        <v>1073</v>
      </c>
      <c r="W14" s="204">
        <f t="shared" si="0"/>
        <v>3.9000000000000003E-3</v>
      </c>
      <c r="X14" t="b">
        <v>1</v>
      </c>
      <c r="Y14" s="5">
        <f t="shared" si="5"/>
        <v>0</v>
      </c>
      <c r="Z14" s="203">
        <f>CZK_DATA!U14</f>
        <v>3.9000000000000003E-3</v>
      </c>
      <c r="AA14" s="203"/>
      <c r="AB14" s="50"/>
      <c r="AC14" s="222" t="s">
        <v>438</v>
      </c>
      <c r="AD14" s="216" t="s">
        <v>458</v>
      </c>
      <c r="AE14" s="53"/>
      <c r="AG14" t="str">
        <f>CZK_DATA!X14</f>
        <v>9x12</v>
      </c>
      <c r="AH14" s="358">
        <f t="shared" si="9"/>
        <v>4.0500000000000006E-3</v>
      </c>
      <c r="AI14" s="5" t="b">
        <v>0</v>
      </c>
      <c r="AJ14" s="5">
        <f t="shared" si="10"/>
        <v>0</v>
      </c>
      <c r="AK14" s="357">
        <f>CZK_DATA!Z14</f>
        <v>4.0500000000000006E-3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339</v>
      </c>
      <c r="BD14" s="368">
        <f t="shared" si="11"/>
        <v>5.0000000000000001E-4</v>
      </c>
      <c r="BE14" s="5" t="b">
        <v>1</v>
      </c>
      <c r="BF14" s="5">
        <f t="shared" si="12"/>
        <v>0</v>
      </c>
      <c r="BG14" s="368">
        <f>CZK_DATA!AE14</f>
        <v>5.0000000000000001E-4</v>
      </c>
      <c r="BH14" s="5"/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8"/>
        <v>-13.24</v>
      </c>
      <c r="BP14" s="5" t="b">
        <v>1</v>
      </c>
      <c r="BQ14" s="5"/>
      <c r="BR14" s="369">
        <f>CZK_DATA!AZ15</f>
        <v>-13.24</v>
      </c>
      <c r="BT14" s="50"/>
      <c r="BU14" s="216" t="s">
        <v>435</v>
      </c>
      <c r="BV14" s="216" t="s">
        <v>820</v>
      </c>
      <c r="BW14" s="52"/>
      <c r="BX14" s="299"/>
      <c r="BY14" s="25" t="s">
        <v>49</v>
      </c>
      <c r="BZ14" s="297">
        <f>CZK_DATA!AW15</f>
        <v>-15.5</v>
      </c>
      <c r="CA14" s="297">
        <f>CZK_DATA!AX15</f>
        <v>-7.24</v>
      </c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O14" s="383"/>
      <c r="CP14" s="507"/>
      <c r="CQ14" s="507"/>
      <c r="CR14" s="507"/>
      <c r="CS14" s="507"/>
      <c r="CU14" s="193"/>
      <c r="CV14" s="193"/>
    </row>
    <row r="15" spans="1:102" x14ac:dyDescent="0.25">
      <c r="F15" s="50"/>
      <c r="G15" s="235" t="s">
        <v>673</v>
      </c>
      <c r="H15" s="236" t="str">
        <f>H14&amp;":"&amp;$A$1&amp;H12</f>
        <v>OIS:CZKOIS</v>
      </c>
      <c r="I15" s="53" t="s">
        <v>424</v>
      </c>
      <c r="K15" t="s">
        <v>47</v>
      </c>
      <c r="L15" s="357">
        <f t="shared" si="3"/>
        <v>1.5E-3</v>
      </c>
      <c r="M15" s="5" t="b">
        <v>1</v>
      </c>
      <c r="N15" s="5">
        <f t="shared" si="4"/>
        <v>0</v>
      </c>
      <c r="O15" s="358">
        <f>CZK_DATA!M15</f>
        <v>1.5E-3</v>
      </c>
      <c r="Q15" s="50"/>
      <c r="R15" s="233" t="s">
        <v>673</v>
      </c>
      <c r="S15" s="230" t="str">
        <f>"STD:"&amp;"PRB"&amp;"6M"</f>
        <v>STD:PRB6M</v>
      </c>
      <c r="T15" s="53"/>
      <c r="V15" s="2" t="s">
        <v>1074</v>
      </c>
      <c r="W15" s="477">
        <f t="shared" si="0"/>
        <v>4.0300000000000006E-3</v>
      </c>
      <c r="X15" t="b">
        <v>1</v>
      </c>
      <c r="Y15" s="5">
        <f t="shared" si="5"/>
        <v>0</v>
      </c>
      <c r="Z15" s="203">
        <f>CZK_DATA!U15</f>
        <v>4.0300000000000006E-3</v>
      </c>
      <c r="AA15" s="203"/>
      <c r="AB15" s="50"/>
      <c r="AC15" s="222" t="s">
        <v>672</v>
      </c>
      <c r="AD15" s="216" t="s">
        <v>745</v>
      </c>
      <c r="AE15" s="53"/>
      <c r="AG15" t="s">
        <v>47</v>
      </c>
      <c r="AH15" s="358">
        <f>AK15+AJ15/10000</f>
        <v>2.5000000000000001E-4</v>
      </c>
      <c r="AI15" s="5" t="b">
        <v>1</v>
      </c>
      <c r="AJ15" s="5">
        <f>$AJ$4</f>
        <v>0</v>
      </c>
      <c r="AK15" s="368">
        <f>CZK_DATA!Z15</f>
        <v>2.5000000000000001E-4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342</v>
      </c>
      <c r="BD15" s="368">
        <f t="shared" si="11"/>
        <v>4.75E-4</v>
      </c>
      <c r="BE15" s="5" t="b">
        <v>1</v>
      </c>
      <c r="BF15" s="5">
        <f t="shared" si="12"/>
        <v>0</v>
      </c>
      <c r="BG15" s="368">
        <f>CZK_DATA!AE15</f>
        <v>4.75E-4</v>
      </c>
      <c r="BH15" s="5"/>
      <c r="BI15" s="50"/>
      <c r="BJ15" s="222" t="s">
        <v>673</v>
      </c>
      <c r="BK15" s="216" t="s">
        <v>1334</v>
      </c>
      <c r="BL15" s="53"/>
      <c r="BN15" t="s">
        <v>351</v>
      </c>
      <c r="BO15" s="5">
        <f t="shared" ref="BO15:BO16" si="13">BR15</f>
        <v>-37.5</v>
      </c>
      <c r="BP15" s="5" t="b">
        <v>1</v>
      </c>
      <c r="BQ15" s="5"/>
      <c r="BR15" s="369">
        <f>CZK_DATA!AZ16</f>
        <v>-37.5</v>
      </c>
      <c r="BT15" s="50"/>
      <c r="BU15" s="219" t="s">
        <v>826</v>
      </c>
      <c r="BV15" s="219" t="s">
        <v>828</v>
      </c>
      <c r="BW15" s="52"/>
      <c r="BX15" s="299"/>
      <c r="BY15" s="25" t="s">
        <v>46</v>
      </c>
      <c r="BZ15" s="297">
        <f>CZK_DATA!AW18</f>
        <v>-63.75</v>
      </c>
      <c r="CA15" s="297">
        <f>CZK_DATA!AX18</f>
        <v>-39.75</v>
      </c>
      <c r="CC15" s="50"/>
      <c r="CD15" s="222" t="s">
        <v>673</v>
      </c>
      <c r="CE15" s="216" t="s">
        <v>930</v>
      </c>
      <c r="CF15" s="53"/>
      <c r="CI15" s="50"/>
      <c r="CJ15" s="222" t="s">
        <v>673</v>
      </c>
      <c r="CK15" s="216" t="s">
        <v>1187</v>
      </c>
      <c r="CL15" s="53"/>
      <c r="CO15" s="383"/>
      <c r="CP15" s="507"/>
      <c r="CQ15" s="507"/>
      <c r="CR15" s="507"/>
      <c r="CS15" s="507"/>
      <c r="CU15" s="193"/>
      <c r="CV15" s="193"/>
    </row>
    <row r="16" spans="1:102" x14ac:dyDescent="0.25">
      <c r="F16" s="50"/>
      <c r="G16" s="214" t="s">
        <v>434</v>
      </c>
      <c r="H16" s="216" t="str">
        <f>$A$1</f>
        <v>CZK</v>
      </c>
      <c r="I16" s="53"/>
      <c r="K16" t="s">
        <v>308</v>
      </c>
      <c r="L16" s="357">
        <f t="shared" si="3"/>
        <v>1.2299999999999993E-3</v>
      </c>
      <c r="M16" s="5" t="b">
        <v>1</v>
      </c>
      <c r="N16" s="5">
        <f t="shared" si="4"/>
        <v>0</v>
      </c>
      <c r="O16" s="358">
        <f>CZK_DATA!M17</f>
        <v>1.2299999999999993E-3</v>
      </c>
      <c r="Q16" s="50"/>
      <c r="R16" s="222" t="s">
        <v>434</v>
      </c>
      <c r="S16" s="223" t="str">
        <f>$A$1</f>
        <v>CZK</v>
      </c>
      <c r="T16" s="53"/>
      <c r="V16" t="str">
        <f>CZK_DATA!X15</f>
        <v>1Y</v>
      </c>
      <c r="W16" s="204">
        <f t="shared" si="0"/>
        <v>2.5000000000000001E-4</v>
      </c>
      <c r="X16" t="b">
        <v>1</v>
      </c>
      <c r="Y16" s="5">
        <f t="shared" si="5"/>
        <v>0</v>
      </c>
      <c r="Z16" s="203">
        <f>CZK_DATA!Z15</f>
        <v>2.5000000000000001E-4</v>
      </c>
      <c r="AA16" s="203"/>
      <c r="AB16" s="50"/>
      <c r="AC16" s="233" t="s">
        <v>673</v>
      </c>
      <c r="AD16" s="230" t="s">
        <v>945</v>
      </c>
      <c r="AE16" s="53"/>
      <c r="AG16" t="s">
        <v>308</v>
      </c>
      <c r="AH16" s="358">
        <f t="shared" ref="AH16:AH27" si="14">AK16+AJ16/10000</f>
        <v>4.0000000000000002E-4</v>
      </c>
      <c r="AI16" s="5" t="b">
        <v>1</v>
      </c>
      <c r="AJ16" s="5">
        <f t="shared" ref="AJ16:AJ27" si="15">$AJ$4</f>
        <v>0</v>
      </c>
      <c r="AK16" s="368">
        <f>CZK_DATA!Z16</f>
        <v>4.0000000000000002E-4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T16" t="b">
        <v>1</v>
      </c>
      <c r="AX16" s="50"/>
      <c r="AY16" s="233" t="s">
        <v>673</v>
      </c>
      <c r="AZ16" s="230" t="s">
        <v>956</v>
      </c>
      <c r="BA16" s="53"/>
      <c r="BC16" t="s">
        <v>355</v>
      </c>
      <c r="BD16" s="368">
        <f t="shared" si="11"/>
        <v>4.55E-4</v>
      </c>
      <c r="BE16" s="5" t="b">
        <v>1</v>
      </c>
      <c r="BF16" s="5">
        <f t="shared" si="12"/>
        <v>0</v>
      </c>
      <c r="BG16" s="368">
        <f>CZK_DATA!AE16</f>
        <v>4.55E-4</v>
      </c>
      <c r="BH16" s="5"/>
      <c r="BI16" s="50"/>
      <c r="BJ16" s="233" t="s">
        <v>434</v>
      </c>
      <c r="BK16" s="230" t="str">
        <f>$A$1</f>
        <v>CZK</v>
      </c>
      <c r="BL16" s="53"/>
      <c r="BN16" t="s">
        <v>360</v>
      </c>
      <c r="BO16" s="5">
        <f t="shared" si="13"/>
        <v>-40</v>
      </c>
      <c r="BP16" s="5" t="b">
        <v>1</v>
      </c>
      <c r="BQ16" s="5"/>
      <c r="BR16" s="369">
        <f>CZK_DATA!AZ17</f>
        <v>-40</v>
      </c>
      <c r="BT16" s="50"/>
      <c r="BU16" s="57"/>
      <c r="BV16" s="57"/>
      <c r="BW16" s="52"/>
      <c r="BX16" s="299"/>
      <c r="BY16" s="25" t="s">
        <v>376</v>
      </c>
      <c r="BZ16" s="297">
        <f>CZK_DATA!AW21</f>
        <v>-83</v>
      </c>
      <c r="CA16" s="297">
        <f>CZK_DATA!AX21</f>
        <v>-47.5</v>
      </c>
      <c r="CC16" s="50"/>
      <c r="CD16" s="233" t="s">
        <v>434</v>
      </c>
      <c r="CE16" s="230" t="s">
        <v>155</v>
      </c>
      <c r="CF16" s="53"/>
      <c r="CI16" s="50"/>
      <c r="CJ16" s="233" t="s">
        <v>434</v>
      </c>
      <c r="CK16" s="230" t="s">
        <v>155</v>
      </c>
      <c r="CL16" s="53"/>
      <c r="CO16" s="383"/>
      <c r="CP16" s="507"/>
      <c r="CQ16" s="507"/>
      <c r="CR16" s="507"/>
      <c r="CS16" s="507"/>
      <c r="CU16" s="193"/>
      <c r="CV16" s="193"/>
    </row>
    <row r="17" spans="6:102" x14ac:dyDescent="0.25">
      <c r="F17" s="50"/>
      <c r="G17" s="217" t="s">
        <v>674</v>
      </c>
      <c r="H17" s="216" t="s">
        <v>675</v>
      </c>
      <c r="I17" s="53"/>
      <c r="K17" t="s">
        <v>316</v>
      </c>
      <c r="L17" s="357">
        <f t="shared" si="3"/>
        <v>1.1399999999999995E-3</v>
      </c>
      <c r="M17" s="5" t="b">
        <v>1</v>
      </c>
      <c r="N17" s="5">
        <f t="shared" si="4"/>
        <v>0</v>
      </c>
      <c r="O17" s="358">
        <f>CZK_DATA!M18</f>
        <v>1.1399999999999995E-3</v>
      </c>
      <c r="Q17" s="50"/>
      <c r="R17" s="222" t="s">
        <v>674</v>
      </c>
      <c r="S17" s="223" t="s">
        <v>1655</v>
      </c>
      <c r="T17" s="53"/>
      <c r="V17" s="620" t="s">
        <v>308</v>
      </c>
      <c r="W17" s="657">
        <f>Z17</f>
        <v>0</v>
      </c>
      <c r="X17" s="620" t="b">
        <v>1</v>
      </c>
      <c r="Z17" s="656">
        <v>0</v>
      </c>
      <c r="AA17" s="203"/>
      <c r="AB17" s="50"/>
      <c r="AC17" s="222" t="s">
        <v>674</v>
      </c>
      <c r="AD17" s="216" t="s">
        <v>675</v>
      </c>
      <c r="AE17" s="53"/>
      <c r="AG17" t="s">
        <v>316</v>
      </c>
      <c r="AH17" s="358">
        <f t="shared" si="14"/>
        <v>4.75E-4</v>
      </c>
      <c r="AI17" s="5" t="b">
        <v>1</v>
      </c>
      <c r="AJ17" s="5">
        <f t="shared" si="15"/>
        <v>0</v>
      </c>
      <c r="AK17" s="368">
        <f>CZK_DATA!Z17</f>
        <v>4.75E-4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364</v>
      </c>
      <c r="BD17" s="368">
        <f t="shared" si="11"/>
        <v>4.3499999999999995E-4</v>
      </c>
      <c r="BE17" s="5" t="b">
        <v>1</v>
      </c>
      <c r="BF17" s="5">
        <f t="shared" si="12"/>
        <v>0</v>
      </c>
      <c r="BG17" s="368">
        <f>CZK_DATA!AE17</f>
        <v>4.3499999999999995E-4</v>
      </c>
      <c r="BH17" s="5"/>
      <c r="BI17" s="50"/>
      <c r="BJ17" s="222" t="s">
        <v>674</v>
      </c>
      <c r="BK17" s="216" t="s">
        <v>675</v>
      </c>
      <c r="BL17" s="53"/>
      <c r="BN17" t="s">
        <v>46</v>
      </c>
      <c r="BO17" s="5">
        <f t="shared" si="8"/>
        <v>-51.75</v>
      </c>
      <c r="BP17" s="5" t="b">
        <v>1</v>
      </c>
      <c r="BQ17" s="5"/>
      <c r="BR17" s="369">
        <f>CZK_DATA!AZ18</f>
        <v>-51.75</v>
      </c>
      <c r="BT17" s="50"/>
      <c r="BU17" s="57"/>
      <c r="BV17" s="57"/>
      <c r="BW17" s="52"/>
      <c r="BX17" s="299"/>
      <c r="BY17" s="25" t="s">
        <v>322</v>
      </c>
      <c r="BZ17" s="297">
        <f>CZK_DATA!AW24</f>
        <v>-93.9</v>
      </c>
      <c r="CA17" s="297">
        <f>CZK_DATA!AX24</f>
        <v>-62.8</v>
      </c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3"/>
      <c r="CO17" s="550"/>
      <c r="CP17" s="551"/>
      <c r="CQ17" s="551"/>
      <c r="CR17" s="551"/>
      <c r="CS17" s="551"/>
      <c r="CT17" s="237"/>
      <c r="CU17" s="193"/>
      <c r="CV17" s="193"/>
      <c r="CX17" s="2"/>
    </row>
    <row r="18" spans="6:102" x14ac:dyDescent="0.25">
      <c r="F18" s="50"/>
      <c r="G18" s="214" t="s">
        <v>676</v>
      </c>
      <c r="H18" s="216" t="s">
        <v>675</v>
      </c>
      <c r="I18" s="53"/>
      <c r="K18" t="s">
        <v>324</v>
      </c>
      <c r="L18" s="357">
        <f t="shared" si="3"/>
        <v>1.2099999999999993E-3</v>
      </c>
      <c r="M18" s="5" t="b">
        <v>1</v>
      </c>
      <c r="N18" s="5">
        <f t="shared" si="4"/>
        <v>0</v>
      </c>
      <c r="O18" s="358">
        <f>CZK_DATA!M19</f>
        <v>1.2099999999999993E-3</v>
      </c>
      <c r="Q18" s="50"/>
      <c r="R18" s="222" t="s">
        <v>676</v>
      </c>
      <c r="S18" s="223" t="s">
        <v>1655</v>
      </c>
      <c r="T18" s="53"/>
      <c r="V18" s="620" t="s">
        <v>316</v>
      </c>
      <c r="W18" s="657">
        <f t="shared" ref="W18:W28" si="16">Z18</f>
        <v>0</v>
      </c>
      <c r="X18" s="620" t="b">
        <v>1</v>
      </c>
      <c r="Z18" s="656">
        <v>0</v>
      </c>
      <c r="AA18" s="203"/>
      <c r="AB18" s="50"/>
      <c r="AC18" s="222" t="s">
        <v>676</v>
      </c>
      <c r="AD18" s="216" t="s">
        <v>675</v>
      </c>
      <c r="AE18" s="53"/>
      <c r="AG18" t="s">
        <v>324</v>
      </c>
      <c r="AH18" s="358">
        <f t="shared" si="14"/>
        <v>5.7499999999999999E-4</v>
      </c>
      <c r="AI18" s="5" t="b">
        <v>1</v>
      </c>
      <c r="AJ18" s="5">
        <f t="shared" si="15"/>
        <v>0</v>
      </c>
      <c r="AK18" s="368">
        <f>CZK_DATA!Z18</f>
        <v>5.7499999999999999E-4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349</v>
      </c>
      <c r="BD18" s="368">
        <f t="shared" si="11"/>
        <v>4.2499999999999998E-4</v>
      </c>
      <c r="BE18" s="5" t="b">
        <v>1</v>
      </c>
      <c r="BF18" s="5">
        <f t="shared" si="12"/>
        <v>0</v>
      </c>
      <c r="BG18" s="368">
        <f>CZK_DATA!AE18</f>
        <v>4.2499999999999998E-4</v>
      </c>
      <c r="BH18" s="5"/>
      <c r="BI18" s="50"/>
      <c r="BJ18" s="222" t="s">
        <v>676</v>
      </c>
      <c r="BK18" s="216" t="s">
        <v>675</v>
      </c>
      <c r="BL18" s="53"/>
      <c r="BN18" t="s">
        <v>1570</v>
      </c>
      <c r="BO18" s="5">
        <f t="shared" ref="BO18:BO19" si="17">BR18</f>
        <v>-46.85</v>
      </c>
      <c r="BP18" s="5" t="b">
        <v>1</v>
      </c>
      <c r="BQ18" s="5"/>
      <c r="BR18" s="369">
        <f>CZK_DATA!AZ19</f>
        <v>-46.85</v>
      </c>
      <c r="BT18" s="50"/>
      <c r="BU18" s="57"/>
      <c r="BV18" s="57"/>
      <c r="BW18" s="52"/>
      <c r="BX18" s="299"/>
      <c r="BY18" s="25" t="s">
        <v>501</v>
      </c>
      <c r="BZ18" s="297">
        <f>CZK_DATA!AW25</f>
        <v>-139.19999999999999</v>
      </c>
      <c r="CA18" s="297">
        <f>CZK_DATA!AX25</f>
        <v>-59.2</v>
      </c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3"/>
      <c r="CO18" s="383"/>
      <c r="CP18" s="507"/>
      <c r="CQ18" s="507"/>
      <c r="CR18" s="507"/>
      <c r="CS18" s="507"/>
      <c r="CU18" s="193"/>
      <c r="CV18" s="193"/>
    </row>
    <row r="19" spans="6:102" x14ac:dyDescent="0.25">
      <c r="F19" s="50"/>
      <c r="G19" s="214"/>
      <c r="H19" s="216"/>
      <c r="I19" s="53"/>
      <c r="K19" t="s">
        <v>331</v>
      </c>
      <c r="L19" s="357">
        <f t="shared" si="3"/>
        <v>1.4000000000000002E-3</v>
      </c>
      <c r="M19" s="5" t="b">
        <v>1</v>
      </c>
      <c r="N19" s="5">
        <f t="shared" si="4"/>
        <v>0</v>
      </c>
      <c r="O19" s="358">
        <f>CZK_DATA!M20</f>
        <v>1.4000000000000002E-3</v>
      </c>
      <c r="Q19" s="50"/>
      <c r="R19" s="222" t="s">
        <v>716</v>
      </c>
      <c r="S19" s="223" t="s">
        <v>1655</v>
      </c>
      <c r="T19" s="53"/>
      <c r="V19" s="620" t="s">
        <v>324</v>
      </c>
      <c r="W19" s="657">
        <f t="shared" si="16"/>
        <v>0</v>
      </c>
      <c r="X19" s="620" t="b">
        <v>1</v>
      </c>
      <c r="Z19" s="656">
        <v>0</v>
      </c>
      <c r="AA19" s="203"/>
      <c r="AB19" s="50"/>
      <c r="AC19" s="222" t="s">
        <v>746</v>
      </c>
      <c r="AD19" s="216" t="s">
        <v>675</v>
      </c>
      <c r="AE19" s="53"/>
      <c r="AG19" t="s">
        <v>331</v>
      </c>
      <c r="AH19" s="358">
        <f t="shared" si="14"/>
        <v>6.4999999999999997E-4</v>
      </c>
      <c r="AI19" s="5" t="b">
        <v>1</v>
      </c>
      <c r="AJ19" s="5">
        <f t="shared" si="15"/>
        <v>0</v>
      </c>
      <c r="AK19" s="368">
        <f>CZK_DATA!Z19</f>
        <v>6.4999999999999997E-4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D19" s="368"/>
      <c r="BE19" s="5"/>
      <c r="BF19" s="5"/>
      <c r="BG19" s="5"/>
      <c r="BH19" s="5"/>
      <c r="BI19" s="50"/>
      <c r="BJ19" s="222" t="s">
        <v>746</v>
      </c>
      <c r="BK19" s="216" t="s">
        <v>675</v>
      </c>
      <c r="BL19" s="53"/>
      <c r="BN19" t="s">
        <v>1571</v>
      </c>
      <c r="BO19" s="5">
        <f t="shared" si="17"/>
        <v>-50.79</v>
      </c>
      <c r="BP19" s="5" t="b">
        <v>1</v>
      </c>
      <c r="BQ19" s="5"/>
      <c r="BR19" s="369">
        <f>CZK_DATA!AZ20</f>
        <v>-50.79</v>
      </c>
      <c r="BT19" s="50"/>
      <c r="BU19" s="56" t="s">
        <v>814</v>
      </c>
      <c r="BV19" s="57"/>
      <c r="BW19" s="262"/>
      <c r="BX19" s="303"/>
      <c r="BY19" s="25" t="s">
        <v>308</v>
      </c>
      <c r="BZ19" s="297">
        <f>CZK_DATA!AW26</f>
        <v>-144</v>
      </c>
      <c r="CA19" s="297">
        <f>CZK_DATA!AX26</f>
        <v>-103</v>
      </c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3"/>
      <c r="CO19" s="383"/>
      <c r="CP19" s="507"/>
      <c r="CQ19" s="507"/>
      <c r="CR19" s="507"/>
      <c r="CS19" s="507"/>
      <c r="CU19" s="193"/>
      <c r="CV19" s="193"/>
    </row>
    <row r="20" spans="6:102" x14ac:dyDescent="0.25">
      <c r="F20" s="50"/>
      <c r="G20" s="218"/>
      <c r="H20" s="219"/>
      <c r="I20" s="53"/>
      <c r="K20" t="s">
        <v>339</v>
      </c>
      <c r="L20" s="357">
        <f t="shared" si="3"/>
        <v>1.7000000000000001E-3</v>
      </c>
      <c r="M20" s="5" t="b">
        <v>1</v>
      </c>
      <c r="N20" s="5">
        <f t="shared" si="4"/>
        <v>0</v>
      </c>
      <c r="O20" s="358">
        <f>CZK_DATA!M21</f>
        <v>1.7000000000000001E-3</v>
      </c>
      <c r="Q20" s="50"/>
      <c r="R20" s="233" t="s">
        <v>717</v>
      </c>
      <c r="S20" s="230" t="s">
        <v>718</v>
      </c>
      <c r="T20" s="53"/>
      <c r="V20" s="620" t="s">
        <v>331</v>
      </c>
      <c r="W20" s="657">
        <f t="shared" si="16"/>
        <v>0</v>
      </c>
      <c r="X20" s="620" t="b">
        <v>1</v>
      </c>
      <c r="Z20" s="656">
        <v>0</v>
      </c>
      <c r="AA20" s="203"/>
      <c r="AB20" s="50"/>
      <c r="AC20" s="222" t="s">
        <v>747</v>
      </c>
      <c r="AD20" s="216" t="s">
        <v>720</v>
      </c>
      <c r="AE20" s="53"/>
      <c r="AG20" t="s">
        <v>339</v>
      </c>
      <c r="AH20" s="358">
        <f t="shared" si="14"/>
        <v>7.7499999999999997E-4</v>
      </c>
      <c r="AI20" s="5" t="b">
        <v>1</v>
      </c>
      <c r="AJ20" s="5">
        <f t="shared" si="15"/>
        <v>0</v>
      </c>
      <c r="AK20" s="368">
        <f>CZK_DATA!Z20</f>
        <v>7.7499999999999997E-4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D20" s="368"/>
      <c r="BE20" s="5"/>
      <c r="BF20" s="5"/>
      <c r="BG20" s="5"/>
      <c r="BH20" s="5"/>
      <c r="BI20" s="50"/>
      <c r="BJ20" s="222" t="s">
        <v>747</v>
      </c>
      <c r="BK20" s="216" t="b">
        <v>0</v>
      </c>
      <c r="BL20" s="53"/>
      <c r="BN20" t="s">
        <v>376</v>
      </c>
      <c r="BO20" s="5">
        <f t="shared" si="8"/>
        <v>-65.25</v>
      </c>
      <c r="BP20" s="5" t="b">
        <v>1</v>
      </c>
      <c r="BQ20" s="5"/>
      <c r="BR20" s="369">
        <f>CZK_DATA!AZ21</f>
        <v>-65.25</v>
      </c>
      <c r="BT20" s="50"/>
      <c r="BU20" s="147" t="s">
        <v>704</v>
      </c>
      <c r="BV20" s="221" t="str">
        <f>INDEX('STATIC DATA'!C30:AB30,1,MATCH($A$1,'STATIC DATA'!$C$4:$AB$4,0))</f>
        <v>PRB:TGT:LNB</v>
      </c>
      <c r="BW20" s="52"/>
      <c r="BX20" s="299"/>
      <c r="BY20" s="25" t="s">
        <v>316</v>
      </c>
      <c r="BZ20" s="297">
        <f>CZK_DATA!AW27</f>
        <v>-150</v>
      </c>
      <c r="CA20" s="297">
        <f>CZK_DATA!AX27</f>
        <v>-99</v>
      </c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O20" s="383"/>
      <c r="CP20" s="507"/>
      <c r="CQ20" s="507"/>
      <c r="CR20" s="507"/>
      <c r="CS20" s="507"/>
      <c r="CU20" s="193"/>
      <c r="CV20" s="193"/>
    </row>
    <row r="21" spans="6:102" x14ac:dyDescent="0.25">
      <c r="F21" s="50"/>
      <c r="G21" s="52"/>
      <c r="H21" s="52"/>
      <c r="I21" s="53"/>
      <c r="K21" t="s">
        <v>342</v>
      </c>
      <c r="L21" s="357">
        <f t="shared" si="3"/>
        <v>2.0600000000000002E-3</v>
      </c>
      <c r="M21" s="5" t="b">
        <v>1</v>
      </c>
      <c r="N21" s="5">
        <f t="shared" si="4"/>
        <v>0</v>
      </c>
      <c r="O21" s="358">
        <f>CZK_DATA!M22</f>
        <v>2.0600000000000002E-3</v>
      </c>
      <c r="Q21" s="50"/>
      <c r="R21" s="233" t="s">
        <v>719</v>
      </c>
      <c r="S21" s="230" t="b">
        <v>0</v>
      </c>
      <c r="T21" s="53"/>
      <c r="V21" s="620" t="s">
        <v>339</v>
      </c>
      <c r="W21" s="657">
        <f t="shared" si="16"/>
        <v>0</v>
      </c>
      <c r="X21" s="620" t="b">
        <v>1</v>
      </c>
      <c r="Z21" s="656">
        <v>0</v>
      </c>
      <c r="AA21" s="203"/>
      <c r="AB21" s="50"/>
      <c r="AC21" s="222" t="s">
        <v>1222</v>
      </c>
      <c r="AD21" s="216" t="b">
        <v>1</v>
      </c>
      <c r="AE21" s="53"/>
      <c r="AG21" t="s">
        <v>342</v>
      </c>
      <c r="AH21" s="358">
        <f t="shared" si="14"/>
        <v>9.5E-4</v>
      </c>
      <c r="AI21" s="5" t="b">
        <v>1</v>
      </c>
      <c r="AJ21" s="5">
        <f t="shared" si="15"/>
        <v>0</v>
      </c>
      <c r="AK21" s="368">
        <f>CZK_DATA!Z21</f>
        <v>9.5E-4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D21" s="368"/>
      <c r="BE21" s="5"/>
      <c r="BF21" s="5"/>
      <c r="BG21" s="5"/>
      <c r="BH21" s="5"/>
      <c r="BI21" s="50"/>
      <c r="BJ21" s="234" t="s">
        <v>717</v>
      </c>
      <c r="BK21" s="232" t="b">
        <v>0</v>
      </c>
      <c r="BL21" s="53"/>
      <c r="BN21" t="s">
        <v>47</v>
      </c>
      <c r="BO21" s="358">
        <f t="shared" si="8"/>
        <v>-4.7614356244633444E-3</v>
      </c>
      <c r="BP21" s="5" t="b">
        <v>1</v>
      </c>
      <c r="BQ21" s="5">
        <f>$BQ$4</f>
        <v>0</v>
      </c>
      <c r="BR21" s="368">
        <f>CZK_DATA!AR22/10000</f>
        <v>-4.7614356244633444E-3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s="25" t="s">
        <v>324</v>
      </c>
      <c r="BZ21" s="297">
        <f>CZK_DATA!AW28</f>
        <v>-241.7</v>
      </c>
      <c r="CA21" s="297">
        <f>CZK_DATA!AX28</f>
        <v>58.3</v>
      </c>
      <c r="CO21" s="383"/>
      <c r="CP21" s="507"/>
      <c r="CQ21" s="507"/>
      <c r="CR21" s="507"/>
      <c r="CS21" s="507"/>
      <c r="CU21" s="193"/>
      <c r="CV21" s="193"/>
    </row>
    <row r="22" spans="6:102" x14ac:dyDescent="0.25">
      <c r="F22" s="50"/>
      <c r="G22" s="54" t="s">
        <v>426</v>
      </c>
      <c r="H22" s="52"/>
      <c r="I22" s="53"/>
      <c r="K22" t="s">
        <v>355</v>
      </c>
      <c r="L22" s="357">
        <f t="shared" si="3"/>
        <v>2.4800000000000004E-3</v>
      </c>
      <c r="M22" s="5" t="b">
        <v>1</v>
      </c>
      <c r="N22" s="5">
        <f t="shared" si="4"/>
        <v>0</v>
      </c>
      <c r="O22" s="358">
        <f>CZK_DATA!M23</f>
        <v>2.4800000000000004E-3</v>
      </c>
      <c r="Q22" s="50"/>
      <c r="R22" s="222" t="s">
        <v>706</v>
      </c>
      <c r="S22" s="223" t="s">
        <v>721</v>
      </c>
      <c r="T22" s="53"/>
      <c r="V22" s="620" t="s">
        <v>342</v>
      </c>
      <c r="W22" s="657">
        <f t="shared" si="16"/>
        <v>0</v>
      </c>
      <c r="X22" s="620" t="b">
        <v>1</v>
      </c>
      <c r="Z22" s="656">
        <v>0</v>
      </c>
      <c r="AA22" s="203"/>
      <c r="AB22" s="50"/>
      <c r="AC22" s="234" t="s">
        <v>748</v>
      </c>
      <c r="AD22" s="232" t="s">
        <v>426</v>
      </c>
      <c r="AE22" s="53"/>
      <c r="AG22" t="s">
        <v>355</v>
      </c>
      <c r="AH22" s="358">
        <f t="shared" si="14"/>
        <v>1.1000000000000001E-3</v>
      </c>
      <c r="AI22" s="5" t="b">
        <v>1</v>
      </c>
      <c r="AJ22" s="5">
        <f t="shared" si="15"/>
        <v>0</v>
      </c>
      <c r="AK22" s="368">
        <f>CZK_DATA!Z22</f>
        <v>1.1000000000000001E-3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D22" s="368"/>
      <c r="BE22" s="5"/>
      <c r="BF22" s="5"/>
      <c r="BG22" s="5"/>
      <c r="BH22" s="5"/>
      <c r="BI22" s="50"/>
      <c r="BJ22" s="222" t="s">
        <v>805</v>
      </c>
      <c r="BK22" s="216" t="b">
        <v>1</v>
      </c>
      <c r="BL22" s="53"/>
      <c r="BN22" t="s">
        <v>308</v>
      </c>
      <c r="BO22" s="358">
        <f>BR22+BQ22/10000</f>
        <v>-4.8039030197254209E-3</v>
      </c>
      <c r="BP22" s="5" t="b">
        <v>1</v>
      </c>
      <c r="BQ22" s="5">
        <f>$BQ$4</f>
        <v>0</v>
      </c>
      <c r="BR22" s="368">
        <f>CZK_DATA!AR23/10000</f>
        <v>-4.8039030197254209E-3</v>
      </c>
      <c r="BT22" s="50"/>
      <c r="BU22" s="149" t="s">
        <v>707</v>
      </c>
      <c r="BV22" s="223" t="s">
        <v>687</v>
      </c>
      <c r="BW22" s="52"/>
      <c r="BX22" s="299"/>
      <c r="BY22" s="25" t="s">
        <v>331</v>
      </c>
      <c r="BZ22" s="297">
        <f>CZK_DATA!AW29</f>
        <v>-152</v>
      </c>
      <c r="CA22" s="297">
        <f>CZK_DATA!AX29</f>
        <v>-81</v>
      </c>
      <c r="CO22" s="383"/>
      <c r="CP22" s="507"/>
      <c r="CQ22" s="507"/>
      <c r="CR22" s="507"/>
      <c r="CS22" s="507"/>
      <c r="CU22" s="193"/>
      <c r="CV22" s="193"/>
    </row>
    <row r="23" spans="6:102" x14ac:dyDescent="0.25">
      <c r="F23" s="50"/>
      <c r="G23" s="220" t="s">
        <v>677</v>
      </c>
      <c r="H23" s="221" t="str">
        <f>INDEX('STATIC DATA'!C43:AB43,1,MATCH($A$1,'STATIC DATA'!$C$4:$AB$4,0))</f>
        <v>PRB</v>
      </c>
      <c r="I23" s="53"/>
      <c r="K23" t="s">
        <v>364</v>
      </c>
      <c r="L23" s="357">
        <f t="shared" si="3"/>
        <v>2.9199999999999999E-3</v>
      </c>
      <c r="M23" s="5" t="b">
        <v>1</v>
      </c>
      <c r="N23" s="5">
        <f t="shared" si="4"/>
        <v>0</v>
      </c>
      <c r="O23" s="358">
        <f>CZK_DATA!M24</f>
        <v>2.9199999999999999E-3</v>
      </c>
      <c r="Q23" s="50"/>
      <c r="R23" s="222" t="s">
        <v>722</v>
      </c>
      <c r="S23" s="223" t="b">
        <v>0</v>
      </c>
      <c r="T23" s="53"/>
      <c r="V23" s="620" t="s">
        <v>355</v>
      </c>
      <c r="W23" s="657">
        <f t="shared" si="16"/>
        <v>0</v>
      </c>
      <c r="X23" s="620" t="b">
        <v>1</v>
      </c>
      <c r="Z23" s="656">
        <v>0</v>
      </c>
      <c r="AA23" s="203"/>
      <c r="AB23" s="50"/>
      <c r="AC23" s="85" t="s">
        <v>713</v>
      </c>
      <c r="AD23" s="85" t="s">
        <v>713</v>
      </c>
      <c r="AE23" s="53"/>
      <c r="AG23" t="s">
        <v>364</v>
      </c>
      <c r="AH23" s="358">
        <f t="shared" si="14"/>
        <v>1.2750000000000001E-3</v>
      </c>
      <c r="AI23" s="5" t="b">
        <v>1</v>
      </c>
      <c r="AJ23" s="5">
        <f t="shared" si="15"/>
        <v>0</v>
      </c>
      <c r="AK23" s="368">
        <f>CZK_DATA!Z23</f>
        <v>1.2750000000000001E-3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D23" s="368"/>
      <c r="BE23" s="5"/>
      <c r="BF23" s="5"/>
      <c r="BG23" s="5"/>
      <c r="BH23" s="5"/>
      <c r="BI23" s="50"/>
      <c r="BJ23" s="234" t="s">
        <v>806</v>
      </c>
      <c r="BK23" s="232" t="b">
        <v>1</v>
      </c>
      <c r="BL23" s="53"/>
      <c r="BN23" t="s">
        <v>316</v>
      </c>
      <c r="BO23" s="358">
        <f t="shared" ref="BO23:BO33" si="18">BR23+BQ23/10000</f>
        <v>-4.8975512634588042E-3</v>
      </c>
      <c r="BP23" s="5" t="b">
        <v>1</v>
      </c>
      <c r="BQ23" s="5">
        <f t="shared" ref="BQ23:BQ33" si="19">$BQ$4</f>
        <v>0</v>
      </c>
      <c r="BR23" s="368">
        <f>CZK_DATA!AR24/10000</f>
        <v>-4.8975512634588042E-3</v>
      </c>
      <c r="BT23" s="50"/>
      <c r="BU23" s="149" t="s">
        <v>689</v>
      </c>
      <c r="BV23" s="223" t="b">
        <v>1</v>
      </c>
      <c r="BW23" s="52"/>
      <c r="BX23" s="299"/>
      <c r="BY23" s="25"/>
      <c r="BZ23" s="297"/>
      <c r="CA23" s="297"/>
      <c r="CO23" s="383"/>
      <c r="CP23" s="507"/>
      <c r="CQ23" s="507"/>
      <c r="CR23" s="507"/>
      <c r="CS23" s="507"/>
      <c r="CU23" s="193"/>
      <c r="CV23" s="193"/>
    </row>
    <row r="24" spans="6:102" x14ac:dyDescent="0.25">
      <c r="F24" s="50"/>
      <c r="G24" s="222" t="s">
        <v>678</v>
      </c>
      <c r="H24" s="223" t="str">
        <f>INDEX('STATIC DATA'!C59:AB59,1,MATCH($A$1,'STATIC DATA'!C4:AB4,0))</f>
        <v>ACT/360</v>
      </c>
      <c r="I24" s="53"/>
      <c r="K24" t="s">
        <v>349</v>
      </c>
      <c r="L24" s="357">
        <f t="shared" si="3"/>
        <v>3.4099999999999998E-3</v>
      </c>
      <c r="M24" s="5" t="b">
        <v>1</v>
      </c>
      <c r="N24" s="5">
        <f t="shared" si="4"/>
        <v>0</v>
      </c>
      <c r="O24" s="358">
        <f>CZK_DATA!M25</f>
        <v>3.4099999999999998E-3</v>
      </c>
      <c r="Q24" s="50"/>
      <c r="R24" s="222" t="s">
        <v>723</v>
      </c>
      <c r="S24" s="223" t="s">
        <v>718</v>
      </c>
      <c r="T24" s="53"/>
      <c r="V24" s="620" t="s">
        <v>364</v>
      </c>
      <c r="W24" s="657">
        <f t="shared" si="16"/>
        <v>0</v>
      </c>
      <c r="X24" s="620" t="b">
        <v>1</v>
      </c>
      <c r="Z24" s="656">
        <v>0</v>
      </c>
      <c r="AA24" s="203"/>
      <c r="AB24" s="50"/>
      <c r="AC24" s="54" t="s">
        <v>726</v>
      </c>
      <c r="AD24" s="52" t="s">
        <v>713</v>
      </c>
      <c r="AE24" s="53"/>
      <c r="AG24" t="s">
        <v>349</v>
      </c>
      <c r="AH24" s="358">
        <f t="shared" si="14"/>
        <v>1.4250000000000001E-3</v>
      </c>
      <c r="AI24" s="5" t="b">
        <v>1</v>
      </c>
      <c r="AJ24" s="5">
        <f t="shared" si="15"/>
        <v>0</v>
      </c>
      <c r="AK24" s="368">
        <f>CZK_DATA!Z24</f>
        <v>1.4250000000000001E-3</v>
      </c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D24" s="368"/>
      <c r="BE24" s="5"/>
      <c r="BF24" s="5"/>
      <c r="BG24" s="5"/>
      <c r="BH24" s="5"/>
      <c r="BI24" s="50"/>
      <c r="BJ24" s="85"/>
      <c r="BK24" s="85"/>
      <c r="BL24" s="53"/>
      <c r="BN24" t="s">
        <v>324</v>
      </c>
      <c r="BO24" s="358">
        <f t="shared" si="18"/>
        <v>-4.921097045142717E-3</v>
      </c>
      <c r="BP24" s="5" t="b">
        <v>1</v>
      </c>
      <c r="BQ24" s="5">
        <f t="shared" si="19"/>
        <v>0</v>
      </c>
      <c r="BR24" s="368">
        <f>CZK_DATA!AR25/10000</f>
        <v>-4.921097045142717E-3</v>
      </c>
      <c r="BT24" s="50"/>
      <c r="BU24" s="149" t="s">
        <v>688</v>
      </c>
      <c r="BV24" s="223">
        <v>31</v>
      </c>
      <c r="BW24" s="52"/>
      <c r="BX24" s="299"/>
      <c r="CO24" s="383"/>
      <c r="CP24" s="507"/>
      <c r="CQ24" s="507"/>
      <c r="CR24" s="507"/>
      <c r="CS24" s="507"/>
      <c r="CU24" s="193"/>
      <c r="CV24" s="193"/>
    </row>
    <row r="25" spans="6:102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358</v>
      </c>
      <c r="L25" s="357">
        <f t="shared" si="3"/>
        <v>4.3299999999999996E-3</v>
      </c>
      <c r="M25" s="5" t="b">
        <v>1</v>
      </c>
      <c r="N25" s="5">
        <f t="shared" si="4"/>
        <v>0</v>
      </c>
      <c r="O25" s="358">
        <f>CZK_DATA!M26</f>
        <v>4.3299999999999996E-3</v>
      </c>
      <c r="Q25" s="50"/>
      <c r="R25" s="234" t="s">
        <v>724</v>
      </c>
      <c r="S25" s="232" t="s">
        <v>426</v>
      </c>
      <c r="T25" s="53"/>
      <c r="V25" s="620" t="s">
        <v>349</v>
      </c>
      <c r="W25" s="657">
        <f t="shared" si="16"/>
        <v>0</v>
      </c>
      <c r="X25" s="620" t="b">
        <v>1</v>
      </c>
      <c r="Z25" s="656">
        <v>0</v>
      </c>
      <c r="AA25" s="203"/>
      <c r="AB25" s="50"/>
      <c r="AC25" s="220" t="s">
        <v>677</v>
      </c>
      <c r="AD25" s="221" t="str">
        <f>INDEX('STATIC DATA'!C43:AB43,1,MATCH($A$1,'STATIC DATA'!$C$4:$AB$4,0))</f>
        <v>PRB</v>
      </c>
      <c r="AE25" s="53"/>
      <c r="AG25" t="s">
        <v>358</v>
      </c>
      <c r="AH25" s="358">
        <f t="shared" si="14"/>
        <v>1.5250000000000001E-3</v>
      </c>
      <c r="AI25" s="5" t="b">
        <v>1</v>
      </c>
      <c r="AJ25" s="5">
        <f t="shared" si="15"/>
        <v>0</v>
      </c>
      <c r="AK25" s="368">
        <f>CZK_DATA!Z25</f>
        <v>1.5250000000000001E-3</v>
      </c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D25" s="368"/>
      <c r="BE25" s="5"/>
      <c r="BF25" s="5"/>
      <c r="BG25" s="5"/>
      <c r="BH25" s="5"/>
      <c r="BI25" s="50"/>
      <c r="BJ25" s="85"/>
      <c r="BK25" s="85"/>
      <c r="BL25" s="53"/>
      <c r="BN25" t="s">
        <v>331</v>
      </c>
      <c r="BO25" s="358">
        <f t="shared" si="18"/>
        <v>-4.859639437490495E-3</v>
      </c>
      <c r="BP25" s="5" t="b">
        <v>1</v>
      </c>
      <c r="BQ25" s="5">
        <f t="shared" si="19"/>
        <v>0</v>
      </c>
      <c r="BR25" s="368">
        <f>CZK_DATA!AR26/10000</f>
        <v>-4.859639437490495E-3</v>
      </c>
      <c r="BT25" s="50"/>
      <c r="BU25" s="151" t="s">
        <v>819</v>
      </c>
      <c r="BV25" s="226" t="b">
        <v>0</v>
      </c>
      <c r="BW25" s="52"/>
      <c r="BX25" s="299"/>
      <c r="CO25" s="383"/>
      <c r="CP25" s="507"/>
      <c r="CQ25" s="507"/>
      <c r="CR25" s="507"/>
      <c r="CS25" s="507"/>
      <c r="CU25" s="193"/>
      <c r="CV25" s="193"/>
    </row>
    <row r="26" spans="6:102" x14ac:dyDescent="0.25">
      <c r="F26" s="50"/>
      <c r="G26" s="222" t="s">
        <v>681</v>
      </c>
      <c r="H26" s="223" t="s">
        <v>682</v>
      </c>
      <c r="I26" s="53"/>
      <c r="K26" t="s">
        <v>367</v>
      </c>
      <c r="L26" s="357">
        <f t="shared" si="3"/>
        <v>5.45E-3</v>
      </c>
      <c r="M26" s="5" t="b">
        <v>1</v>
      </c>
      <c r="N26" s="5">
        <f t="shared" si="4"/>
        <v>0</v>
      </c>
      <c r="O26" s="358">
        <f>CZK_DATA!M27</f>
        <v>5.45E-3</v>
      </c>
      <c r="Q26" s="50"/>
      <c r="R26" s="222" t="s">
        <v>1146</v>
      </c>
      <c r="S26" s="209" t="b">
        <v>1</v>
      </c>
      <c r="T26" s="53"/>
      <c r="V26" s="620" t="s">
        <v>358</v>
      </c>
      <c r="W26" s="657">
        <f t="shared" si="16"/>
        <v>0</v>
      </c>
      <c r="X26" s="620" t="b">
        <v>1</v>
      </c>
      <c r="Z26" s="656">
        <v>0</v>
      </c>
      <c r="AA26" s="203"/>
      <c r="AB26" s="50"/>
      <c r="AC26" s="222" t="s">
        <v>678</v>
      </c>
      <c r="AD26" s="223" t="str">
        <f>INDEX('STATIC DATA'!C55:AB55,1,MATCH($A$1,'STATIC DATA'!C4:AB4,0))</f>
        <v>ACT/360</v>
      </c>
      <c r="AE26" s="53"/>
      <c r="AG26" t="s">
        <v>367</v>
      </c>
      <c r="AH26" s="358">
        <f t="shared" si="14"/>
        <v>1.31E-3</v>
      </c>
      <c r="AI26" s="5" t="b">
        <v>1</v>
      </c>
      <c r="AJ26" s="5">
        <f t="shared" si="15"/>
        <v>0</v>
      </c>
      <c r="AK26" s="368">
        <f>CZK_DATA!Z26</f>
        <v>1.31E-3</v>
      </c>
      <c r="AM26" s="50"/>
      <c r="AN26" s="54" t="s">
        <v>467</v>
      </c>
      <c r="AO26" s="85" t="s">
        <v>713</v>
      </c>
      <c r="AP26" s="53"/>
      <c r="AX26" s="50"/>
      <c r="AY26" s="54" t="s">
        <v>726</v>
      </c>
      <c r="AZ26" s="52" t="s">
        <v>713</v>
      </c>
      <c r="BA26" s="53"/>
      <c r="BD26" s="368"/>
      <c r="BE26" s="5"/>
      <c r="BF26" s="5"/>
      <c r="BG26" s="5"/>
      <c r="BH26" s="5"/>
      <c r="BI26" s="50"/>
      <c r="BJ26" s="54" t="s">
        <v>807</v>
      </c>
      <c r="BK26" s="85"/>
      <c r="BL26" s="53"/>
      <c r="BN26" t="s">
        <v>339</v>
      </c>
      <c r="BO26" s="358">
        <f t="shared" si="18"/>
        <v>-4.863202236231109E-3</v>
      </c>
      <c r="BP26" s="5" t="b">
        <v>1</v>
      </c>
      <c r="BQ26" s="5">
        <f t="shared" si="19"/>
        <v>0</v>
      </c>
      <c r="BR26" s="368">
        <f>CZK_DATA!AR27/10000</f>
        <v>-4.863202236231109E-3</v>
      </c>
      <c r="BT26" s="50"/>
      <c r="BU26" s="52"/>
      <c r="BV26" s="52"/>
      <c r="BW26" s="52"/>
      <c r="BX26" s="299"/>
      <c r="CD26" s="442" t="s">
        <v>1084</v>
      </c>
      <c r="CE26" t="s">
        <v>713</v>
      </c>
      <c r="CJ26" s="442" t="s">
        <v>1084</v>
      </c>
      <c r="CK26" t="s">
        <v>713</v>
      </c>
      <c r="CO26" s="383"/>
      <c r="CP26" s="507"/>
      <c r="CQ26" s="507"/>
      <c r="CR26" s="507"/>
      <c r="CS26" s="507"/>
      <c r="CU26" s="193"/>
      <c r="CV26" s="193"/>
    </row>
    <row r="27" spans="6:102" x14ac:dyDescent="0.25">
      <c r="F27" s="50"/>
      <c r="G27" s="222" t="s">
        <v>683</v>
      </c>
      <c r="H27" s="223" t="s">
        <v>5</v>
      </c>
      <c r="I27" s="53"/>
      <c r="K27" t="s">
        <v>374</v>
      </c>
      <c r="L27" s="357">
        <f t="shared" si="3"/>
        <v>6.3400000000000001E-3</v>
      </c>
      <c r="M27" s="5" t="b">
        <v>1</v>
      </c>
      <c r="N27" s="5">
        <f t="shared" si="4"/>
        <v>0</v>
      </c>
      <c r="O27" s="358">
        <f>CZK_DATA!M28</f>
        <v>6.3400000000000001E-3</v>
      </c>
      <c r="Q27" s="50"/>
      <c r="R27" s="222" t="s">
        <v>1147</v>
      </c>
      <c r="S27" s="209" t="s">
        <v>745</v>
      </c>
      <c r="T27" s="53"/>
      <c r="V27" s="620" t="s">
        <v>367</v>
      </c>
      <c r="W27" s="657">
        <f t="shared" si="16"/>
        <v>0</v>
      </c>
      <c r="X27" s="620" t="b">
        <v>1</v>
      </c>
      <c r="Z27" s="656">
        <v>0</v>
      </c>
      <c r="AA27" s="203"/>
      <c r="AB27" s="50"/>
      <c r="AC27" s="225" t="s">
        <v>686</v>
      </c>
      <c r="AD27" s="226" t="s">
        <v>728</v>
      </c>
      <c r="AE27" s="53"/>
      <c r="AG27" t="s">
        <v>374</v>
      </c>
      <c r="AH27" s="358">
        <f t="shared" si="14"/>
        <v>1.2099999999999999E-3</v>
      </c>
      <c r="AI27" s="5" t="b">
        <v>1</v>
      </c>
      <c r="AJ27" s="5">
        <f t="shared" si="15"/>
        <v>0</v>
      </c>
      <c r="AK27" s="368">
        <f>CZK_DATA!Z27</f>
        <v>1.2099999999999999E-3</v>
      </c>
      <c r="AM27" s="50"/>
      <c r="AN27" s="245" t="s">
        <v>749</v>
      </c>
      <c r="AO27" s="243" t="s">
        <v>798</v>
      </c>
      <c r="AP27" s="53"/>
      <c r="AX27" s="50"/>
      <c r="AY27" s="220" t="s">
        <v>677</v>
      </c>
      <c r="AZ27" s="221" t="str">
        <f>INDEX('STATIC DATA'!C43:AB43,1,MATCH($A$1,'STATIC DATA'!$C$4:$AB$4,0))</f>
        <v>PRB</v>
      </c>
      <c r="BA27" s="53"/>
      <c r="BD27" s="368"/>
      <c r="BE27" s="5"/>
      <c r="BF27" s="5"/>
      <c r="BG27" s="5"/>
      <c r="BH27" s="5"/>
      <c r="BI27" s="50"/>
      <c r="BJ27" s="245" t="s">
        <v>749</v>
      </c>
      <c r="BK27" s="243" t="s">
        <v>803</v>
      </c>
      <c r="BL27" s="53"/>
      <c r="BN27" t="s">
        <v>342</v>
      </c>
      <c r="BO27" s="358">
        <f t="shared" si="18"/>
        <v>-4.8875124398300024E-3</v>
      </c>
      <c r="BP27" s="5" t="b">
        <v>1</v>
      </c>
      <c r="BQ27" s="5">
        <f t="shared" si="19"/>
        <v>0</v>
      </c>
      <c r="BR27" s="368">
        <f>CZK_DATA!AR28/10000</f>
        <v>-4.8875124398300024E-3</v>
      </c>
      <c r="BT27" s="50"/>
      <c r="BU27" s="52"/>
      <c r="BV27" s="52"/>
      <c r="BW27" s="52"/>
      <c r="BX27" s="299"/>
      <c r="CD27" s="57" t="s">
        <v>1085</v>
      </c>
      <c r="CE27" s="57" t="s">
        <v>1093</v>
      </c>
      <c r="CJ27" s="57" t="s">
        <v>1085</v>
      </c>
      <c r="CK27" s="57" t="s">
        <v>1128</v>
      </c>
      <c r="CO27" s="383"/>
      <c r="CP27" s="507"/>
      <c r="CQ27" s="507"/>
      <c r="CR27" s="507"/>
      <c r="CS27" s="507"/>
      <c r="CU27" s="193"/>
      <c r="CV27" s="193"/>
    </row>
    <row r="28" spans="6:102" x14ac:dyDescent="0.25">
      <c r="F28" s="50"/>
      <c r="G28" s="222" t="s">
        <v>684</v>
      </c>
      <c r="H28" s="223" t="s">
        <v>685</v>
      </c>
      <c r="I28" s="53"/>
      <c r="K28" t="s">
        <v>382</v>
      </c>
      <c r="L28" s="357">
        <f t="shared" si="3"/>
        <v>6.4200000000000004E-3</v>
      </c>
      <c r="M28" s="5" t="b">
        <v>1</v>
      </c>
      <c r="N28" s="5">
        <f t="shared" si="4"/>
        <v>0</v>
      </c>
      <c r="O28" s="358">
        <f>CZK_DATA!M29</f>
        <v>6.4200000000000004E-3</v>
      </c>
      <c r="Q28" s="50"/>
      <c r="R28" s="52" t="s">
        <v>713</v>
      </c>
      <c r="S28" s="52" t="s">
        <v>713</v>
      </c>
      <c r="T28" s="53"/>
      <c r="V28" s="620" t="s">
        <v>374</v>
      </c>
      <c r="W28" s="657">
        <f t="shared" si="16"/>
        <v>0</v>
      </c>
      <c r="X28" s="620" t="b">
        <v>1</v>
      </c>
      <c r="Z28" s="656">
        <v>0</v>
      </c>
      <c r="AA28" s="203"/>
      <c r="AB28" s="50"/>
      <c r="AC28" s="52" t="s">
        <v>713</v>
      </c>
      <c r="AD28" s="52" t="s">
        <v>713</v>
      </c>
      <c r="AE28" s="53"/>
      <c r="AH28" s="358"/>
      <c r="AI28" s="5"/>
      <c r="AJ28" s="5"/>
      <c r="AK28" s="368"/>
      <c r="AM28" s="50"/>
      <c r="AN28" s="233" t="s">
        <v>750</v>
      </c>
      <c r="AO28" s="230" t="s">
        <v>720</v>
      </c>
      <c r="AP28" s="53"/>
      <c r="AX28" s="50"/>
      <c r="AY28" s="222" t="s">
        <v>678</v>
      </c>
      <c r="AZ28" s="223" t="str">
        <f>INDEX('STATIC DATA'!C55:AB55,1,MATCH($A$1,'STATIC DATA'!C4:AB4,0))</f>
        <v>ACT/360</v>
      </c>
      <c r="BA28" s="53"/>
      <c r="BD28" s="368"/>
      <c r="BE28" s="5"/>
      <c r="BF28" s="5"/>
      <c r="BG28" s="5"/>
      <c r="BH28" s="5"/>
      <c r="BI28" s="50"/>
      <c r="BJ28" s="233" t="s">
        <v>750</v>
      </c>
      <c r="BK28" s="230" t="b">
        <v>0</v>
      </c>
      <c r="BL28" s="53"/>
      <c r="BN28" t="s">
        <v>355</v>
      </c>
      <c r="BO28" s="358">
        <f t="shared" si="18"/>
        <v>-4.857683428107845E-3</v>
      </c>
      <c r="BP28" s="5" t="b">
        <v>1</v>
      </c>
      <c r="BQ28" s="5">
        <f t="shared" si="19"/>
        <v>0</v>
      </c>
      <c r="BR28" s="368">
        <f>CZK_DATA!AR29/10000</f>
        <v>-4.857683428107845E-3</v>
      </c>
      <c r="BT28" s="50"/>
      <c r="BU28" s="52"/>
      <c r="BV28" s="52"/>
      <c r="BW28" s="52"/>
      <c r="BX28" s="299"/>
      <c r="CD28" s="57" t="s">
        <v>1086</v>
      </c>
      <c r="CE28" s="57" t="s">
        <v>1089</v>
      </c>
      <c r="CJ28" s="57" t="s">
        <v>1086</v>
      </c>
      <c r="CK28" s="57" t="s">
        <v>1129</v>
      </c>
      <c r="CO28" s="383"/>
      <c r="CP28" s="507"/>
      <c r="CQ28" s="507"/>
      <c r="CR28" s="507"/>
      <c r="CS28" s="507"/>
      <c r="CU28" s="193"/>
      <c r="CV28" s="193"/>
    </row>
    <row r="29" spans="6:102" x14ac:dyDescent="0.25">
      <c r="F29" s="50"/>
      <c r="G29" s="222" t="s">
        <v>686</v>
      </c>
      <c r="H29" s="223" t="s">
        <v>687</v>
      </c>
      <c r="I29" s="53"/>
      <c r="K29" t="s">
        <v>389</v>
      </c>
      <c r="L29" s="357">
        <f t="shared" si="3"/>
        <v>6.2100000000000002E-3</v>
      </c>
      <c r="M29" s="5" t="b">
        <v>1</v>
      </c>
      <c r="N29" s="5">
        <f t="shared" si="4"/>
        <v>0</v>
      </c>
      <c r="O29" s="358">
        <f>CZK_DATA!M30</f>
        <v>6.2100000000000002E-3</v>
      </c>
      <c r="Q29" s="50"/>
      <c r="R29" s="54" t="s">
        <v>726</v>
      </c>
      <c r="S29" s="52" t="s">
        <v>713</v>
      </c>
      <c r="T29" s="53"/>
      <c r="V29" t="s">
        <v>47</v>
      </c>
      <c r="W29" s="204">
        <f t="shared" si="0"/>
        <v>3.6249999999999998E-3</v>
      </c>
      <c r="X29" t="b">
        <v>1</v>
      </c>
      <c r="Y29" s="5">
        <f t="shared" si="5"/>
        <v>0</v>
      </c>
      <c r="Z29" s="203">
        <f>CZK_DATA!U17</f>
        <v>3.6249999999999998E-3</v>
      </c>
      <c r="AA29" s="203"/>
      <c r="AB29" s="50"/>
      <c r="AC29" s="54" t="s">
        <v>460</v>
      </c>
      <c r="AD29" s="52" t="s">
        <v>713</v>
      </c>
      <c r="AE29" s="53"/>
      <c r="AH29" s="358"/>
      <c r="AI29" s="5"/>
      <c r="AJ29" s="5"/>
      <c r="AK29" s="368"/>
      <c r="AM29" s="50"/>
      <c r="AN29" s="222" t="s">
        <v>751</v>
      </c>
      <c r="AO29" s="216" t="s">
        <v>608</v>
      </c>
      <c r="AP29" s="53"/>
      <c r="AX29" s="50"/>
      <c r="AY29" s="225" t="s">
        <v>686</v>
      </c>
      <c r="AZ29" s="226" t="s">
        <v>728</v>
      </c>
      <c r="BA29" s="53"/>
      <c r="BD29" s="368"/>
      <c r="BE29" s="5"/>
      <c r="BF29" s="5"/>
      <c r="BG29" s="5"/>
      <c r="BH29" s="5"/>
      <c r="BI29" s="50"/>
      <c r="BJ29" s="222" t="s">
        <v>751</v>
      </c>
      <c r="BK29" s="216" t="str">
        <f>INDEX('STATIC DATA'!C30:AB30,1,MATCH($A$1,'STATIC DATA'!$C$4:$AB$4,0))</f>
        <v>PRB:TGT:LNB</v>
      </c>
      <c r="BL29" s="53"/>
      <c r="BN29" t="s">
        <v>364</v>
      </c>
      <c r="BO29" s="358">
        <f t="shared" si="18"/>
        <v>-4.8598141888021983E-3</v>
      </c>
      <c r="BP29" s="5" t="b">
        <v>1</v>
      </c>
      <c r="BQ29" s="5">
        <f t="shared" si="19"/>
        <v>0</v>
      </c>
      <c r="BR29" s="368">
        <f>CZK_DATA!AR30/10000</f>
        <v>-4.8598141888021983E-3</v>
      </c>
      <c r="BT29" s="50"/>
      <c r="BU29" s="52"/>
      <c r="BV29" s="52"/>
      <c r="BW29" s="55"/>
      <c r="BX29" s="332"/>
      <c r="CD29" s="57" t="s">
        <v>1087</v>
      </c>
      <c r="CE29" s="57" t="s">
        <v>1338</v>
      </c>
      <c r="CJ29" s="57" t="s">
        <v>1087</v>
      </c>
      <c r="CK29" s="57" t="s">
        <v>1338</v>
      </c>
      <c r="CO29" s="383"/>
      <c r="CP29" s="507"/>
      <c r="CQ29" s="507"/>
      <c r="CR29" s="507"/>
      <c r="CS29" s="507"/>
      <c r="CU29" s="193"/>
      <c r="CV29" s="193"/>
    </row>
    <row r="30" spans="6:102" x14ac:dyDescent="0.25">
      <c r="F30" s="50"/>
      <c r="G30" s="222" t="s">
        <v>688</v>
      </c>
      <c r="H30" s="216">
        <v>31</v>
      </c>
      <c r="I30" s="53"/>
      <c r="K30" t="s">
        <v>445</v>
      </c>
      <c r="L30" s="357">
        <f t="shared" si="3"/>
        <v>5.8199999999999997E-3</v>
      </c>
      <c r="M30" s="5" t="b">
        <v>1</v>
      </c>
      <c r="N30" s="5">
        <f t="shared" si="4"/>
        <v>0</v>
      </c>
      <c r="O30" s="358">
        <f>CZK_DATA!M31</f>
        <v>5.8199999999999997E-3</v>
      </c>
      <c r="Q30" s="50"/>
      <c r="R30" s="220" t="s">
        <v>677</v>
      </c>
      <c r="S30" s="221" t="str">
        <f>INDEX('STATIC DATA'!C43:AB43,1,MATCH($A$1,'STATIC DATA'!$C$4:$AB$4,0))</f>
        <v>PRB</v>
      </c>
      <c r="T30" s="53"/>
      <c r="V30" t="s">
        <v>308</v>
      </c>
      <c r="W30" s="204">
        <f t="shared" si="0"/>
        <v>5.0249999999999991E-3</v>
      </c>
      <c r="X30" t="b">
        <v>1</v>
      </c>
      <c r="Y30" s="5">
        <f t="shared" si="5"/>
        <v>0</v>
      </c>
      <c r="Z30" s="203">
        <f>CZK_DATA!U18</f>
        <v>5.0249999999999991E-3</v>
      </c>
      <c r="AA30" s="203"/>
      <c r="AB30" s="50"/>
      <c r="AC30" s="220" t="s">
        <v>677</v>
      </c>
      <c r="AD30" s="221" t="str">
        <f>INDEX('STATIC DATA'!C43:AB43,1,MATCH($A$1,'STATIC DATA'!$C$4:$AB$4,0))</f>
        <v>PRB</v>
      </c>
      <c r="AE30" s="53"/>
      <c r="AH30" s="358"/>
      <c r="AI30" s="5"/>
      <c r="AJ30" s="5"/>
      <c r="AK30" s="368"/>
      <c r="AM30" s="50"/>
      <c r="AN30" s="222" t="s">
        <v>752</v>
      </c>
      <c r="AO30" s="216" t="s">
        <v>48</v>
      </c>
      <c r="AP30" s="53"/>
      <c r="AX30" s="50"/>
      <c r="AY30" s="52" t="s">
        <v>713</v>
      </c>
      <c r="AZ30" s="52" t="s">
        <v>713</v>
      </c>
      <c r="BA30" s="53"/>
      <c r="BD30" s="368"/>
      <c r="BE30" s="5"/>
      <c r="BF30" s="5"/>
      <c r="BG30" s="5"/>
      <c r="BH30" s="5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N30" t="s">
        <v>349</v>
      </c>
      <c r="BO30" s="358">
        <f t="shared" si="18"/>
        <v>-4.8488088238167375E-3</v>
      </c>
      <c r="BP30" s="5" t="b">
        <v>1</v>
      </c>
      <c r="BQ30" s="5">
        <f t="shared" si="19"/>
        <v>0</v>
      </c>
      <c r="BR30" s="368">
        <f>CZK_DATA!AR31/10000</f>
        <v>-4.8488088238167375E-3</v>
      </c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1338</v>
      </c>
      <c r="CJ30" s="57" t="s">
        <v>1088</v>
      </c>
      <c r="CK30" s="443" t="s">
        <v>1338</v>
      </c>
      <c r="CO30" s="383"/>
      <c r="CP30" s="507"/>
      <c r="CQ30" s="507"/>
      <c r="CR30" s="507"/>
      <c r="CS30" s="507"/>
      <c r="CU30" s="193"/>
      <c r="CV30" s="193"/>
    </row>
    <row r="31" spans="6:102" x14ac:dyDescent="0.25">
      <c r="F31" s="50"/>
      <c r="G31" s="222" t="s">
        <v>689</v>
      </c>
      <c r="H31" s="224" t="b">
        <v>1</v>
      </c>
      <c r="I31" s="53"/>
      <c r="K31" t="s">
        <v>448</v>
      </c>
      <c r="L31" s="357">
        <f t="shared" si="3"/>
        <v>5.4599999999999996E-3</v>
      </c>
      <c r="M31" s="5" t="b">
        <v>1</v>
      </c>
      <c r="N31" s="5">
        <f t="shared" si="4"/>
        <v>0</v>
      </c>
      <c r="O31" s="358">
        <f>CZK_DATA!M32</f>
        <v>5.4599999999999996E-3</v>
      </c>
      <c r="Q31" s="50"/>
      <c r="R31" s="222" t="s">
        <v>678</v>
      </c>
      <c r="S31" s="223" t="str">
        <f>INDEX('STATIC DATA'!C55:AB55,1,MATCH($A$1,'STATIC DATA'!C4:AB4,0))</f>
        <v>ACT/360</v>
      </c>
      <c r="T31" s="53"/>
      <c r="V31" t="s">
        <v>316</v>
      </c>
      <c r="W31" s="204">
        <f t="shared" si="0"/>
        <v>6.0999999999999995E-3</v>
      </c>
      <c r="X31" t="b">
        <v>1</v>
      </c>
      <c r="Y31" s="5">
        <f t="shared" si="5"/>
        <v>0</v>
      </c>
      <c r="Z31" s="203">
        <f>CZK_DATA!U19</f>
        <v>6.0999999999999995E-3</v>
      </c>
      <c r="AA31" s="203"/>
      <c r="AB31" s="50"/>
      <c r="AC31" s="222" t="s">
        <v>678</v>
      </c>
      <c r="AD31" s="223" t="str">
        <f>INDEX('STATIC DATA'!C55:AB55,1,MATCH($A$1,'STATIC DATA'!C4:AB4,0))</f>
        <v>ACT/360</v>
      </c>
      <c r="AE31" s="53"/>
      <c r="AH31" s="358"/>
      <c r="AI31" s="5"/>
      <c r="AJ31" s="5"/>
      <c r="AK31" s="368"/>
      <c r="AM31" s="50"/>
      <c r="AN31" s="225" t="s">
        <v>753</v>
      </c>
      <c r="AO31" s="219" t="s">
        <v>680</v>
      </c>
      <c r="AP31" s="53"/>
      <c r="AX31" s="50"/>
      <c r="AY31" s="54" t="s">
        <v>460</v>
      </c>
      <c r="AZ31" s="52" t="s">
        <v>713</v>
      </c>
      <c r="BA31" s="53"/>
      <c r="BD31" s="368"/>
      <c r="BE31" s="5"/>
      <c r="BF31" s="5"/>
      <c r="BG31" s="5"/>
      <c r="BH31" s="5"/>
      <c r="BI31" s="50"/>
      <c r="BJ31" s="225" t="s">
        <v>753</v>
      </c>
      <c r="BK31" s="219" t="s">
        <v>458</v>
      </c>
      <c r="BL31" s="249"/>
      <c r="BN31" t="s">
        <v>358</v>
      </c>
      <c r="BO31" s="358">
        <f t="shared" si="18"/>
        <v>-4.6673580016925488E-3</v>
      </c>
      <c r="BP31" s="5" t="b">
        <v>1</v>
      </c>
      <c r="BQ31" s="5">
        <f t="shared" si="19"/>
        <v>0</v>
      </c>
      <c r="BR31" s="368">
        <f>CZK_DATA!AR32/10000</f>
        <v>-4.6673580016925488E-3</v>
      </c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O31" s="383"/>
      <c r="CP31" s="507"/>
      <c r="CQ31" s="507"/>
      <c r="CR31" s="507"/>
      <c r="CS31" s="507"/>
      <c r="CU31" s="193"/>
      <c r="CV31" s="193"/>
    </row>
    <row r="32" spans="6:102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225" t="s">
        <v>686</v>
      </c>
      <c r="S32" s="226" t="s">
        <v>728</v>
      </c>
      <c r="T32" s="53"/>
      <c r="V32" t="s">
        <v>324</v>
      </c>
      <c r="W32" s="204">
        <f t="shared" si="0"/>
        <v>7.0999999999999995E-3</v>
      </c>
      <c r="X32" t="b">
        <v>1</v>
      </c>
      <c r="Y32" s="5">
        <f t="shared" si="5"/>
        <v>0</v>
      </c>
      <c r="Z32" s="203">
        <f>CZK_DATA!U20</f>
        <v>7.0999999999999995E-3</v>
      </c>
      <c r="AA32" s="203"/>
      <c r="AB32" s="50"/>
      <c r="AC32" s="222" t="s">
        <v>679</v>
      </c>
      <c r="AD32" s="223" t="s">
        <v>729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0" t="s">
        <v>677</v>
      </c>
      <c r="AZ32" s="221" t="str">
        <f>INDEX('STATIC DATA'!C43:AB43,1,MATCH($A$1,'STATIC DATA'!$C$4:$AB$4,0))</f>
        <v>PRB</v>
      </c>
      <c r="BA32" s="53"/>
      <c r="BD32" s="368"/>
      <c r="BE32" s="5"/>
      <c r="BF32" s="5"/>
      <c r="BG32" s="5"/>
      <c r="BH32" s="5"/>
      <c r="BI32" s="50"/>
      <c r="BJ32" s="222" t="s">
        <v>754</v>
      </c>
      <c r="BK32" s="216" t="s">
        <v>687</v>
      </c>
      <c r="BL32" s="53"/>
      <c r="BN32" t="s">
        <v>367</v>
      </c>
      <c r="BO32" s="358">
        <f t="shared" si="18"/>
        <v>-4.1698209796700711E-3</v>
      </c>
      <c r="BP32" s="5" t="b">
        <v>1</v>
      </c>
      <c r="BQ32" s="5">
        <f t="shared" si="19"/>
        <v>0</v>
      </c>
      <c r="BR32" s="368">
        <f>CZK_DATA!AR33/10000</f>
        <v>-4.1698209796700711E-3</v>
      </c>
      <c r="BT32" s="50"/>
      <c r="BU32" s="55"/>
      <c r="BV32" s="55"/>
      <c r="BW32" s="55"/>
      <c r="BX32" s="332"/>
      <c r="BY32" s="206"/>
      <c r="BZ32" s="206"/>
      <c r="CA32" s="299"/>
      <c r="CB32" s="299"/>
      <c r="CO32" s="383"/>
      <c r="CP32" s="507"/>
      <c r="CQ32" s="507"/>
      <c r="CR32" s="507"/>
      <c r="CS32" s="507"/>
      <c r="CU32" s="193"/>
      <c r="CV32" s="193"/>
    </row>
    <row r="33" spans="6:100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52" t="s">
        <v>713</v>
      </c>
      <c r="S33" s="52" t="s">
        <v>713</v>
      </c>
      <c r="T33" s="53"/>
      <c r="V33" t="s">
        <v>331</v>
      </c>
      <c r="W33" s="204">
        <f t="shared" si="0"/>
        <v>8.0000000000000002E-3</v>
      </c>
      <c r="X33" t="b">
        <v>1</v>
      </c>
      <c r="Y33" s="5">
        <f t="shared" si="5"/>
        <v>0</v>
      </c>
      <c r="Z33" s="203">
        <f>CZK_DATA!U21</f>
        <v>8.0000000000000002E-3</v>
      </c>
      <c r="AB33" s="50"/>
      <c r="AC33" s="222" t="s">
        <v>683</v>
      </c>
      <c r="AD33" s="223" t="str">
        <f>INDEX('STATIC DATA'!C7:AB7,1,MATCH($A$1,'STATIC DATA'!$C$4:$AB$4,0))</f>
        <v>2D</v>
      </c>
      <c r="AE33" s="53"/>
      <c r="AH33" s="5"/>
      <c r="AI33" s="5"/>
      <c r="AJ33" s="5"/>
      <c r="AK33" s="5"/>
      <c r="AM33" s="50"/>
      <c r="AN33" s="222" t="s">
        <v>755</v>
      </c>
      <c r="AO33" s="216">
        <v>0</v>
      </c>
      <c r="AP33" s="53"/>
      <c r="AX33" s="50"/>
      <c r="AY33" s="222" t="s">
        <v>678</v>
      </c>
      <c r="AZ33" s="223" t="str">
        <f>INDEX('STATIC DATA'!C55:AB55,1,MATCH($A$1,'STATIC DATA'!C4:AB4,0))</f>
        <v>ACT/360</v>
      </c>
      <c r="BA33" s="53"/>
      <c r="BD33" s="368"/>
      <c r="BE33" s="5"/>
      <c r="BF33" s="5"/>
      <c r="BG33" s="5"/>
      <c r="BH33" s="5"/>
      <c r="BI33" s="50"/>
      <c r="BJ33" s="222" t="s">
        <v>755</v>
      </c>
      <c r="BK33" s="216" t="str">
        <f>INDEX('STATIC DATA'!C7:AB7,1,MATCH($A$1,'STATIC DATA'!$C$4:$AB$4,0))</f>
        <v>2D</v>
      </c>
      <c r="BL33" s="53"/>
      <c r="BN33" t="s">
        <v>374</v>
      </c>
      <c r="BO33" s="358">
        <f t="shared" si="18"/>
        <v>-3.3837132617476288E-3</v>
      </c>
      <c r="BP33" s="5" t="b">
        <v>1</v>
      </c>
      <c r="BQ33" s="5">
        <f t="shared" si="19"/>
        <v>0</v>
      </c>
      <c r="BR33" s="368">
        <f>CZK_DATA!AR34/10000</f>
        <v>-3.3837132617476288E-3</v>
      </c>
      <c r="BT33" s="50"/>
      <c r="BU33" s="55"/>
      <c r="BV33" s="55"/>
      <c r="BW33" s="55"/>
      <c r="BX33" s="332"/>
      <c r="BY33" s="206"/>
      <c r="BZ33" s="206"/>
      <c r="CA33" s="305"/>
      <c r="CB33" s="299"/>
      <c r="CO33" s="383"/>
      <c r="CP33" s="507"/>
      <c r="CQ33" s="507"/>
      <c r="CR33" s="507"/>
      <c r="CS33" s="507"/>
      <c r="CU33" s="193"/>
      <c r="CV33" s="193"/>
    </row>
    <row r="34" spans="6:100" x14ac:dyDescent="0.25">
      <c r="F34" s="50"/>
      <c r="G34" s="222" t="s">
        <v>697</v>
      </c>
      <c r="H34" s="223">
        <v>1E-10</v>
      </c>
      <c r="I34" s="53"/>
      <c r="L34" s="5"/>
      <c r="M34" s="5"/>
      <c r="N34" s="5"/>
      <c r="O34" s="5"/>
      <c r="Q34" s="50"/>
      <c r="R34" s="54" t="s">
        <v>460</v>
      </c>
      <c r="S34" s="52" t="s">
        <v>713</v>
      </c>
      <c r="T34" s="53"/>
      <c r="V34" t="s">
        <v>339</v>
      </c>
      <c r="W34" s="204">
        <f t="shared" si="0"/>
        <v>8.6499999999999997E-3</v>
      </c>
      <c r="X34" t="b">
        <v>1</v>
      </c>
      <c r="Y34" s="5">
        <f t="shared" si="5"/>
        <v>0</v>
      </c>
      <c r="Z34" s="203">
        <f>CZK_DATA!U22</f>
        <v>8.6499999999999997E-3</v>
      </c>
      <c r="AB34" s="50"/>
      <c r="AC34" s="225" t="s">
        <v>686</v>
      </c>
      <c r="AD34" s="226" t="s">
        <v>687</v>
      </c>
      <c r="AE34" s="53"/>
      <c r="AH34" s="5"/>
      <c r="AI34" s="5"/>
      <c r="AJ34" s="5"/>
      <c r="AK34" s="5"/>
      <c r="AM34" s="50"/>
      <c r="AN34" s="234" t="s">
        <v>756</v>
      </c>
      <c r="AO34" s="247" t="s">
        <v>790</v>
      </c>
      <c r="AP34" s="249" t="s">
        <v>801</v>
      </c>
      <c r="AX34" s="50"/>
      <c r="AY34" s="222" t="s">
        <v>679</v>
      </c>
      <c r="AZ34" s="223" t="s">
        <v>729</v>
      </c>
      <c r="BA34" s="53"/>
      <c r="BD34" s="368"/>
      <c r="BE34" s="5"/>
      <c r="BF34" s="5"/>
      <c r="BG34" s="5"/>
      <c r="BI34" s="50"/>
      <c r="BJ34" s="234" t="s">
        <v>757</v>
      </c>
      <c r="BK34" s="260" t="s">
        <v>773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O34" s="383"/>
      <c r="CP34" s="507"/>
      <c r="CQ34" s="507"/>
      <c r="CR34" s="507"/>
      <c r="CS34" s="507"/>
      <c r="CU34" s="193"/>
      <c r="CV34" s="193"/>
    </row>
    <row r="35" spans="6:100" x14ac:dyDescent="0.25">
      <c r="F35" s="50"/>
      <c r="G35" s="222" t="s">
        <v>698</v>
      </c>
      <c r="H35" s="223">
        <v>1000</v>
      </c>
      <c r="I35" s="53"/>
      <c r="L35" s="5"/>
      <c r="M35" s="5"/>
      <c r="N35" s="5"/>
      <c r="O35" s="5"/>
      <c r="Q35" s="50"/>
      <c r="R35" s="220" t="s">
        <v>677</v>
      </c>
      <c r="S35" s="221" t="str">
        <f>INDEX('STATIC DATA'!C39:AB39,1,MATCH($A$1,'STATIC DATA'!$C$4:$AB$4,0))</f>
        <v>PRB</v>
      </c>
      <c r="T35" s="53"/>
      <c r="V35" t="s">
        <v>342</v>
      </c>
      <c r="W35" s="204">
        <f t="shared" si="0"/>
        <v>9.1500000000000001E-3</v>
      </c>
      <c r="X35" t="b">
        <v>1</v>
      </c>
      <c r="Y35" s="5">
        <f t="shared" si="5"/>
        <v>0</v>
      </c>
      <c r="Z35" s="203">
        <f>CZK_DATA!U23</f>
        <v>9.1500000000000001E-3</v>
      </c>
      <c r="AB35" s="50"/>
      <c r="AC35" s="52" t="s">
        <v>713</v>
      </c>
      <c r="AD35" s="52" t="s">
        <v>713</v>
      </c>
      <c r="AE35" s="53"/>
      <c r="AH35" s="5"/>
      <c r="AI35" s="5"/>
      <c r="AJ35" s="5"/>
      <c r="AK35" s="5"/>
      <c r="AM35" s="50"/>
      <c r="AN35" s="234" t="s">
        <v>757</v>
      </c>
      <c r="AO35" s="229" t="s">
        <v>790</v>
      </c>
      <c r="AP35" s="53"/>
      <c r="AX35" s="50"/>
      <c r="AY35" s="222" t="s">
        <v>683</v>
      </c>
      <c r="AZ35" s="223" t="str">
        <f>INDEX('STATIC DATA'!C7:AB7,1,MATCH($A$1,'STATIC DATA'!$C$4:$AB$4,0))</f>
        <v>2D</v>
      </c>
      <c r="BA35" s="53"/>
      <c r="BD35" s="368"/>
      <c r="BE35" s="5"/>
      <c r="BF35" s="5"/>
      <c r="BG35" s="5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O35" s="383"/>
      <c r="CP35" s="507"/>
      <c r="CQ35" s="507"/>
      <c r="CR35" s="507"/>
      <c r="CS35" s="507"/>
      <c r="CU35" s="193"/>
      <c r="CV35" s="193"/>
    </row>
    <row r="36" spans="6:100" x14ac:dyDescent="0.25">
      <c r="F36" s="50"/>
      <c r="G36" s="222" t="s">
        <v>699</v>
      </c>
      <c r="H36" s="223" t="s">
        <v>700</v>
      </c>
      <c r="I36" s="53"/>
      <c r="Q36" s="50"/>
      <c r="R36" s="222" t="s">
        <v>678</v>
      </c>
      <c r="S36" s="223" t="str">
        <f>INDEX('STATIC DATA'!C55:AB55,1,MATCH($A$1,'STATIC DATA'!C4:AB4,0))</f>
        <v>ACT/360</v>
      </c>
      <c r="T36" s="53"/>
      <c r="V36" t="s">
        <v>355</v>
      </c>
      <c r="W36" s="204">
        <f t="shared" si="0"/>
        <v>9.5499999999999995E-3</v>
      </c>
      <c r="X36" t="b">
        <v>1</v>
      </c>
      <c r="Y36" s="5">
        <f t="shared" si="5"/>
        <v>0</v>
      </c>
      <c r="Z36" s="203">
        <f>CZK_DATA!U24</f>
        <v>9.5499999999999995E-3</v>
      </c>
      <c r="AB36" s="50"/>
      <c r="AC36" s="54" t="s">
        <v>730</v>
      </c>
      <c r="AD36" s="52" t="s">
        <v>713</v>
      </c>
      <c r="AE36" s="53"/>
      <c r="AM36" s="50"/>
      <c r="AN36" s="245" t="s">
        <v>758</v>
      </c>
      <c r="AO36" s="244" t="s">
        <v>322</v>
      </c>
      <c r="AP36" s="53"/>
      <c r="AX36" s="50"/>
      <c r="AY36" s="225" t="s">
        <v>686</v>
      </c>
      <c r="AZ36" s="226" t="s">
        <v>687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/>
      <c r="BZ36" s="299"/>
      <c r="CA36" s="313"/>
      <c r="CB36" s="299"/>
      <c r="CO36" s="383"/>
      <c r="CP36" s="507"/>
      <c r="CQ36" s="507"/>
      <c r="CR36" s="507"/>
      <c r="CS36" s="507"/>
      <c r="CU36" s="193"/>
      <c r="CV36" s="193"/>
    </row>
    <row r="37" spans="6:100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2" t="s">
        <v>679</v>
      </c>
      <c r="S37" s="223" t="s">
        <v>729</v>
      </c>
      <c r="T37" s="53"/>
      <c r="V37" t="s">
        <v>364</v>
      </c>
      <c r="W37" s="204">
        <f t="shared" si="0"/>
        <v>9.8750000000000001E-3</v>
      </c>
      <c r="X37" t="b">
        <v>1</v>
      </c>
      <c r="Y37" s="5">
        <f t="shared" si="5"/>
        <v>0</v>
      </c>
      <c r="Z37" s="203">
        <f>CZK_DATA!U25</f>
        <v>9.8750000000000001E-3</v>
      </c>
      <c r="AB37" s="50"/>
      <c r="AC37" s="220" t="s">
        <v>704</v>
      </c>
      <c r="AD37" s="221" t="str">
        <f>INDEX('STATIC DATA'!C43:AB43,1,MATCH($A$1,'STATIC DATA'!$C$4:$AB$4,0))</f>
        <v>PRB</v>
      </c>
      <c r="AE37" s="53"/>
      <c r="AG37" s="2" t="s">
        <v>662</v>
      </c>
      <c r="AM37" s="50"/>
      <c r="AN37" s="225" t="s">
        <v>762</v>
      </c>
      <c r="AO37" s="219" t="s">
        <v>608</v>
      </c>
      <c r="AP37" s="53"/>
      <c r="AX37" s="50"/>
      <c r="AY37" s="52" t="s">
        <v>713</v>
      </c>
      <c r="AZ37" s="52" t="s">
        <v>713</v>
      </c>
      <c r="BA37" s="53"/>
      <c r="BC37" s="2" t="s">
        <v>662</v>
      </c>
      <c r="BD37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O37" s="383"/>
      <c r="CP37" s="507"/>
      <c r="CQ37" s="507"/>
      <c r="CR37" s="507"/>
      <c r="CS37" s="507"/>
      <c r="CU37" s="193"/>
      <c r="CV37" s="193"/>
    </row>
    <row r="38" spans="6:100" x14ac:dyDescent="0.25">
      <c r="F38" s="50"/>
      <c r="G38" s="222"/>
      <c r="H38" s="223"/>
      <c r="I38" s="53"/>
      <c r="K38" t="s">
        <v>434</v>
      </c>
      <c r="L38" t="str">
        <f>$A$1</f>
        <v>CZK</v>
      </c>
      <c r="Q38" s="50"/>
      <c r="R38" s="222" t="s">
        <v>683</v>
      </c>
      <c r="S38" s="223" t="str">
        <f>INDEX('STATIC DATA'!C7:AB7,1,MATCH($A$1,'STATIC DATA'!$C$4:$AB$4,0))</f>
        <v>2D</v>
      </c>
      <c r="T38" s="53"/>
      <c r="V38" t="s">
        <v>349</v>
      </c>
      <c r="W38" s="204">
        <f t="shared" si="0"/>
        <v>1.0200000000000001E-2</v>
      </c>
      <c r="X38" t="b">
        <v>1</v>
      </c>
      <c r="Y38" s="5">
        <f t="shared" si="5"/>
        <v>0</v>
      </c>
      <c r="Z38" s="203">
        <f>CZK_DATA!U26</f>
        <v>1.0200000000000001E-2</v>
      </c>
      <c r="AB38" s="50"/>
      <c r="AC38" s="222" t="s">
        <v>731</v>
      </c>
      <c r="AD38" s="223" t="str">
        <f>INDEX('STATIC DATA'!C55:AB55,1,MATCH($A$1,'STATIC DATA'!C4:AB4,0))</f>
        <v>ACT/360</v>
      </c>
      <c r="AE38" s="53"/>
      <c r="AG38" t="s">
        <v>434</v>
      </c>
      <c r="AH38" t="str">
        <f>$A$1</f>
        <v>CZK</v>
      </c>
      <c r="AM38" s="50"/>
      <c r="AN38" s="225" t="s">
        <v>763</v>
      </c>
      <c r="AO38" s="219">
        <v>0</v>
      </c>
      <c r="AP38" s="53"/>
      <c r="AX38" s="50"/>
      <c r="AY38" s="54" t="s">
        <v>467</v>
      </c>
      <c r="AZ38" s="85" t="s">
        <v>713</v>
      </c>
      <c r="BA38" s="53"/>
      <c r="BC38" t="s">
        <v>434</v>
      </c>
      <c r="BD38" t="str">
        <f>$A$1</f>
        <v>CZK</v>
      </c>
      <c r="BI38" s="50"/>
      <c r="BJ38" s="222" t="s">
        <v>760</v>
      </c>
      <c r="BK38" s="216" t="str">
        <f>INDEX('STATIC DATA'!C30:AB30,1,MATCH($A$1,'STATIC DATA'!$C$4:$AB$4,0))</f>
        <v>PRB:TGT:LNB</v>
      </c>
      <c r="BL38" s="53"/>
      <c r="BN38" t="s">
        <v>434</v>
      </c>
      <c r="BO38" t="str">
        <f>$A$1</f>
        <v>CZK</v>
      </c>
      <c r="BT38" s="50"/>
      <c r="BU38" s="55"/>
      <c r="BV38" s="55"/>
      <c r="BW38" s="55"/>
      <c r="BX38" s="332"/>
      <c r="BY38" s="147" t="s">
        <v>434</v>
      </c>
      <c r="BZ38" s="238" t="s">
        <v>1335</v>
      </c>
      <c r="CA38" s="305"/>
      <c r="CB38" s="299"/>
      <c r="CD38" t="s">
        <v>434</v>
      </c>
      <c r="CE38" t="str">
        <f>$A$1</f>
        <v>CZK</v>
      </c>
      <c r="CJ38" t="s">
        <v>434</v>
      </c>
      <c r="CK38" t="str">
        <f>$A$1</f>
        <v>CZK</v>
      </c>
      <c r="CO38" s="383"/>
      <c r="CP38" s="507"/>
      <c r="CQ38" s="507"/>
      <c r="CR38" s="507"/>
      <c r="CS38" s="507"/>
      <c r="CU38" s="193"/>
      <c r="CV38" s="193"/>
    </row>
    <row r="39" spans="6:100" x14ac:dyDescent="0.25">
      <c r="F39" s="50"/>
      <c r="G39" s="225"/>
      <c r="H39" s="226"/>
      <c r="I39" s="53"/>
      <c r="K39" t="s">
        <v>435</v>
      </c>
      <c r="L39" t="s">
        <v>426</v>
      </c>
      <c r="Q39" s="50"/>
      <c r="R39" s="225" t="s">
        <v>686</v>
      </c>
      <c r="S39" s="226" t="s">
        <v>687</v>
      </c>
      <c r="T39" s="53"/>
      <c r="V39" t="s">
        <v>358</v>
      </c>
      <c r="W39" s="204">
        <f t="shared" si="0"/>
        <v>1.0425E-2</v>
      </c>
      <c r="X39" t="b">
        <v>1</v>
      </c>
      <c r="Y39" s="5">
        <f t="shared" si="5"/>
        <v>0</v>
      </c>
      <c r="Z39" s="203">
        <f>CZK_DATA!U27</f>
        <v>1.0425E-2</v>
      </c>
      <c r="AB39" s="50"/>
      <c r="AC39" s="222" t="s">
        <v>732</v>
      </c>
      <c r="AD39" s="223" t="s">
        <v>621</v>
      </c>
      <c r="AE39" s="53"/>
      <c r="AG39" t="s">
        <v>435</v>
      </c>
      <c r="AH39" t="s">
        <v>468</v>
      </c>
      <c r="AM39" s="50"/>
      <c r="AN39" s="220" t="s">
        <v>764</v>
      </c>
      <c r="AO39" s="238" t="s">
        <v>687</v>
      </c>
      <c r="AP39" s="53"/>
      <c r="AX39" s="50"/>
      <c r="AY39" s="245" t="s">
        <v>749</v>
      </c>
      <c r="AZ39" s="243" t="s">
        <v>795</v>
      </c>
      <c r="BA39" s="53"/>
      <c r="BC39" t="s">
        <v>435</v>
      </c>
      <c r="BD39" t="s">
        <v>468</v>
      </c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O39" s="383"/>
      <c r="CP39" s="507"/>
      <c r="CQ39" s="507"/>
      <c r="CR39" s="507"/>
      <c r="CS39" s="507"/>
      <c r="CU39" s="193"/>
      <c r="CV39" s="193"/>
    </row>
    <row r="40" spans="6:100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52" t="s">
        <v>713</v>
      </c>
      <c r="S40" s="52" t="s">
        <v>713</v>
      </c>
      <c r="T40" s="53"/>
      <c r="V40" t="s">
        <v>367</v>
      </c>
      <c r="W40" s="204">
        <f t="shared" si="0"/>
        <v>1.155E-2</v>
      </c>
      <c r="X40" t="b">
        <v>1</v>
      </c>
      <c r="Y40" s="5">
        <f t="shared" si="5"/>
        <v>0</v>
      </c>
      <c r="Z40" s="203">
        <f>CZK_DATA!U28</f>
        <v>1.155E-2</v>
      </c>
      <c r="AB40" s="50"/>
      <c r="AC40" s="222" t="s">
        <v>707</v>
      </c>
      <c r="AD40" s="223" t="s">
        <v>687</v>
      </c>
      <c r="AE40" s="53"/>
      <c r="AG40" t="s">
        <v>438</v>
      </c>
      <c r="AH40" t="s">
        <v>458</v>
      </c>
      <c r="AM40" s="50"/>
      <c r="AN40" s="222" t="s">
        <v>765</v>
      </c>
      <c r="AO40" s="216" t="s">
        <v>608</v>
      </c>
      <c r="AP40" s="53"/>
      <c r="AX40" s="50"/>
      <c r="AY40" s="233" t="s">
        <v>750</v>
      </c>
      <c r="AZ40" s="230" t="s">
        <v>720</v>
      </c>
      <c r="BA40" s="53"/>
      <c r="BC40" t="s">
        <v>438</v>
      </c>
      <c r="BD40" t="s">
        <v>794</v>
      </c>
      <c r="BI40" s="50"/>
      <c r="BJ40" s="225" t="s">
        <v>762</v>
      </c>
      <c r="BK40" s="219" t="str">
        <f>INDEX('STATIC DATA'!C30:AB30,1,MATCH($A$1,'STATIC DATA'!$C$4:$AB$4,0))</f>
        <v>PRB:TGT:LNB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00">
        <f>'STATIC DATA'!Q5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O40" s="383"/>
      <c r="CP40" s="507"/>
      <c r="CQ40" s="507"/>
      <c r="CR40" s="507"/>
      <c r="CS40" s="507"/>
      <c r="CU40" s="193"/>
      <c r="CV40" s="193"/>
    </row>
    <row r="41" spans="6:100" x14ac:dyDescent="0.25">
      <c r="F41" s="50"/>
      <c r="G41" s="54" t="s">
        <v>702</v>
      </c>
      <c r="H41" s="227" t="s">
        <v>703</v>
      </c>
      <c r="I41" s="53"/>
      <c r="K41" t="s">
        <v>440</v>
      </c>
      <c r="L41" s="200">
        <f>'STATIC DATA'!Q5</f>
        <v>44083</v>
      </c>
      <c r="Q41" s="50"/>
      <c r="R41" s="54" t="s">
        <v>730</v>
      </c>
      <c r="S41" s="52" t="s">
        <v>713</v>
      </c>
      <c r="T41" s="53"/>
      <c r="V41" t="s">
        <v>374</v>
      </c>
      <c r="W41" s="204">
        <f t="shared" si="0"/>
        <v>1.2450000000000001E-2</v>
      </c>
      <c r="X41" t="b">
        <v>1</v>
      </c>
      <c r="Y41" s="5">
        <f t="shared" si="5"/>
        <v>0</v>
      </c>
      <c r="Z41" s="203">
        <f>CZK_DATA!U29</f>
        <v>1.2450000000000001E-2</v>
      </c>
      <c r="AB41" s="50"/>
      <c r="AC41" s="450"/>
      <c r="AD41" s="313"/>
      <c r="AE41" s="53"/>
      <c r="AG41" t="s">
        <v>440</v>
      </c>
      <c r="AH41" s="200">
        <f>'STATIC DATA'!Q5</f>
        <v>44083</v>
      </c>
      <c r="AM41" s="50"/>
      <c r="AN41" s="222" t="s">
        <v>766</v>
      </c>
      <c r="AO41" s="216" t="s">
        <v>48</v>
      </c>
      <c r="AP41" s="53"/>
      <c r="AX41" s="50"/>
      <c r="AY41" s="222" t="s">
        <v>751</v>
      </c>
      <c r="AZ41" s="216" t="str">
        <f>INDEX('STATIC DATA'!C39:AB39,1,MATCH($A$1,'STATIC DATA'!$C$4:$AB$4,0))</f>
        <v>PRB</v>
      </c>
      <c r="BA41" s="53"/>
      <c r="BC41" t="s">
        <v>440</v>
      </c>
      <c r="BD41" s="200">
        <f>'STATIC DATA'!Q5</f>
        <v>44083</v>
      </c>
      <c r="BE41" s="193"/>
      <c r="BI41" s="50"/>
      <c r="BJ41" s="225" t="s">
        <v>763</v>
      </c>
      <c r="BK41" s="219">
        <v>2</v>
      </c>
      <c r="BL41" s="53"/>
      <c r="BN41" t="s">
        <v>440</v>
      </c>
      <c r="BO41" s="200">
        <f>'STATIC DATA'!Q5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1E-3</v>
      </c>
      <c r="CA41" s="305"/>
      <c r="CB41" s="299"/>
      <c r="CD41" t="s">
        <v>440</v>
      </c>
      <c r="CE41" s="200">
        <f>'STATIC DATA'!Q5</f>
        <v>44083</v>
      </c>
      <c r="CJ41" t="s">
        <v>440</v>
      </c>
      <c r="CK41" s="200">
        <f>'STATIC DATA'!Q5</f>
        <v>44083</v>
      </c>
      <c r="CO41" s="383"/>
      <c r="CP41" s="507"/>
      <c r="CQ41" s="507"/>
      <c r="CR41" s="507"/>
      <c r="CS41" s="507"/>
      <c r="CU41" s="193"/>
      <c r="CV41" s="193"/>
    </row>
    <row r="42" spans="6:100" x14ac:dyDescent="0.25">
      <c r="F42" s="50"/>
      <c r="G42" s="220" t="s">
        <v>704</v>
      </c>
      <c r="H42" s="221" t="str">
        <f>INDEX('STATIC DATA'!C43:AB43,1,MATCH(A1,'STATIC DATA'!$C$4:$AB$4,0))</f>
        <v>PRB</v>
      </c>
      <c r="I42" s="53"/>
      <c r="Q42" s="50"/>
      <c r="R42" s="220" t="s">
        <v>704</v>
      </c>
      <c r="S42" s="221" t="str">
        <f>INDEX('STATIC DATA'!C39:AB39,1,MATCH($A$1,'STATIC DATA'!$C$4:$AB$4,0))</f>
        <v>PRB</v>
      </c>
      <c r="T42" s="53"/>
      <c r="W42" s="204"/>
      <c r="Z42" s="203"/>
      <c r="AB42" s="50"/>
      <c r="AC42" s="54" t="s">
        <v>467</v>
      </c>
      <c r="AD42" s="85" t="s">
        <v>713</v>
      </c>
      <c r="AE42" s="53"/>
      <c r="AM42" s="50"/>
      <c r="AN42" s="222" t="s">
        <v>767</v>
      </c>
      <c r="AO42" s="216" t="s">
        <v>458</v>
      </c>
      <c r="AP42" s="53"/>
      <c r="AX42" s="50"/>
      <c r="AY42" s="222" t="s">
        <v>752</v>
      </c>
      <c r="AZ42" s="216" t="str">
        <f>INDEX('STATIC DATA'!C55:AB55,1,MATCH($A$1,'STATIC DATA'!C4:AB4,0))</f>
        <v>ACT/360</v>
      </c>
      <c r="BA42" s="53"/>
      <c r="BD42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O42" s="383"/>
      <c r="CP42" s="507"/>
      <c r="CQ42" s="507"/>
      <c r="CR42" s="507"/>
      <c r="CS42" s="507"/>
      <c r="CU42" s="193"/>
      <c r="CV42" s="193"/>
    </row>
    <row r="43" spans="6:100" x14ac:dyDescent="0.25">
      <c r="F43" s="50"/>
      <c r="G43" s="222" t="s">
        <v>705</v>
      </c>
      <c r="H43" s="223" t="str">
        <f>INDEX('STATIC DATA'!C55:AB55,1,MATCH(A1,'STATIC DATA'!C4:AB4,0))</f>
        <v>ACT/360</v>
      </c>
      <c r="I43" s="53"/>
      <c r="K43" s="2" t="s">
        <v>441</v>
      </c>
      <c r="Q43" s="50"/>
      <c r="R43" s="222" t="s">
        <v>731</v>
      </c>
      <c r="S43" s="223" t="str">
        <f>INDEX('STATIC DATA'!C55:AB55,1,MATCH($A$1,'STATIC DATA'!C4:AB4,0))</f>
        <v>ACT/360</v>
      </c>
      <c r="T43" s="53"/>
      <c r="W43" s="204"/>
      <c r="Z43" s="203"/>
      <c r="AB43" s="50"/>
      <c r="AC43" s="245" t="s">
        <v>749</v>
      </c>
      <c r="AD43" s="243" t="s">
        <v>745</v>
      </c>
      <c r="AE43" s="53"/>
      <c r="AG43" s="2" t="s">
        <v>441</v>
      </c>
      <c r="AM43" s="50"/>
      <c r="AN43" s="222" t="s">
        <v>768</v>
      </c>
      <c r="AO43" s="239" t="s">
        <v>680</v>
      </c>
      <c r="AP43" s="53"/>
      <c r="AX43" s="50"/>
      <c r="AY43" s="225" t="s">
        <v>753</v>
      </c>
      <c r="AZ43" s="219" t="s">
        <v>458</v>
      </c>
      <c r="BA43" s="53"/>
      <c r="BC43" s="2" t="s">
        <v>441</v>
      </c>
      <c r="BD43"/>
      <c r="BI43" s="50"/>
      <c r="BJ43" s="222" t="s">
        <v>765</v>
      </c>
      <c r="BK43" s="216" t="str">
        <f>INDEX('STATIC DATA'!C30:AB30,1,MATCH($A$1,'STATIC DATA'!$C$4:$AB$4,0))</f>
        <v>PRB:TGT:LNB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O43" s="383"/>
      <c r="CP43" s="507"/>
      <c r="CQ43" s="507"/>
      <c r="CR43" s="507"/>
      <c r="CS43" s="507"/>
      <c r="CU43" s="193"/>
      <c r="CV43" s="193"/>
    </row>
    <row r="44" spans="6:100" x14ac:dyDescent="0.25">
      <c r="F44" s="50"/>
      <c r="G44" s="222" t="s">
        <v>706</v>
      </c>
      <c r="H44" s="223" t="str">
        <f>IF(INDEX('STATIC DATA'!C56:AB56,1,MATCH(A1,'STATIC DATA'!C4:AB4,0))="1Y","ANNUAL",(IF(INDEX('STATIC DATA'!C56:AB56,1,MATCH(A1,'STATIC DATA'!C4:AB4,0))="6M","SEMI-ANNUAL", "QUARTERLY")))</f>
        <v>SEMI-ANNUAL</v>
      </c>
      <c r="I44" s="53"/>
      <c r="K44" s="206" t="s">
        <v>442</v>
      </c>
      <c r="L44" s="206" t="str">
        <f>L38&amp;"_"&amp;L39&amp;"_CURVE_MARKETDATA"</f>
        <v>CZK_OIS_CURVE_MARKETDATA</v>
      </c>
      <c r="Q44" s="50"/>
      <c r="R44" s="222" t="s">
        <v>732</v>
      </c>
      <c r="S44" s="223" t="s">
        <v>997</v>
      </c>
      <c r="T44" s="53"/>
      <c r="W44" s="204"/>
      <c r="Z44" s="203"/>
      <c r="AB44" s="50"/>
      <c r="AC44" s="233" t="s">
        <v>750</v>
      </c>
      <c r="AD44" s="230" t="b">
        <v>0</v>
      </c>
      <c r="AE44" s="53"/>
      <c r="AG44" t="s">
        <v>442</v>
      </c>
      <c r="AH44" t="str">
        <f>A1&amp;"_BASIS_3M6M_MARKETDATA"</f>
        <v>CZK_BASIS_3M6M_MARKETDATA</v>
      </c>
      <c r="AM44" s="50"/>
      <c r="AN44" s="222" t="s">
        <v>769</v>
      </c>
      <c r="AO44" s="216" t="s">
        <v>687</v>
      </c>
      <c r="AP44" s="53"/>
      <c r="AX44" s="50"/>
      <c r="AY44" s="222" t="s">
        <v>754</v>
      </c>
      <c r="AZ44" s="216" t="s">
        <v>687</v>
      </c>
      <c r="BA44" s="53"/>
      <c r="BC44" t="s">
        <v>442</v>
      </c>
      <c r="BD44" t="str">
        <f>$A$1&amp;"_BASIS_1M3M_MARKETDATA"</f>
        <v>CZK_BASIS_1M3M_MARKETDATA</v>
      </c>
      <c r="BI44" s="50"/>
      <c r="BJ44" s="222" t="s">
        <v>766</v>
      </c>
      <c r="BK44" s="216" t="str">
        <f>INDEX('STATIC DATA'!C55:AB55,1,MATCH($A$1,'STATIC DATA'!C4:AB4,0))</f>
        <v>ACT/360</v>
      </c>
      <c r="BL44" s="53"/>
      <c r="BN44" t="s">
        <v>442</v>
      </c>
      <c r="BO44" t="str">
        <f>A1&amp;"_"&amp;BO39&amp;"_CURVE_MARKETDATA"</f>
        <v>CZK_XCCYBASIS_CURVE_MARKETDATA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1336</v>
      </c>
      <c r="CA44" s="325"/>
      <c r="CB44" s="303"/>
      <c r="CD44" t="s">
        <v>442</v>
      </c>
      <c r="CE44" t="str">
        <f>$A$1&amp;"_FXFWD_MARKET_DATA"</f>
        <v>CZK_FXFWD_MARKET_DATA</v>
      </c>
      <c r="CJ44" t="s">
        <v>442</v>
      </c>
      <c r="CK44" t="str">
        <f>$A$1&amp;"_FXFWD_MARKET_DATA"</f>
        <v>CZK_FXFWD_MARKET_DATA</v>
      </c>
      <c r="CO44" s="383"/>
      <c r="CP44" s="507"/>
      <c r="CQ44" s="507"/>
      <c r="CR44" s="507"/>
      <c r="CS44" s="507"/>
      <c r="CU44" s="193"/>
      <c r="CV44" s="193"/>
    </row>
    <row r="45" spans="6:100" x14ac:dyDescent="0.25">
      <c r="F45" s="50"/>
      <c r="G45" s="225" t="s">
        <v>707</v>
      </c>
      <c r="H45" s="226" t="s">
        <v>687</v>
      </c>
      <c r="I45" s="53"/>
      <c r="K45" s="206" t="s">
        <v>444</v>
      </c>
      <c r="L45" s="206" t="str">
        <f>_xll.meLWOCurveMarketDataCreate(L44,"MarketDataProperties",K38:L41,"OIS",K7:L32)</f>
        <v>CZK_OIS_CURVE_MARKETDATA@250:42</v>
      </c>
      <c r="Q45" s="50"/>
      <c r="R45" s="222" t="s">
        <v>707</v>
      </c>
      <c r="S45" s="223" t="s">
        <v>687</v>
      </c>
      <c r="T45" s="53"/>
      <c r="W45" s="204"/>
      <c r="Z45" s="203"/>
      <c r="AB45" s="50"/>
      <c r="AC45" s="222" t="s">
        <v>751</v>
      </c>
      <c r="AD45" s="216" t="str">
        <f>INDEX('STATIC DATA'!C39:AB39,1,MATCH($A$1,'STATIC DATA'!$C$4:$AB$4,0))</f>
        <v>PRB</v>
      </c>
      <c r="AE45" s="53"/>
      <c r="AG45" t="s">
        <v>444</v>
      </c>
      <c r="AH45" t="str">
        <f>_xll.meLWOCurveMarketDataCreate(AH44,AG37,AG38:AH42,"LIBORFIXINGS",AG7:AI9,"FRAS",AG10:AI14,"BASISSWAPS",AG15:AI27)</f>
        <v>CZK_BASIS_3M6M_MARKETDATA@214:42</v>
      </c>
      <c r="AM45" s="50"/>
      <c r="AN45" s="225" t="s">
        <v>770</v>
      </c>
      <c r="AO45" s="219">
        <v>0</v>
      </c>
      <c r="AP45" s="53"/>
      <c r="AX45" s="50"/>
      <c r="AY45" s="222" t="s">
        <v>755</v>
      </c>
      <c r="AZ45" s="216" t="str">
        <f>INDEX('STATIC DATA'!C7:AB7,1,MATCH($A$1,'STATIC DATA'!$C$4:$AB$4,0))</f>
        <v>2D</v>
      </c>
      <c r="BA45" s="53"/>
      <c r="BC45" t="s">
        <v>444</v>
      </c>
      <c r="BD45" t="str">
        <f>_xll.meLWOCurveMarketDataCreate(BD44,BC37,BC38:BD42,"BASISSWAPS",BC9:BE18)</f>
        <v>CZK_BASIS_1M3M_MARKETDATA@226:42</v>
      </c>
      <c r="BI45" s="50"/>
      <c r="BJ45" s="222" t="s">
        <v>767</v>
      </c>
      <c r="BK45" s="216" t="s">
        <v>458</v>
      </c>
      <c r="BL45" s="53"/>
      <c r="BN45" t="s">
        <v>444</v>
      </c>
      <c r="BO45" t="str">
        <f>_xll.meLWOCurveMarketDataCreate(BO44,BN37,BN38:BO42,"FXSPOTS",BN7:BP7,"FXFWDS",BN8:BP20,"XCCYSWAPS",BN21:BP33)</f>
        <v>CZK_XCCYBASIS_CURVE_MARKETDATA@233:1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_xll.meLWOCurveMarketDataCreate(BZ44,"MARKETDATAPROPERTIES",BY38:BZ41,"FXSPOTS",BZ7:CA7,"FXFWDS",BY8:CA22)</f>
        <v>MKTDATA_CZKUSD@296:42</v>
      </c>
      <c r="CA45" s="313"/>
      <c r="CB45" s="313"/>
      <c r="CD45" t="s">
        <v>444</v>
      </c>
      <c r="CE45" t="str">
        <f>_xll.meLWOCurveMarketDataCreate(CE44,CD37,CD38:CE41)</f>
        <v>CZK_FXFWD_MARKET_DATA@7:42</v>
      </c>
      <c r="CJ45" t="s">
        <v>444</v>
      </c>
      <c r="CK45" t="str">
        <f>_xll.meLWOCurveMarketDataCreate(CK44,CJ37,CJ38:CK41)</f>
        <v>CZK_FXFWD_MARKET_DATA@22:42</v>
      </c>
      <c r="CO45" s="383"/>
      <c r="CP45" s="507"/>
      <c r="CQ45" s="507"/>
      <c r="CR45" s="507"/>
      <c r="CS45" s="507"/>
      <c r="CU45" s="193"/>
      <c r="CV45" s="193"/>
    </row>
    <row r="46" spans="6:100" x14ac:dyDescent="0.25">
      <c r="F46" s="50"/>
      <c r="G46" s="52"/>
      <c r="H46" s="52"/>
      <c r="I46" s="53"/>
      <c r="K46" s="206"/>
      <c r="L46" s="206"/>
      <c r="Q46" s="50"/>
      <c r="R46" s="52"/>
      <c r="S46" s="52"/>
      <c r="T46" s="53"/>
      <c r="W46" s="204"/>
      <c r="Z46" s="203"/>
      <c r="AB46" s="50"/>
      <c r="AC46" s="222" t="s">
        <v>752</v>
      </c>
      <c r="AD46" s="216" t="str">
        <f>INDEX('STATIC DATA'!C55:AB55,1,MATCH($A$1,'STATIC DATA'!C4:AB4,0))</f>
        <v>ACT/360</v>
      </c>
      <c r="AE46" s="53"/>
      <c r="AM46" s="50"/>
      <c r="AN46" s="234" t="s">
        <v>771</v>
      </c>
      <c r="AO46" s="242" t="s">
        <v>792</v>
      </c>
      <c r="AP46" s="53"/>
      <c r="AX46" s="50"/>
      <c r="AY46" s="245" t="s">
        <v>756</v>
      </c>
      <c r="AZ46" s="244" t="s">
        <v>944</v>
      </c>
      <c r="BA46" s="53"/>
      <c r="BD46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O46" s="383"/>
      <c r="CP46" s="507"/>
      <c r="CQ46" s="507"/>
      <c r="CR46" s="507"/>
      <c r="CS46" s="507"/>
      <c r="CU46" s="193"/>
      <c r="CV46" s="193"/>
    </row>
    <row r="47" spans="6:100" x14ac:dyDescent="0.25">
      <c r="F47" s="50"/>
      <c r="G47" s="54" t="s">
        <v>428</v>
      </c>
      <c r="H47" s="227" t="s">
        <v>708</v>
      </c>
      <c r="I47" s="53"/>
      <c r="K47" s="678" t="s">
        <v>447</v>
      </c>
      <c r="L47" s="206"/>
      <c r="Q47" s="50"/>
      <c r="R47" s="54" t="s">
        <v>428</v>
      </c>
      <c r="S47" s="52" t="s">
        <v>713</v>
      </c>
      <c r="T47" s="53"/>
      <c r="AB47" s="50"/>
      <c r="AC47" s="225" t="s">
        <v>753</v>
      </c>
      <c r="AD47" s="219" t="s">
        <v>459</v>
      </c>
      <c r="AE47" s="53"/>
      <c r="AG47" s="2" t="s">
        <v>447</v>
      </c>
      <c r="AM47" s="50"/>
      <c r="AN47" s="234" t="s">
        <v>772</v>
      </c>
      <c r="AO47" s="242" t="s">
        <v>792</v>
      </c>
      <c r="AP47" s="53"/>
      <c r="AX47" s="50"/>
      <c r="AY47" s="233" t="s">
        <v>757</v>
      </c>
      <c r="AZ47" s="244" t="s">
        <v>426</v>
      </c>
      <c r="BA47" s="53"/>
      <c r="BC47" s="2" t="s">
        <v>447</v>
      </c>
      <c r="BD47"/>
      <c r="BI47" s="50"/>
      <c r="BJ47" s="222" t="s">
        <v>770</v>
      </c>
      <c r="BK47" s="216" t="str">
        <f>INDEX('STATIC DATA'!C7:AB7,1,MATCH($A$1,'STATIC DATA'!$C$4:$AB$4,0))</f>
        <v>2D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O47" s="383"/>
      <c r="CP47" s="507"/>
      <c r="CQ47" s="507"/>
      <c r="CR47" s="507"/>
      <c r="CS47" s="507"/>
      <c r="CU47" s="193"/>
      <c r="CV47" s="193"/>
    </row>
    <row r="48" spans="6:100" x14ac:dyDescent="0.25">
      <c r="F48" s="50"/>
      <c r="G48" s="220" t="s">
        <v>677</v>
      </c>
      <c r="H48" s="221" t="str">
        <f>INDEX('STATIC DATA'!C43:AB43,1,MATCH(A1,'STATIC DATA'!$C$4:$AB$4,0))</f>
        <v>PRB</v>
      </c>
      <c r="I48" s="53"/>
      <c r="K48" s="206" t="s">
        <v>442</v>
      </c>
      <c r="L48" s="206" t="str">
        <f>L38&amp;"_"&amp;L39&amp;"_CURVE"</f>
        <v>CZK_OIS_CURVE</v>
      </c>
      <c r="Q48" s="50"/>
      <c r="R48" s="220" t="s">
        <v>704</v>
      </c>
      <c r="S48" s="221" t="str">
        <f>INDEX('STATIC DATA'!C43:AB43,1,MATCH($A$1,'STATIC DATA'!$C$4:$AB$4,0))</f>
        <v>PRB</v>
      </c>
      <c r="T48" s="53"/>
      <c r="AB48" s="50"/>
      <c r="AC48" s="222" t="s">
        <v>754</v>
      </c>
      <c r="AD48" s="216" t="s">
        <v>687</v>
      </c>
      <c r="AE48" s="53"/>
      <c r="AG48" t="s">
        <v>442</v>
      </c>
      <c r="AH48" t="str">
        <f>A1&amp;"_BASIS_3M6M_CURVE"</f>
        <v>CZK_BASIS_3M6M_CURVE</v>
      </c>
      <c r="AM48" s="50"/>
      <c r="AN48" s="245" t="s">
        <v>774</v>
      </c>
      <c r="AO48" s="244" t="s">
        <v>49</v>
      </c>
      <c r="AP48" s="53"/>
      <c r="AX48" s="50"/>
      <c r="AY48" s="245" t="s">
        <v>758</v>
      </c>
      <c r="AZ48" s="244" t="s">
        <v>49</v>
      </c>
      <c r="BA48" s="53"/>
      <c r="BC48" t="s">
        <v>442</v>
      </c>
      <c r="BD48" t="str">
        <f>$A$1&amp;"_BASIS_1M3M_CURVE"</f>
        <v>CZK_BASIS_1M3M_CURVE</v>
      </c>
      <c r="BI48" s="50"/>
      <c r="BJ48" s="234" t="s">
        <v>772</v>
      </c>
      <c r="BK48" s="247" t="s">
        <v>426</v>
      </c>
      <c r="BL48" s="249" t="s">
        <v>801</v>
      </c>
      <c r="BN48" t="s">
        <v>442</v>
      </c>
      <c r="BO48" t="str">
        <f>A1&amp;"_"&amp;BO39&amp;"_CURVE"</f>
        <v>CZK_XCCYBASIS_CURVE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1463</v>
      </c>
      <c r="CJ48" t="s">
        <v>442</v>
      </c>
      <c r="CK48" t="s">
        <v>1291</v>
      </c>
      <c r="CO48" s="383"/>
      <c r="CP48" s="507"/>
      <c r="CQ48" s="507"/>
      <c r="CR48" s="507"/>
      <c r="CS48" s="507"/>
      <c r="CU48" s="193"/>
      <c r="CV48" s="193"/>
    </row>
    <row r="49" spans="6:97" x14ac:dyDescent="0.25">
      <c r="F49" s="50"/>
      <c r="G49" s="222" t="s">
        <v>709</v>
      </c>
      <c r="H49" s="223" t="str">
        <f>INDEX('STATIC DATA'!C53:AB53,1,MATCH(A1,'STATIC DATA'!C4:AB4,0))</f>
        <v>ACT/360</v>
      </c>
      <c r="I49" s="53"/>
      <c r="K49" s="206" t="s">
        <v>450</v>
      </c>
      <c r="L49" s="206" t="str">
        <f>H8</f>
        <v>CZK_OIS@394:6</v>
      </c>
      <c r="Q49" s="50"/>
      <c r="R49" s="222" t="s">
        <v>731</v>
      </c>
      <c r="S49" s="223" t="str">
        <f>INDEX('STATIC DATA'!C53:AB53,1,MATCH(A1,'STATIC DATA'!C4:AB4,0))</f>
        <v>ACT/360</v>
      </c>
      <c r="T49" s="53"/>
      <c r="V49" s="2" t="s">
        <v>662</v>
      </c>
      <c r="AB49" s="50"/>
      <c r="AC49" s="222" t="s">
        <v>755</v>
      </c>
      <c r="AD49" s="216" t="str">
        <f>INDEX('STATIC DATA'!C7:AB7,1,MATCH($A$1,'STATIC DATA'!$C$4:$AB$4,0))</f>
        <v>2D</v>
      </c>
      <c r="AE49" s="53"/>
      <c r="AG49" t="s">
        <v>450</v>
      </c>
      <c r="AH49" t="str">
        <f>AD8</f>
        <v>CZK_BASIS_3M6M@393:6</v>
      </c>
      <c r="AM49" s="50"/>
      <c r="AN49" s="222" t="s">
        <v>775</v>
      </c>
      <c r="AO49" s="216" t="s">
        <v>48</v>
      </c>
      <c r="AP49" s="53"/>
      <c r="AX49" s="50"/>
      <c r="AY49" s="222" t="s">
        <v>759</v>
      </c>
      <c r="AZ49" s="216" t="str">
        <f>INDEX('STATIC DATA'!C55:AB55,1,MATCH($A$1,'STATIC DATA'!C4:AB4,0))</f>
        <v>ACT/360</v>
      </c>
      <c r="BA49" s="53"/>
      <c r="BC49" t="s">
        <v>450</v>
      </c>
      <c r="BD49" t="str">
        <f>AZ8</f>
        <v>CZK_BASIS_1M3M@399:6</v>
      </c>
      <c r="BI49" s="50"/>
      <c r="BJ49" s="234" t="s">
        <v>771</v>
      </c>
      <c r="BK49" s="242" t="s">
        <v>944</v>
      </c>
      <c r="BL49" s="53"/>
      <c r="BN49" t="s">
        <v>450</v>
      </c>
      <c r="BO49" t="str">
        <f>BK8</f>
        <v>CZK_XCCY@397:6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CZK_EURCSA@398:6</v>
      </c>
      <c r="CJ49" t="s">
        <v>450</v>
      </c>
      <c r="CK49" t="str">
        <f>CK8</f>
        <v>CZK_JPYCSA@401:6</v>
      </c>
      <c r="CP49" s="507"/>
      <c r="CQ49" s="507"/>
      <c r="CR49" s="507"/>
      <c r="CS49" s="507"/>
    </row>
    <row r="50" spans="6:97" x14ac:dyDescent="0.25">
      <c r="F50" s="50"/>
      <c r="G50" s="222" t="s">
        <v>710</v>
      </c>
      <c r="H50" s="223" t="str">
        <f>IF(INDEX('STATIC DATA'!C54:AB54,1,MATCH(A1,'STATIC DATA'!C4:AB4,0))="1Y","ANNUAL",(IF(INDEX('STATIC DATA'!C54:AB54,1,MATCH(A1,'STATIC DATA'!C4:AB4,0))="6M","SEMI-ANNUAL", "QUARTERLY")))</f>
        <v>ANNUAL</v>
      </c>
      <c r="I50" s="53"/>
      <c r="K50" s="206" t="s">
        <v>452</v>
      </c>
      <c r="L50" s="206" t="str">
        <f>$A$1&amp;"YC"</f>
        <v>CZKYC</v>
      </c>
      <c r="Q50" s="50"/>
      <c r="R50" s="222" t="s">
        <v>1148</v>
      </c>
      <c r="S50" s="223" t="str">
        <f>INDEX('STATIC DATA'!C53:AB53,1,MATCH(A1,'STATIC DATA'!C4:AB4,0))</f>
        <v>ACT/360</v>
      </c>
      <c r="T50" s="53"/>
      <c r="V50" t="s">
        <v>434</v>
      </c>
      <c r="W50" t="str">
        <f>$A$1</f>
        <v>CZK</v>
      </c>
      <c r="AB50" s="50"/>
      <c r="AC50" s="245" t="s">
        <v>756</v>
      </c>
      <c r="AD50" s="247" t="s">
        <v>943</v>
      </c>
      <c r="AE50" s="249"/>
      <c r="AG50" t="s">
        <v>452</v>
      </c>
      <c r="AH50" t="str">
        <f>$A$1&amp;"YC"</f>
        <v>CZKYC</v>
      </c>
      <c r="AM50" s="50"/>
      <c r="AN50" s="222" t="s">
        <v>776</v>
      </c>
      <c r="AO50" s="216" t="s">
        <v>608</v>
      </c>
      <c r="AP50" s="53"/>
      <c r="AX50" s="50"/>
      <c r="AY50" s="222" t="s">
        <v>760</v>
      </c>
      <c r="AZ50" s="216" t="str">
        <f>INDEX('STATIC DATA'!C39:AB39,1,MATCH($A$1,'STATIC DATA'!$C$4:$AB$4,0))</f>
        <v>PRB</v>
      </c>
      <c r="BA50" s="53"/>
      <c r="BC50" t="s">
        <v>452</v>
      </c>
      <c r="BD50" t="str">
        <f>$A$1&amp;"YC"</f>
        <v>CZKYC</v>
      </c>
      <c r="BI50" s="50"/>
      <c r="BJ50" s="245" t="s">
        <v>774</v>
      </c>
      <c r="BK50" s="244" t="s">
        <v>49</v>
      </c>
      <c r="BL50" s="53"/>
      <c r="BN50" t="s">
        <v>452</v>
      </c>
      <c r="BO50" t="str">
        <f>A1&amp;"YC"</f>
        <v>CZKYC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1012</v>
      </c>
      <c r="CJ50" t="s">
        <v>452</v>
      </c>
      <c r="CK50" t="s">
        <v>1012</v>
      </c>
      <c r="CP50" s="507"/>
      <c r="CQ50" s="507"/>
      <c r="CR50" s="507"/>
      <c r="CS50" s="507"/>
    </row>
    <row r="51" spans="6:97" x14ac:dyDescent="0.25">
      <c r="F51" s="50"/>
      <c r="G51" s="225" t="s">
        <v>686</v>
      </c>
      <c r="H51" s="226" t="s">
        <v>687</v>
      </c>
      <c r="I51" s="53"/>
      <c r="K51" s="206" t="s">
        <v>453</v>
      </c>
      <c r="L51" s="206"/>
      <c r="Q51" s="50"/>
      <c r="R51" s="222" t="s">
        <v>734</v>
      </c>
      <c r="S51" s="223" t="str">
        <f>INDEX('STATIC DATA'!C55:AB55,1,MATCH(A1,'STATIC DATA'!C4:AB4,0))</f>
        <v>ACT/360</v>
      </c>
      <c r="T51" s="53"/>
      <c r="V51" t="s">
        <v>435</v>
      </c>
      <c r="W51" t="s">
        <v>463</v>
      </c>
      <c r="AB51" s="50"/>
      <c r="AC51" s="233" t="s">
        <v>757</v>
      </c>
      <c r="AD51" s="229" t="s">
        <v>426</v>
      </c>
      <c r="AE51" s="53"/>
      <c r="AG51" t="s">
        <v>453</v>
      </c>
      <c r="AM51" s="50"/>
      <c r="AN51" s="222" t="s">
        <v>777</v>
      </c>
      <c r="AO51" s="216" t="s">
        <v>721</v>
      </c>
      <c r="AP51" s="53"/>
      <c r="AX51" s="50"/>
      <c r="AY51" s="225" t="s">
        <v>761</v>
      </c>
      <c r="AZ51" s="219" t="s">
        <v>721</v>
      </c>
      <c r="BA51" s="53"/>
      <c r="BC51" t="s">
        <v>453</v>
      </c>
      <c r="BD51"/>
      <c r="BI51" s="50"/>
      <c r="BJ51" s="222" t="s">
        <v>775</v>
      </c>
      <c r="BK51" s="216" t="str">
        <f>INDEX('STATIC DATA'!C55:AB55,1,MATCH($A$1,'STATIC DATA'!C4:AB4,0))</f>
        <v>ACT/360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P51" s="507"/>
      <c r="CQ51" s="507"/>
      <c r="CR51" s="507"/>
      <c r="CS51" s="507"/>
    </row>
    <row r="52" spans="6:97" x14ac:dyDescent="0.25">
      <c r="F52" s="50"/>
      <c r="G52" s="52"/>
      <c r="H52" s="52"/>
      <c r="I52" s="53"/>
      <c r="Q52" s="50"/>
      <c r="R52" s="222" t="s">
        <v>706</v>
      </c>
      <c r="S52" s="223" t="str">
        <f>IF(INDEX('STATIC DATA'!C54:AB54,1,MATCH(A1,'STATIC DATA'!C4:AB4,0))="1Y","ANNUAL",(IF(INDEX('STATIC DATA'!C54:AB54,1,MATCH(A1,'STATIC DATA'!C4:AB4,0))="6M","SEMI-ANNUAL", "QUARTERLY")))</f>
        <v>ANNUAL</v>
      </c>
      <c r="T52" s="53"/>
      <c r="V52" t="s">
        <v>438</v>
      </c>
      <c r="W52" t="str">
        <f>S13</f>
        <v>SEMI-ANNUAL</v>
      </c>
      <c r="AB52" s="50"/>
      <c r="AC52" s="245" t="s">
        <v>758</v>
      </c>
      <c r="AD52" s="244" t="s">
        <v>46</v>
      </c>
      <c r="AE52" s="53"/>
      <c r="AM52" s="50"/>
      <c r="AN52" s="222" t="s">
        <v>778</v>
      </c>
      <c r="AO52" s="216" t="s">
        <v>608</v>
      </c>
      <c r="AP52" s="53"/>
      <c r="AX52" s="50"/>
      <c r="AY52" s="225" t="s">
        <v>762</v>
      </c>
      <c r="AZ52" s="219" t="str">
        <f>INDEX('STATIC DATA'!C39:AB39,1,MATCH($A$1,'STATIC DATA'!$C$4:$AB$4,0))</f>
        <v>PRB</v>
      </c>
      <c r="BA52" s="53"/>
      <c r="BD52"/>
      <c r="BI52" s="50"/>
      <c r="BJ52" s="222" t="s">
        <v>776</v>
      </c>
      <c r="BK52" s="216" t="str">
        <f>INDEX('STATIC DATA'!C39:AB39,1,MATCH($A$1,'STATIC DATA'!$C$4:$AB$4,0))</f>
        <v>PRB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P52" s="507"/>
      <c r="CQ52" s="507"/>
      <c r="CR52" s="507"/>
      <c r="CS52" s="507"/>
    </row>
    <row r="53" spans="6:97" x14ac:dyDescent="0.25">
      <c r="F53" s="50"/>
      <c r="G53" s="52"/>
      <c r="H53" s="52"/>
      <c r="I53" s="53"/>
      <c r="K53" s="2" t="s">
        <v>454</v>
      </c>
      <c r="Q53" s="50"/>
      <c r="R53" s="222" t="s">
        <v>1149</v>
      </c>
      <c r="S53" s="223" t="s">
        <v>680</v>
      </c>
      <c r="T53" s="53"/>
      <c r="V53" t="s">
        <v>440</v>
      </c>
      <c r="W53" s="200">
        <f>'STATIC DATA'!Q5</f>
        <v>44083</v>
      </c>
      <c r="AB53" s="50"/>
      <c r="AC53" s="222" t="s">
        <v>759</v>
      </c>
      <c r="AD53" s="216" t="str">
        <f>INDEX('STATIC DATA'!C55:AB55,1,MATCH($A$1,'STATIC DATA'!C4:AB4,0))</f>
        <v>ACT/360</v>
      </c>
      <c r="AE53" s="53"/>
      <c r="AG53" s="2" t="s">
        <v>454</v>
      </c>
      <c r="AM53" s="50"/>
      <c r="AN53" s="222" t="s">
        <v>779</v>
      </c>
      <c r="AO53" s="216">
        <v>0</v>
      </c>
      <c r="AP53" s="53"/>
      <c r="AX53" s="50"/>
      <c r="AY53" s="225" t="s">
        <v>763</v>
      </c>
      <c r="AZ53" s="219" t="str">
        <f>INDEX('STATIC DATA'!C7:AB7,1,MATCH($A$1,'STATIC DATA'!$C$4:$AB$4,0))</f>
        <v>2D</v>
      </c>
      <c r="BA53" s="53"/>
      <c r="BC53" s="2" t="s">
        <v>454</v>
      </c>
      <c r="BD53"/>
      <c r="BI53" s="50"/>
      <c r="BJ53" s="222" t="s">
        <v>777</v>
      </c>
      <c r="BK53" s="216" t="s">
        <v>458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P53" s="507"/>
      <c r="CQ53" s="507"/>
      <c r="CR53" s="507"/>
      <c r="CS53" s="507"/>
    </row>
    <row r="54" spans="6:97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CZK_OIS_CURVE@251:10</v>
      </c>
      <c r="Q54" s="50"/>
      <c r="R54" s="222" t="s">
        <v>735</v>
      </c>
      <c r="S54" s="223" t="str">
        <f>IF(INDEX('STATIC DATA'!C56:AB56,1,MATCH(A1,'STATIC DATA'!C4:AB4,0))="1Y","ANNUAL",(IF(INDEX('STATIC DATA'!C56:AB56,1,MATCH(A1,'STATIC DATA'!C4:AB4,0))="6M","SEMI-ANNUAL", "QUARTERLY")))</f>
        <v>SEMI-ANNUAL</v>
      </c>
      <c r="T54" s="53"/>
      <c r="AB54" s="50"/>
      <c r="AC54" s="222" t="s">
        <v>760</v>
      </c>
      <c r="AD54" s="216" t="str">
        <f>INDEX('STATIC DATA'!C39:AB39,1,MATCH($A$1,'STATIC DATA'!$C$4:$AB$4,0))</f>
        <v>PRB</v>
      </c>
      <c r="AE54" s="53"/>
      <c r="AG54" t="s">
        <v>442</v>
      </c>
      <c r="AH54" s="647" t="str">
        <f t="array" ref="AH54:AH57">IF(ExistsCZK6M,_xll.meLWOCurveCalibrate($AH$48,$AH$49,$AH$45,$AH$50),"LOAD DEPENDENCIES")</f>
        <v>CZK_BASIS_3M6M_CURVE@466:10</v>
      </c>
      <c r="AM54" s="50"/>
      <c r="AN54" s="222" t="s">
        <v>780</v>
      </c>
      <c r="AO54" s="216" t="s">
        <v>687</v>
      </c>
      <c r="AP54" s="53"/>
      <c r="AX54" s="50"/>
      <c r="AY54" s="220" t="s">
        <v>764</v>
      </c>
      <c r="AZ54" s="238" t="s">
        <v>687</v>
      </c>
      <c r="BA54" s="53"/>
      <c r="BC54" t="s">
        <v>442</v>
      </c>
      <c r="BD54" s="647" t="str">
        <f t="array" ref="BD54:BD57">IF(ExistsCZK3M,_xll.meLWOCurveCalibrate($BD$48,$BD$49,$BD$45,$BD$50),"LOAD DEPENDENCY")</f>
        <v>CZK_BASIS_1M3M_CURVE@469:10</v>
      </c>
      <c r="BI54" s="50"/>
      <c r="BJ54" s="222" t="s">
        <v>778</v>
      </c>
      <c r="BK54" s="216" t="str">
        <f>INDEX('STATIC DATA'!C40:AB40,1,MATCH($A$1,'STATIC DATA'!$C$4:$AB$4,0))</f>
        <v>PRB</v>
      </c>
      <c r="BL54" s="53"/>
      <c r="BN54" t="s">
        <v>442</v>
      </c>
      <c r="BO54" s="647" t="str">
        <f t="array" ref="BO54:BO57">IF(AND(ExistsCZK3M,ExistsUSD3M),_xll.meLWOCurveCalibrate($BO$48,$BO$49,$BO$45,$BO$50,$BO$51),"LOAD DEPENDENCY")</f>
        <v>CZK_XCCYBASIS_CURVE@485:1</v>
      </c>
      <c r="BT54" s="50"/>
      <c r="BU54" s="55"/>
      <c r="BV54" s="55"/>
      <c r="BW54" s="55"/>
      <c r="BX54" s="332"/>
      <c r="BY54" s="270" t="s">
        <v>831</v>
      </c>
      <c r="BZ54" s="271" t="s">
        <v>1339</v>
      </c>
      <c r="CA54" s="283"/>
      <c r="CB54" s="299"/>
      <c r="CD54" t="s">
        <v>442</v>
      </c>
      <c r="CE54" s="647" t="str">
        <f t="array" ref="CE54:CE57">IF(AND(ExistsCZKXCCY,ExistsEURXCCY),_xll.meLWOCurveCalibrate(CE48,CE49,CE45,CE50,CE51),"LOAD DEPENDENCY")</f>
        <v>CZK_EURCSA_CURVE@525:1</v>
      </c>
      <c r="CJ54" t="s">
        <v>442</v>
      </c>
      <c r="CK54" s="647" t="str">
        <f t="array" ref="CK54:CK57">IF(AND(ExistsCZKXCCY,ExistsJPYXCCY),_xll.meLWOCurveCalibrate(CK48,CK49,CK45,CK50,CK51),"LOAD CZKDF_USDCSA")</f>
        <v>CZK_JPYCSA_CURVE@526:1</v>
      </c>
      <c r="CP54" s="507"/>
      <c r="CQ54" s="507"/>
      <c r="CR54" s="507"/>
      <c r="CS54" s="507"/>
    </row>
    <row r="55" spans="6:97" x14ac:dyDescent="0.25">
      <c r="F55" s="50"/>
      <c r="G55" s="52"/>
      <c r="H55" s="52"/>
      <c r="I55" s="53"/>
      <c r="K55" t="s">
        <v>455</v>
      </c>
      <c r="L55" t="str">
        <v>CZKYC</v>
      </c>
      <c r="Q55" s="50"/>
      <c r="R55" s="222" t="s">
        <v>1150</v>
      </c>
      <c r="S55" s="223" t="s">
        <v>458</v>
      </c>
      <c r="T55" s="53"/>
      <c r="V55" s="2" t="s">
        <v>441</v>
      </c>
      <c r="AB55" s="50"/>
      <c r="AC55" s="225" t="s">
        <v>761</v>
      </c>
      <c r="AD55" s="219" t="s">
        <v>721</v>
      </c>
      <c r="AE55" s="53"/>
      <c r="AG55" t="s">
        <v>455</v>
      </c>
      <c r="AH55" t="str">
        <v>CZKYC</v>
      </c>
      <c r="AM55" s="50"/>
      <c r="AN55" s="233" t="s">
        <v>781</v>
      </c>
      <c r="AO55" s="241" t="s">
        <v>782</v>
      </c>
      <c r="AP55" s="53"/>
      <c r="AX55" s="50"/>
      <c r="AY55" s="222" t="s">
        <v>765</v>
      </c>
      <c r="AZ55" s="216" t="str">
        <f>INDEX('STATIC DATA'!C39:AB39,1,MATCH($A$1,'STATIC DATA'!$C$4:$AB$4,0))</f>
        <v>PRB</v>
      </c>
      <c r="BA55" s="53"/>
      <c r="BC55" t="s">
        <v>455</v>
      </c>
      <c r="BD55" t="str">
        <v>CZKYC</v>
      </c>
      <c r="BI55" s="50"/>
      <c r="BJ55" s="222" t="s">
        <v>779</v>
      </c>
      <c r="BK55" s="216" t="str">
        <f>INDEX('STATIC DATA'!C7:AB7,1,MATCH($A$1,'STATIC DATA'!$C$4:$AB$4,0))</f>
        <v>2D</v>
      </c>
      <c r="BL55" s="53"/>
      <c r="BN55" t="s">
        <v>455</v>
      </c>
      <c r="BO55" t="str">
        <v>CZKYC</v>
      </c>
      <c r="BT55" s="50"/>
      <c r="BU55" s="55"/>
      <c r="BV55" s="55"/>
      <c r="BW55" s="55"/>
      <c r="BX55" s="332"/>
      <c r="BZ55" s="263" t="str">
        <f>_xll.meLWOFXCurveCreate(BZ54,BV8,BZ45)</f>
        <v>FX_CURVE_USDCZK@297:10</v>
      </c>
      <c r="CA55" s="283"/>
      <c r="CB55" s="299"/>
      <c r="CD55" t="s">
        <v>455</v>
      </c>
      <c r="CE55" t="str">
        <v>CZKYC</v>
      </c>
      <c r="CJ55" t="s">
        <v>455</v>
      </c>
      <c r="CK55" t="str">
        <v>CZKYC</v>
      </c>
      <c r="CP55" s="507"/>
      <c r="CQ55" s="507"/>
      <c r="CR55" s="507"/>
      <c r="CS55" s="507"/>
    </row>
    <row r="56" spans="6:97" x14ac:dyDescent="0.25">
      <c r="F56" s="50"/>
      <c r="G56" s="52"/>
      <c r="H56" s="52"/>
      <c r="I56" s="53"/>
      <c r="K56" t="s">
        <v>456</v>
      </c>
      <c r="L56" t="str">
        <v>OIS:CZKOIS</v>
      </c>
      <c r="Q56" s="50"/>
      <c r="R56" s="222" t="s">
        <v>826</v>
      </c>
      <c r="S56" s="223" t="s">
        <v>1655</v>
      </c>
      <c r="T56" s="53"/>
      <c r="V56" t="s">
        <v>442</v>
      </c>
      <c r="W56" t="str">
        <f>W50&amp;"_"&amp;W51&amp;"_"&amp;INDEX('STATIC DATA'!$C$56:$AB$56,1,MATCH($W50,'STATIC DATA'!$C$4:$AB$4,0))&amp;"_CURVE_MARKETDATA"</f>
        <v>CZK_SWAP_6M_CURVE_MARKETDATA</v>
      </c>
      <c r="AB56" s="50"/>
      <c r="AC56" s="225" t="s">
        <v>762</v>
      </c>
      <c r="AD56" s="219" t="str">
        <f>INDEX('STATIC DATA'!C39:AB39,1,MATCH($A$1,'STATIC DATA'!$C$4:$AB$4,0))</f>
        <v>PRB</v>
      </c>
      <c r="AE56" s="53"/>
      <c r="AG56" t="s">
        <v>456</v>
      </c>
      <c r="AH56" t="str">
        <v>3M6MBasis:PRB3M</v>
      </c>
      <c r="AM56" s="50"/>
      <c r="AN56" s="222" t="s">
        <v>783</v>
      </c>
      <c r="AO56" s="216" t="s">
        <v>718</v>
      </c>
      <c r="AP56" s="53"/>
      <c r="AX56" s="50"/>
      <c r="AY56" s="222" t="s">
        <v>766</v>
      </c>
      <c r="AZ56" s="216" t="str">
        <f>INDEX('STATIC DATA'!C55:AB55,1,MATCH($A$1,'STATIC DATA'!C4:AB4,0))</f>
        <v>ACT/360</v>
      </c>
      <c r="BA56" s="53"/>
      <c r="BC56" t="s">
        <v>456</v>
      </c>
      <c r="BD56" t="str">
        <v>1M3MBasis:PRB1M</v>
      </c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XccyBasis:CZKDF_USDCSA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FwdFXConstEUR:CZKDF_EURCSA</v>
      </c>
      <c r="CJ56" t="s">
        <v>456</v>
      </c>
      <c r="CK56" t="str">
        <v>FwdFXConstJPY:CZKDF_JPYCSA</v>
      </c>
      <c r="CP56" s="507"/>
      <c r="CQ56" s="507"/>
      <c r="CR56" s="507"/>
      <c r="CS56" s="507"/>
    </row>
    <row r="57" spans="6:97" x14ac:dyDescent="0.25">
      <c r="F57" s="50"/>
      <c r="G57" s="52"/>
      <c r="H57" s="52"/>
      <c r="I57" s="53"/>
      <c r="K57" t="s">
        <v>664</v>
      </c>
      <c r="L57" t="str">
        <v>0.092000 sec</v>
      </c>
      <c r="Q57" s="50"/>
      <c r="R57" s="222" t="s">
        <v>707</v>
      </c>
      <c r="S57" s="223" t="s">
        <v>687</v>
      </c>
      <c r="T57" s="53"/>
      <c r="V57" t="s">
        <v>444</v>
      </c>
      <c r="W57" t="str">
        <f>_xll.meLWOCurveMarketDataCreate(W56,V49,V50:W54,"LIBORFIXINGS",V7:W10,"FRAS",V11:X15,"BASISSWAPS",V16:X28,"SWAPS",V29:X41)</f>
        <v>CZK_SWAP_6M_CURVE_MARKETDATA@213:42</v>
      </c>
      <c r="AB57" s="50"/>
      <c r="AC57" s="225" t="s">
        <v>763</v>
      </c>
      <c r="AD57" s="219" t="str">
        <f>INDEX('STATIC DATA'!C7:AB7,1,MATCH($A$1,'STATIC DATA'!$C$4:$AB$4,0))</f>
        <v>2D</v>
      </c>
      <c r="AE57" s="53"/>
      <c r="AG57" t="s">
        <v>664</v>
      </c>
      <c r="AH57" t="str">
        <v>0.009000 sec</v>
      </c>
      <c r="AM57" s="50"/>
      <c r="AN57" s="222" t="s">
        <v>784</v>
      </c>
      <c r="AO57" s="216" t="s">
        <v>675</v>
      </c>
      <c r="AP57" s="53"/>
      <c r="AX57" s="50"/>
      <c r="AY57" s="222" t="s">
        <v>767</v>
      </c>
      <c r="AZ57" s="216" t="s">
        <v>794</v>
      </c>
      <c r="BA57" s="53"/>
      <c r="BC57" t="s">
        <v>664</v>
      </c>
      <c r="BD57" t="str">
        <v>0.010000 sec</v>
      </c>
      <c r="BI57" s="50"/>
      <c r="BJ57" s="233" t="s">
        <v>781</v>
      </c>
      <c r="BK57" s="241" t="s">
        <v>810</v>
      </c>
      <c r="BL57" s="53"/>
      <c r="BN57" t="s">
        <v>664</v>
      </c>
      <c r="BO57" t="str">
        <v>0.021000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P57" s="507"/>
      <c r="CQ57" s="507"/>
      <c r="CR57" s="507"/>
      <c r="CS57" s="507"/>
    </row>
    <row r="58" spans="6:97" x14ac:dyDescent="0.25">
      <c r="F58" s="50"/>
      <c r="G58" s="52"/>
      <c r="H58" s="52"/>
      <c r="I58" s="53"/>
      <c r="Q58" s="50"/>
      <c r="R58" s="222" t="s">
        <v>736</v>
      </c>
      <c r="S58" s="223" t="s">
        <v>718</v>
      </c>
      <c r="T58" s="53"/>
      <c r="AB58" s="50"/>
      <c r="AC58" s="220" t="s">
        <v>764</v>
      </c>
      <c r="AD58" s="238" t="s">
        <v>687</v>
      </c>
      <c r="AE58" s="53"/>
      <c r="AM58" s="50"/>
      <c r="AN58" s="222" t="s">
        <v>785</v>
      </c>
      <c r="AO58" s="216" t="s">
        <v>718</v>
      </c>
      <c r="AP58" s="53"/>
      <c r="AX58" s="50"/>
      <c r="AY58" s="222" t="s">
        <v>768</v>
      </c>
      <c r="AZ58" s="239" t="s">
        <v>794</v>
      </c>
      <c r="BA58" s="53"/>
      <c r="BD58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P58" s="507"/>
      <c r="CQ58" s="507"/>
      <c r="CR58" s="507"/>
      <c r="CS58" s="507"/>
    </row>
    <row r="59" spans="6:97" x14ac:dyDescent="0.25">
      <c r="F59" s="50"/>
      <c r="G59" s="52"/>
      <c r="H59" s="52"/>
      <c r="I59" s="53"/>
      <c r="Q59" s="50"/>
      <c r="R59" s="222" t="s">
        <v>737</v>
      </c>
      <c r="S59" s="223">
        <v>31</v>
      </c>
      <c r="T59" s="53"/>
      <c r="V59" s="2" t="s">
        <v>447</v>
      </c>
      <c r="AB59" s="50"/>
      <c r="AC59" s="222" t="s">
        <v>765</v>
      </c>
      <c r="AD59" s="216" t="str">
        <f>INDEX('STATIC DATA'!C39:AB39,1,MATCH($A$1,'STATIC DATA'!$C$4:$AB$4,0))</f>
        <v>PRB</v>
      </c>
      <c r="AE59" s="53"/>
      <c r="AM59" s="50"/>
      <c r="AN59" s="233" t="s">
        <v>786</v>
      </c>
      <c r="AO59" s="246" t="s">
        <v>322</v>
      </c>
      <c r="AP59" s="53"/>
      <c r="AX59" s="50"/>
      <c r="AY59" s="222" t="s">
        <v>769</v>
      </c>
      <c r="AZ59" s="216" t="s">
        <v>687</v>
      </c>
      <c r="BA59" s="53"/>
      <c r="BD59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P59" s="507"/>
      <c r="CQ59" s="507"/>
      <c r="CR59" s="507"/>
      <c r="CS59" s="507"/>
    </row>
    <row r="60" spans="6:97" x14ac:dyDescent="0.25">
      <c r="F60" s="50"/>
      <c r="G60" s="52"/>
      <c r="H60" s="52"/>
      <c r="I60" s="53"/>
      <c r="Q60" s="50"/>
      <c r="R60" s="222" t="s">
        <v>738</v>
      </c>
      <c r="S60" s="223" t="s">
        <v>718</v>
      </c>
      <c r="T60" s="53"/>
      <c r="V60" t="s">
        <v>442</v>
      </c>
      <c r="W60" t="str">
        <f>W50&amp;"_"&amp;W51&amp;"_"&amp;INDEX('STATIC DATA'!$C$56:$AB$56,1,MATCH($W50,'STATIC DATA'!$C$4:$AB$4,0))&amp;"_CURVE"</f>
        <v>CZK_SWAP_6M_CURVE</v>
      </c>
      <c r="AB60" s="50"/>
      <c r="AC60" s="222" t="s">
        <v>766</v>
      </c>
      <c r="AD60" s="216" t="str">
        <f>INDEX('STATIC DATA'!C55:AB55,1,MATCH($A$1,'STATIC DATA'!C4:AB4,0))</f>
        <v>ACT/360</v>
      </c>
      <c r="AE60" s="53"/>
      <c r="AM60" s="50"/>
      <c r="AN60" s="222" t="s">
        <v>787</v>
      </c>
      <c r="AO60" s="216" t="s">
        <v>720</v>
      </c>
      <c r="AP60" s="53"/>
      <c r="AX60" s="50"/>
      <c r="AY60" s="225" t="s">
        <v>770</v>
      </c>
      <c r="AZ60" s="219" t="str">
        <f>INDEX('STATIC DATA'!C7:AB7,1,MATCH($A$1,'STATIC DATA'!$C$4:$AB$4,0))</f>
        <v>2D</v>
      </c>
      <c r="BA60" s="53"/>
      <c r="BD60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P60" s="507"/>
      <c r="CQ60" s="507"/>
      <c r="CR60" s="507"/>
      <c r="CS60" s="507"/>
    </row>
    <row r="61" spans="6:97" x14ac:dyDescent="0.25">
      <c r="F61" s="50"/>
      <c r="G61" s="52"/>
      <c r="H61" s="52"/>
      <c r="I61" s="53"/>
      <c r="Q61" s="50"/>
      <c r="R61" s="222" t="s">
        <v>740</v>
      </c>
      <c r="S61" s="223" t="s">
        <v>718</v>
      </c>
      <c r="T61" s="53"/>
      <c r="V61" t="s">
        <v>450</v>
      </c>
      <c r="W61" t="str">
        <f>S8</f>
        <v>CZK_SWAP_6M@400:6</v>
      </c>
      <c r="AB61" s="50"/>
      <c r="AC61" s="222" t="s">
        <v>767</v>
      </c>
      <c r="AD61" s="216" t="s">
        <v>458</v>
      </c>
      <c r="AE61" s="53"/>
      <c r="AM61" s="50"/>
      <c r="AN61" s="225" t="s">
        <v>697</v>
      </c>
      <c r="AO61" s="240">
        <v>1.0000000000000003E-9</v>
      </c>
      <c r="AP61" s="53"/>
      <c r="AX61" s="50"/>
      <c r="AY61" s="234" t="s">
        <v>771</v>
      </c>
      <c r="AZ61" s="248" t="s">
        <v>714</v>
      </c>
      <c r="BA61" s="249" t="s">
        <v>801</v>
      </c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P61" s="507"/>
      <c r="CQ61" s="507"/>
      <c r="CR61" s="507"/>
      <c r="CS61" s="507"/>
    </row>
    <row r="62" spans="6:97" x14ac:dyDescent="0.25">
      <c r="F62" s="50"/>
      <c r="G62" s="52"/>
      <c r="H62" s="52"/>
      <c r="I62" s="53"/>
      <c r="Q62" s="50"/>
      <c r="R62" s="222" t="s">
        <v>739</v>
      </c>
      <c r="S62" s="223" t="str">
        <f>INDEX('STATIC DATA'!C7:AB7,1,MATCH($A$1,'STATIC DATA'!$C$4:$AB$4,0))</f>
        <v>2D</v>
      </c>
      <c r="T62" s="53"/>
      <c r="V62" t="s">
        <v>452</v>
      </c>
      <c r="W62" t="str">
        <f>$A$1&amp;"YC"</f>
        <v>CZKYC</v>
      </c>
      <c r="AB62" s="50"/>
      <c r="AC62" s="222" t="s">
        <v>768</v>
      </c>
      <c r="AD62" s="239" t="str">
        <f>AD61</f>
        <v>QUARTERLY</v>
      </c>
      <c r="AE62" s="53"/>
      <c r="AM62" s="50"/>
      <c r="AN62" s="225" t="s">
        <v>698</v>
      </c>
      <c r="AO62" s="219">
        <v>1000</v>
      </c>
      <c r="AP62" s="53"/>
      <c r="AX62" s="50"/>
      <c r="AY62" s="234" t="s">
        <v>772</v>
      </c>
      <c r="AZ62" s="242" t="s">
        <v>426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P62" s="507"/>
      <c r="CQ62" s="507"/>
      <c r="CR62" s="507"/>
      <c r="CS62" s="507"/>
    </row>
    <row r="63" spans="6:97" x14ac:dyDescent="0.25">
      <c r="F63" s="50"/>
      <c r="G63" s="52"/>
      <c r="H63" s="52"/>
      <c r="I63" s="53"/>
      <c r="Q63" s="50"/>
      <c r="R63" s="222" t="s">
        <v>697</v>
      </c>
      <c r="S63" s="224">
        <v>1.0000000000000001E-9</v>
      </c>
      <c r="T63" s="53"/>
      <c r="V63" t="s">
        <v>453</v>
      </c>
      <c r="AB63" s="50"/>
      <c r="AC63" s="222" t="s">
        <v>769</v>
      </c>
      <c r="AD63" s="216" t="s">
        <v>687</v>
      </c>
      <c r="AE63" s="53"/>
      <c r="AM63" s="50"/>
      <c r="AN63" s="225" t="s">
        <v>788</v>
      </c>
      <c r="AO63" s="219" t="s">
        <v>720</v>
      </c>
      <c r="AP63" s="53"/>
      <c r="AX63" s="50"/>
      <c r="AY63" s="245" t="s">
        <v>774</v>
      </c>
      <c r="AZ63" s="244" t="s">
        <v>300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P63" s="507"/>
      <c r="CQ63" s="507"/>
      <c r="CR63" s="507"/>
      <c r="CS63" s="507"/>
    </row>
    <row r="64" spans="6:97" x14ac:dyDescent="0.25">
      <c r="F64" s="50"/>
      <c r="G64" s="52"/>
      <c r="H64" s="52"/>
      <c r="I64" s="53"/>
      <c r="Q64" s="50"/>
      <c r="R64" s="222" t="s">
        <v>698</v>
      </c>
      <c r="S64" s="223">
        <v>1000</v>
      </c>
      <c r="T64" s="53"/>
      <c r="AB64" s="50"/>
      <c r="AC64" s="225" t="s">
        <v>770</v>
      </c>
      <c r="AD64" s="219" t="str">
        <f>INDEX('STATIC DATA'!C7:AB7,1,MATCH($A$1,'STATIC DATA'!$C$4:$AB$4,0))</f>
        <v>2D</v>
      </c>
      <c r="AE64" s="53"/>
      <c r="AM64" s="50"/>
      <c r="AN64" s="225" t="s">
        <v>789</v>
      </c>
      <c r="AO64" s="219" t="s">
        <v>718</v>
      </c>
      <c r="AP64" s="53"/>
      <c r="AX64" s="50"/>
      <c r="AY64" s="222" t="s">
        <v>775</v>
      </c>
      <c r="AZ64" s="216" t="str">
        <f>INDEX('STATIC DATA'!C55:AB55,1,MATCH($A$1,'STATIC DATA'!C4:AB4,0))</f>
        <v>ACT/360</v>
      </c>
      <c r="BA64" s="53"/>
      <c r="BI64" s="50"/>
      <c r="BJ64" s="233" t="s">
        <v>786</v>
      </c>
      <c r="BK64" s="246" t="s">
        <v>49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P64" s="507"/>
      <c r="CQ64" s="507"/>
      <c r="CR64" s="507"/>
      <c r="CS64" s="507"/>
    </row>
    <row r="65" spans="6:97" x14ac:dyDescent="0.25">
      <c r="F65" s="50"/>
      <c r="G65" s="52"/>
      <c r="H65" s="52"/>
      <c r="I65" s="53"/>
      <c r="Q65" s="50"/>
      <c r="R65" s="225" t="s">
        <v>1152</v>
      </c>
      <c r="S65" s="226" t="s">
        <v>937</v>
      </c>
      <c r="T65" s="53"/>
      <c r="V65" s="2" t="s">
        <v>454</v>
      </c>
      <c r="AB65" s="50"/>
      <c r="AC65" s="234" t="s">
        <v>771</v>
      </c>
      <c r="AD65" s="242" t="s">
        <v>714</v>
      </c>
      <c r="AE65" s="53"/>
      <c r="AM65" s="50"/>
      <c r="AN65" s="225" t="s">
        <v>688</v>
      </c>
      <c r="AO65" s="219">
        <v>31</v>
      </c>
      <c r="AP65" s="53"/>
      <c r="AX65" s="50"/>
      <c r="AY65" s="222" t="s">
        <v>776</v>
      </c>
      <c r="AZ65" s="216" t="str">
        <f>INDEX('STATIC DATA'!C39:AB39,1,MATCH($A$1,'STATIC DATA'!$C$4:$AB$4,0))</f>
        <v>PRB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P65" s="507"/>
      <c r="CQ65" s="507"/>
      <c r="CR65" s="507"/>
      <c r="CS65" s="507"/>
    </row>
    <row r="66" spans="6:97" x14ac:dyDescent="0.25">
      <c r="F66" s="50"/>
      <c r="G66" s="52"/>
      <c r="H66" s="52"/>
      <c r="I66" s="53"/>
      <c r="Q66" s="50"/>
      <c r="R66" s="52"/>
      <c r="S66" s="52"/>
      <c r="T66" s="53"/>
      <c r="V66" t="s">
        <v>442</v>
      </c>
      <c r="W66" s="647" t="str">
        <f t="array" ref="W66:W69">IF(ExistsCZKOIS,_xll.meLWOCurveCalibrate(W60,W61,W57,W62),"LOAD DEPENDENCIES")</f>
        <v>CZK_SWAP_6M_CURVE@463:10</v>
      </c>
      <c r="AB66" s="50"/>
      <c r="AC66" s="234" t="s">
        <v>772</v>
      </c>
      <c r="AD66" s="242" t="s">
        <v>426</v>
      </c>
      <c r="AE66" s="53"/>
      <c r="AM66" s="50"/>
      <c r="AN66" s="85"/>
      <c r="AO66" s="85"/>
      <c r="AP66" s="53"/>
      <c r="AX66" s="50"/>
      <c r="AY66" s="222" t="s">
        <v>777</v>
      </c>
      <c r="AZ66" s="216" t="s">
        <v>721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P66" s="507"/>
      <c r="CQ66" s="507"/>
      <c r="CR66" s="507"/>
      <c r="CS66" s="507"/>
    </row>
    <row r="67" spans="6:97" x14ac:dyDescent="0.25">
      <c r="F67" s="50"/>
      <c r="G67" s="52"/>
      <c r="H67" s="52"/>
      <c r="I67" s="53"/>
      <c r="Q67" s="50"/>
      <c r="R67" s="54" t="s">
        <v>467</v>
      </c>
      <c r="S67" s="85" t="s">
        <v>713</v>
      </c>
      <c r="T67" s="53"/>
      <c r="V67" t="s">
        <v>455</v>
      </c>
      <c r="W67" s="206" t="str">
        <v>CZKYC</v>
      </c>
      <c r="AB67" s="50"/>
      <c r="AC67" s="245" t="s">
        <v>774</v>
      </c>
      <c r="AD67" s="244" t="s">
        <v>49</v>
      </c>
      <c r="AE67" s="53"/>
      <c r="AM67" s="50"/>
      <c r="AN67" s="85"/>
      <c r="AO67" s="85"/>
      <c r="AP67" s="53"/>
      <c r="AX67" s="50"/>
      <c r="AY67" s="222" t="s">
        <v>778</v>
      </c>
      <c r="AZ67" s="216" t="str">
        <f>INDEX('STATIC DATA'!C39:AB39,1,MATCH($A$1,'STATIC DATA'!$C$4:$AB$4,0))</f>
        <v>PRB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P67" s="507"/>
      <c r="CQ67" s="507"/>
      <c r="CR67" s="507"/>
      <c r="CS67" s="507"/>
    </row>
    <row r="68" spans="6:97" x14ac:dyDescent="0.25">
      <c r="F68" s="50"/>
      <c r="G68" s="52"/>
      <c r="H68" s="52"/>
      <c r="I68" s="53"/>
      <c r="Q68" s="50"/>
      <c r="R68" s="233" t="s">
        <v>750</v>
      </c>
      <c r="S68" s="230" t="s">
        <v>720</v>
      </c>
      <c r="T68" s="53"/>
      <c r="V68" t="s">
        <v>456</v>
      </c>
      <c r="W68" s="206" t="str">
        <v>STD:PRB6M</v>
      </c>
      <c r="AB68" s="50"/>
      <c r="AC68" s="222" t="s">
        <v>775</v>
      </c>
      <c r="AD68" s="216" t="str">
        <f>INDEX('STATIC DATA'!C55:AB55,1,MATCH($A$1,'STATIC DATA'!C4:AB4,0))</f>
        <v>ACT/360</v>
      </c>
      <c r="AE68" s="53"/>
      <c r="AM68" s="50"/>
      <c r="AN68" s="85"/>
      <c r="AO68" s="85"/>
      <c r="AP68" s="53"/>
      <c r="AX68" s="50"/>
      <c r="AY68" s="222" t="s">
        <v>779</v>
      </c>
      <c r="AZ68" s="216" t="str">
        <f>INDEX('STATIC DATA'!C7:AB7,1,MATCH($A$1,'STATIC DATA'!$C$4:$AB$4,0))</f>
        <v>2D</v>
      </c>
      <c r="BA68" s="53"/>
      <c r="BI68" s="50"/>
      <c r="BJ68" s="225" t="s">
        <v>677</v>
      </c>
      <c r="BK68" s="240" t="str">
        <f>INDEX('STATIC DATA'!C30:AB30,1,MATCH($A$1,'STATIC DATA'!$C$4:$AB$4,0))</f>
        <v>PRB:TGT:LNB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P68" s="507"/>
      <c r="CQ68" s="507"/>
      <c r="CR68" s="507"/>
      <c r="CS68" s="507"/>
    </row>
    <row r="69" spans="6:97" x14ac:dyDescent="0.25">
      <c r="F69" s="50"/>
      <c r="G69" s="52"/>
      <c r="H69" s="52"/>
      <c r="I69" s="53"/>
      <c r="Q69" s="50"/>
      <c r="R69" s="222" t="s">
        <v>751</v>
      </c>
      <c r="S69" s="216" t="str">
        <f>INDEX('STATIC DATA'!C39:AB39,1,MATCH($A$1,'STATIC DATA'!$C$4:$AB$4,0))</f>
        <v>PRB</v>
      </c>
      <c r="T69" s="53"/>
      <c r="V69" t="s">
        <v>664</v>
      </c>
      <c r="W69" s="206" t="str">
        <v>0.009000 sec</v>
      </c>
      <c r="AB69" s="50"/>
      <c r="AC69" s="222" t="s">
        <v>776</v>
      </c>
      <c r="AD69" s="216" t="str">
        <f>INDEX('STATIC DATA'!C39:AB39,1,MATCH($A$1,'STATIC DATA'!$C$4:$AB$4,0))</f>
        <v>PRB</v>
      </c>
      <c r="AE69" s="53"/>
      <c r="AM69" s="50"/>
      <c r="AN69" s="85"/>
      <c r="AO69" s="85"/>
      <c r="AP69" s="53"/>
      <c r="AX69" s="50"/>
      <c r="AY69" s="222" t="s">
        <v>780</v>
      </c>
      <c r="AZ69" s="216" t="s">
        <v>687</v>
      </c>
      <c r="BA69" s="53"/>
      <c r="BI69" s="50"/>
      <c r="BJ69" s="225" t="s">
        <v>683</v>
      </c>
      <c r="BK69" s="257" t="str">
        <f>INDEX('STATIC DATA'!C19:AB19,1,MATCH($A$1,'STATIC DATA'!$C$4:$AB$4,0))</f>
        <v>2d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P69" s="507"/>
      <c r="CQ69" s="507"/>
      <c r="CR69" s="507"/>
      <c r="CS69" s="507"/>
    </row>
    <row r="70" spans="6:97" x14ac:dyDescent="0.25">
      <c r="F70" s="50"/>
      <c r="G70" s="52"/>
      <c r="H70" s="52"/>
      <c r="I70" s="53"/>
      <c r="Q70" s="50"/>
      <c r="R70" s="222" t="s">
        <v>752</v>
      </c>
      <c r="S70" s="216" t="str">
        <f>INDEX('STATIC DATA'!C55:AB55,1,MATCH($A$1,'STATIC DATA'!C4:AB4,0))</f>
        <v>ACT/360</v>
      </c>
      <c r="T70" s="53"/>
      <c r="AB70" s="50"/>
      <c r="AC70" s="222" t="s">
        <v>777</v>
      </c>
      <c r="AD70" s="216" t="s">
        <v>721</v>
      </c>
      <c r="AE70" s="53"/>
      <c r="AM70" s="50"/>
      <c r="AN70" s="85"/>
      <c r="AO70" s="85"/>
      <c r="AP70" s="53"/>
      <c r="AX70" s="50"/>
      <c r="AY70" s="233" t="s">
        <v>781</v>
      </c>
      <c r="AZ70" s="241" t="s">
        <v>791</v>
      </c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P70" s="507"/>
      <c r="CQ70" s="507"/>
      <c r="CR70" s="507"/>
      <c r="CS70" s="507"/>
    </row>
    <row r="71" spans="6:97" x14ac:dyDescent="0.25">
      <c r="F71" s="50"/>
      <c r="G71" s="52"/>
      <c r="H71" s="52"/>
      <c r="I71" s="53"/>
      <c r="Q71" s="50"/>
      <c r="R71" s="225" t="s">
        <v>753</v>
      </c>
      <c r="S71" s="219" t="s">
        <v>459</v>
      </c>
      <c r="T71" s="53"/>
      <c r="AB71" s="50"/>
      <c r="AC71" s="222" t="s">
        <v>778</v>
      </c>
      <c r="AD71" s="216" t="str">
        <f>INDEX('STATIC DATA'!C39:AB39,1,MATCH($A$1,'STATIC DATA'!$C$4:$AB$4,0))</f>
        <v>PRB</v>
      </c>
      <c r="AE71" s="53"/>
      <c r="AM71" s="50"/>
      <c r="AN71" s="85"/>
      <c r="AO71" s="85"/>
      <c r="AP71" s="53"/>
      <c r="AX71" s="50"/>
      <c r="AY71" s="222" t="s">
        <v>783</v>
      </c>
      <c r="AZ71" s="216" t="s">
        <v>718</v>
      </c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P71" s="507"/>
      <c r="CQ71" s="507"/>
      <c r="CR71" s="507"/>
      <c r="CS71" s="507"/>
    </row>
    <row r="72" spans="6:97" x14ac:dyDescent="0.25">
      <c r="F72" s="50"/>
      <c r="G72" s="52"/>
      <c r="H72" s="52"/>
      <c r="I72" s="53"/>
      <c r="Q72" s="50"/>
      <c r="R72" s="222" t="s">
        <v>754</v>
      </c>
      <c r="S72" s="216" t="s">
        <v>687</v>
      </c>
      <c r="T72" s="53"/>
      <c r="AB72" s="50"/>
      <c r="AC72" s="222" t="s">
        <v>779</v>
      </c>
      <c r="AD72" s="216" t="str">
        <f>INDEX('STATIC DATA'!C7:AB7,1,MATCH($A$1,'STATIC DATA'!$C$4:$AB$4,0))</f>
        <v>2D</v>
      </c>
      <c r="AE72" s="53"/>
      <c r="AM72" s="50"/>
      <c r="AN72" s="85"/>
      <c r="AO72" s="85"/>
      <c r="AP72" s="53"/>
      <c r="AX72" s="50"/>
      <c r="AY72" s="222" t="s">
        <v>784</v>
      </c>
      <c r="AZ72" s="216" t="s">
        <v>675</v>
      </c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P72" s="507"/>
      <c r="CQ72" s="507"/>
      <c r="CR72" s="507"/>
      <c r="CS72" s="507"/>
    </row>
    <row r="73" spans="6:97" x14ac:dyDescent="0.25">
      <c r="F73" s="50"/>
      <c r="G73" s="52"/>
      <c r="H73" s="52"/>
      <c r="I73" s="53"/>
      <c r="Q73" s="50"/>
      <c r="R73" s="222" t="s">
        <v>755</v>
      </c>
      <c r="S73" s="216" t="str">
        <f>INDEX('STATIC DATA'!C7:AB7,1,MATCH($A$1,'STATIC DATA'!$C$4:$AB$4,0))</f>
        <v>2D</v>
      </c>
      <c r="T73" s="53"/>
      <c r="AB73" s="50"/>
      <c r="AC73" s="222" t="s">
        <v>780</v>
      </c>
      <c r="AD73" s="216" t="s">
        <v>687</v>
      </c>
      <c r="AE73" s="53"/>
      <c r="AM73" s="50"/>
      <c r="AN73" s="85"/>
      <c r="AO73" s="85"/>
      <c r="AP73" s="53"/>
      <c r="AX73" s="50"/>
      <c r="AY73" s="222" t="s">
        <v>785</v>
      </c>
      <c r="AZ73" s="216" t="s">
        <v>718</v>
      </c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P73" s="507"/>
      <c r="CQ73" s="507"/>
      <c r="CR73" s="507"/>
      <c r="CS73" s="507"/>
    </row>
    <row r="74" spans="6:97" x14ac:dyDescent="0.25">
      <c r="F74" s="50"/>
      <c r="G74" s="52"/>
      <c r="H74" s="52"/>
      <c r="I74" s="53"/>
      <c r="Q74" s="50"/>
      <c r="R74" s="245" t="s">
        <v>756</v>
      </c>
      <c r="S74" s="247" t="s">
        <v>714</v>
      </c>
      <c r="T74" s="249"/>
      <c r="AB74" s="50"/>
      <c r="AC74" s="233" t="s">
        <v>781</v>
      </c>
      <c r="AD74" s="241" t="s">
        <v>791</v>
      </c>
      <c r="AE74" s="53"/>
      <c r="AM74" s="50"/>
      <c r="AN74" s="85"/>
      <c r="AO74" s="85"/>
      <c r="AP74" s="53"/>
      <c r="AX74" s="50"/>
      <c r="AY74" s="233" t="s">
        <v>786</v>
      </c>
      <c r="AZ74" s="246" t="s">
        <v>300</v>
      </c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P74" s="507"/>
      <c r="CQ74" s="507"/>
      <c r="CR74" s="507"/>
      <c r="CS74" s="507"/>
    </row>
    <row r="75" spans="6:97" x14ac:dyDescent="0.25">
      <c r="F75" s="50"/>
      <c r="G75" s="52"/>
      <c r="H75" s="52"/>
      <c r="I75" s="53"/>
      <c r="Q75" s="50"/>
      <c r="R75" s="233" t="s">
        <v>757</v>
      </c>
      <c r="S75" s="229" t="s">
        <v>426</v>
      </c>
      <c r="T75" s="53"/>
      <c r="AB75" s="50"/>
      <c r="AC75" s="222" t="s">
        <v>783</v>
      </c>
      <c r="AD75" s="216" t="s">
        <v>718</v>
      </c>
      <c r="AE75" s="53"/>
      <c r="AM75" s="50"/>
      <c r="AN75" s="85"/>
      <c r="AO75" s="85"/>
      <c r="AP75" s="53"/>
      <c r="AX75" s="50"/>
      <c r="AY75" s="222" t="s">
        <v>787</v>
      </c>
      <c r="AZ75" s="216" t="s">
        <v>720</v>
      </c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P75" s="507"/>
      <c r="CQ75" s="507"/>
      <c r="CR75" s="507"/>
      <c r="CS75" s="507"/>
    </row>
    <row r="76" spans="6:97" x14ac:dyDescent="0.25">
      <c r="F76" s="50"/>
      <c r="G76" s="52"/>
      <c r="H76" s="52"/>
      <c r="I76" s="53"/>
      <c r="Q76" s="50"/>
      <c r="R76" s="245" t="s">
        <v>758</v>
      </c>
      <c r="S76" s="244" t="s">
        <v>46</v>
      </c>
      <c r="T76" s="53"/>
      <c r="AB76" s="50"/>
      <c r="AC76" s="222" t="s">
        <v>784</v>
      </c>
      <c r="AD76" s="216" t="s">
        <v>675</v>
      </c>
      <c r="AE76" s="53"/>
      <c r="AM76" s="50"/>
      <c r="AN76" s="85"/>
      <c r="AO76" s="85"/>
      <c r="AP76" s="53"/>
      <c r="AX76" s="50"/>
      <c r="AY76" s="225" t="s">
        <v>697</v>
      </c>
      <c r="AZ76" s="240">
        <v>1.0000000000000003E-9</v>
      </c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P76" s="507"/>
      <c r="CQ76" s="507"/>
      <c r="CR76" s="507"/>
      <c r="CS76" s="507"/>
    </row>
    <row r="77" spans="6:97" x14ac:dyDescent="0.25">
      <c r="F77" s="50"/>
      <c r="G77" s="52"/>
      <c r="H77" s="52"/>
      <c r="I77" s="53"/>
      <c r="Q77" s="50"/>
      <c r="R77" s="222" t="s">
        <v>759</v>
      </c>
      <c r="S77" s="216" t="str">
        <f>INDEX('STATIC DATA'!C55:AB55,1,MATCH($A$1,'STATIC DATA'!C4:AB4,0))</f>
        <v>ACT/360</v>
      </c>
      <c r="T77" s="53"/>
      <c r="AB77" s="50"/>
      <c r="AC77" s="222" t="s">
        <v>785</v>
      </c>
      <c r="AD77" s="216" t="s">
        <v>718</v>
      </c>
      <c r="AE77" s="53"/>
      <c r="AM77" s="50"/>
      <c r="AN77" s="85"/>
      <c r="AO77" s="85"/>
      <c r="AP77" s="53"/>
      <c r="AX77" s="50"/>
      <c r="AY77" s="225" t="s">
        <v>698</v>
      </c>
      <c r="AZ77" s="219">
        <v>1000</v>
      </c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P77" s="507"/>
      <c r="CQ77" s="507"/>
      <c r="CR77" s="507"/>
      <c r="CS77" s="507"/>
    </row>
    <row r="78" spans="6:97" x14ac:dyDescent="0.25">
      <c r="F78" s="50"/>
      <c r="G78" s="52"/>
      <c r="H78" s="52"/>
      <c r="I78" s="53"/>
      <c r="Q78" s="50"/>
      <c r="R78" s="222" t="s">
        <v>760</v>
      </c>
      <c r="S78" s="216" t="str">
        <f>INDEX('STATIC DATA'!C39:AB39,1,MATCH($A$1,'STATIC DATA'!$C$4:$AB$4,0))</f>
        <v>PRB</v>
      </c>
      <c r="T78" s="53"/>
      <c r="AB78" s="50"/>
      <c r="AC78" s="233" t="s">
        <v>786</v>
      </c>
      <c r="AD78" s="246" t="s">
        <v>49</v>
      </c>
      <c r="AE78" s="53"/>
      <c r="AM78" s="50"/>
      <c r="AN78" s="85"/>
      <c r="AO78" s="85"/>
      <c r="AP78" s="53"/>
      <c r="AX78" s="50"/>
      <c r="AY78" s="225" t="s">
        <v>788</v>
      </c>
      <c r="AZ78" s="219" t="s">
        <v>720</v>
      </c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P78" s="507"/>
      <c r="CQ78" s="507"/>
      <c r="CR78" s="507"/>
      <c r="CS78" s="507"/>
    </row>
    <row r="79" spans="6:97" x14ac:dyDescent="0.25">
      <c r="F79" s="50"/>
      <c r="G79" s="52"/>
      <c r="H79" s="52"/>
      <c r="I79" s="53"/>
      <c r="Q79" s="50"/>
      <c r="R79" s="225" t="s">
        <v>761</v>
      </c>
      <c r="S79" s="219" t="s">
        <v>721</v>
      </c>
      <c r="T79" s="53"/>
      <c r="AB79" s="50"/>
      <c r="AC79" s="222" t="s">
        <v>787</v>
      </c>
      <c r="AD79" s="216" t="s">
        <v>720</v>
      </c>
      <c r="AE79" s="53"/>
      <c r="AM79" s="50"/>
      <c r="AN79" s="85"/>
      <c r="AO79" s="85"/>
      <c r="AP79" s="53"/>
      <c r="AX79" s="50"/>
      <c r="AY79" s="225" t="s">
        <v>789</v>
      </c>
      <c r="AZ79" s="219" t="s">
        <v>718</v>
      </c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P79" s="507"/>
      <c r="CQ79" s="507"/>
      <c r="CR79" s="507"/>
      <c r="CS79" s="507"/>
    </row>
    <row r="80" spans="6:97" x14ac:dyDescent="0.25">
      <c r="F80" s="50"/>
      <c r="G80" s="52"/>
      <c r="H80" s="52"/>
      <c r="I80" s="53"/>
      <c r="Q80" s="50"/>
      <c r="R80" s="225" t="s">
        <v>762</v>
      </c>
      <c r="S80" s="219" t="str">
        <f>INDEX('STATIC DATA'!C39:AB39,1,MATCH($A$1,'STATIC DATA'!$C$4:$AB$4,0))</f>
        <v>PRB</v>
      </c>
      <c r="T80" s="53"/>
      <c r="AB80" s="50"/>
      <c r="AC80" s="225" t="s">
        <v>697</v>
      </c>
      <c r="AD80" s="240">
        <v>1.0000000000000003E-9</v>
      </c>
      <c r="AE80" s="53"/>
      <c r="AM80" s="50"/>
      <c r="AN80" s="85"/>
      <c r="AO80" s="85"/>
      <c r="AP80" s="53"/>
      <c r="AX80" s="50"/>
      <c r="AY80" s="225" t="s">
        <v>688</v>
      </c>
      <c r="AZ80" s="219">
        <v>31</v>
      </c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P80" s="507"/>
      <c r="CQ80" s="507"/>
      <c r="CR80" s="507"/>
      <c r="CS80" s="507"/>
    </row>
    <row r="81" spans="6:97" x14ac:dyDescent="0.25">
      <c r="F81" s="50"/>
      <c r="G81" s="52"/>
      <c r="H81" s="52"/>
      <c r="I81" s="53"/>
      <c r="Q81" s="50"/>
      <c r="R81" s="225" t="s">
        <v>763</v>
      </c>
      <c r="S81" s="219" t="str">
        <f>INDEX('STATIC DATA'!C7:AB7,1,MATCH($A$1,'STATIC DATA'!$C$4:$AB$4,0))</f>
        <v>2D</v>
      </c>
      <c r="T81" s="53"/>
      <c r="AB81" s="50"/>
      <c r="AC81" s="225" t="s">
        <v>698</v>
      </c>
      <c r="AD81" s="219">
        <v>1000</v>
      </c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P81" s="507"/>
      <c r="CQ81" s="507"/>
      <c r="CR81" s="507"/>
      <c r="CS81" s="507"/>
    </row>
    <row r="82" spans="6:97" x14ac:dyDescent="0.25">
      <c r="F82" s="50"/>
      <c r="G82" s="52"/>
      <c r="H82" s="52"/>
      <c r="I82" s="53"/>
      <c r="Q82" s="50"/>
      <c r="R82" s="220" t="s">
        <v>764</v>
      </c>
      <c r="S82" s="238" t="s">
        <v>687</v>
      </c>
      <c r="T82" s="53"/>
      <c r="V82" s="335"/>
      <c r="AB82" s="50"/>
      <c r="AC82" s="225" t="s">
        <v>788</v>
      </c>
      <c r="AD82" s="219" t="b">
        <v>0</v>
      </c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P82" s="507"/>
      <c r="CQ82" s="507"/>
      <c r="CR82" s="507"/>
      <c r="CS82" s="507"/>
    </row>
    <row r="83" spans="6:97" x14ac:dyDescent="0.25">
      <c r="F83" s="50"/>
      <c r="G83" s="52"/>
      <c r="H83" s="52"/>
      <c r="I83" s="53"/>
      <c r="Q83" s="50"/>
      <c r="R83" s="222" t="s">
        <v>765</v>
      </c>
      <c r="S83" s="216" t="str">
        <f>INDEX('STATIC DATA'!C39:AB39,1,MATCH($A$1,'STATIC DATA'!$C$4:$AB$4,0))</f>
        <v>PRB</v>
      </c>
      <c r="T83" s="53"/>
      <c r="AB83" s="50"/>
      <c r="AC83" s="225" t="s">
        <v>789</v>
      </c>
      <c r="AD83" s="219" t="s">
        <v>718</v>
      </c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P83" s="507"/>
      <c r="CQ83" s="507"/>
      <c r="CR83" s="507"/>
      <c r="CS83" s="507"/>
    </row>
    <row r="84" spans="6:97" x14ac:dyDescent="0.25">
      <c r="F84" s="50"/>
      <c r="G84" s="52"/>
      <c r="H84" s="52"/>
      <c r="I84" s="53"/>
      <c r="Q84" s="50"/>
      <c r="R84" s="222" t="s">
        <v>766</v>
      </c>
      <c r="S84" s="216" t="str">
        <f>INDEX('STATIC DATA'!C55:AB55,1,MATCH($A$1,'STATIC DATA'!C4:AB4,0))</f>
        <v>ACT/360</v>
      </c>
      <c r="T84" s="53"/>
      <c r="AB84" s="50"/>
      <c r="AC84" s="225" t="s">
        <v>688</v>
      </c>
      <c r="AD84" s="219">
        <v>31</v>
      </c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P84" s="507"/>
      <c r="CQ84" s="507"/>
      <c r="CR84" s="507"/>
      <c r="CS84" s="507"/>
    </row>
    <row r="85" spans="6:97" x14ac:dyDescent="0.25">
      <c r="F85" s="50"/>
      <c r="G85" s="52"/>
      <c r="H85" s="52"/>
      <c r="I85" s="53"/>
      <c r="Q85" s="50"/>
      <c r="R85" s="222" t="s">
        <v>767</v>
      </c>
      <c r="S85" s="216" t="s">
        <v>458</v>
      </c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P85" s="507"/>
      <c r="CQ85" s="507"/>
      <c r="CR85" s="507"/>
      <c r="CS85" s="507"/>
    </row>
    <row r="86" spans="6:97" x14ac:dyDescent="0.25">
      <c r="F86" s="50"/>
      <c r="G86" s="52"/>
      <c r="H86" s="52"/>
      <c r="I86" s="53"/>
      <c r="Q86" s="50"/>
      <c r="R86" s="222" t="s">
        <v>769</v>
      </c>
      <c r="S86" s="216" t="s">
        <v>687</v>
      </c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P86" s="507"/>
      <c r="CQ86" s="507"/>
      <c r="CR86" s="507"/>
      <c r="CS86" s="507"/>
    </row>
    <row r="87" spans="6:97" x14ac:dyDescent="0.25">
      <c r="F87" s="50"/>
      <c r="G87" s="52"/>
      <c r="H87" s="52"/>
      <c r="I87" s="53"/>
      <c r="Q87" s="50"/>
      <c r="R87" s="225" t="s">
        <v>770</v>
      </c>
      <c r="S87" s="219" t="str">
        <f>INDEX('STATIC DATA'!C7:AB7,1,MATCH($A$1,'STATIC DATA'!$C$4:$AB$4,0))</f>
        <v>2D</v>
      </c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P87" s="507"/>
      <c r="CQ87" s="507"/>
      <c r="CR87" s="507"/>
      <c r="CS87" s="507"/>
    </row>
    <row r="88" spans="6:97" x14ac:dyDescent="0.25">
      <c r="F88" s="50"/>
      <c r="G88" s="52"/>
      <c r="H88" s="52"/>
      <c r="I88" s="53"/>
      <c r="Q88" s="50"/>
      <c r="R88" s="234" t="s">
        <v>771</v>
      </c>
      <c r="S88" s="242" t="s">
        <v>714</v>
      </c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P88" s="507"/>
      <c r="CQ88" s="507"/>
      <c r="CR88" s="507"/>
      <c r="CS88" s="507"/>
    </row>
    <row r="89" spans="6:97" x14ac:dyDescent="0.25">
      <c r="F89" s="50"/>
      <c r="G89" s="52"/>
      <c r="H89" s="52"/>
      <c r="I89" s="53"/>
      <c r="Q89" s="50"/>
      <c r="R89" s="234" t="s">
        <v>772</v>
      </c>
      <c r="S89" s="242" t="s">
        <v>426</v>
      </c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P89" s="507"/>
      <c r="CQ89" s="507"/>
      <c r="CR89" s="507"/>
      <c r="CS89" s="507"/>
    </row>
    <row r="90" spans="6:97" x14ac:dyDescent="0.25">
      <c r="F90" s="50"/>
      <c r="G90" s="52"/>
      <c r="H90" s="52"/>
      <c r="I90" s="53"/>
      <c r="Q90" s="50"/>
      <c r="R90" s="245" t="s">
        <v>774</v>
      </c>
      <c r="S90" s="244" t="s">
        <v>49</v>
      </c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P90" s="507"/>
      <c r="CQ90" s="507"/>
      <c r="CR90" s="507"/>
      <c r="CS90" s="507"/>
    </row>
    <row r="91" spans="6:97" x14ac:dyDescent="0.25">
      <c r="F91" s="75"/>
      <c r="G91" s="76"/>
      <c r="H91" s="76"/>
      <c r="I91" s="77"/>
      <c r="Q91" s="50"/>
      <c r="R91" s="222" t="s">
        <v>775</v>
      </c>
      <c r="S91" s="216" t="str">
        <f>INDEX('STATIC DATA'!C55:AB55,1,MATCH($A$1,'STATIC DATA'!C4:AB4,0))</f>
        <v>ACT/360</v>
      </c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P91" s="507"/>
      <c r="CQ91" s="507"/>
      <c r="CR91" s="507"/>
      <c r="CS91" s="507"/>
    </row>
    <row r="92" spans="6:97" x14ac:dyDescent="0.25">
      <c r="Q92" s="50"/>
      <c r="R92" s="222" t="s">
        <v>776</v>
      </c>
      <c r="S92" s="216" t="str">
        <f>INDEX('STATIC DATA'!C39:AB39,1,MATCH($A$1,'STATIC DATA'!$C$4:$AB$4,0))</f>
        <v>PRB</v>
      </c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P92" s="507"/>
      <c r="CQ92" s="507"/>
      <c r="CR92" s="507"/>
      <c r="CS92" s="507"/>
    </row>
    <row r="93" spans="6:97" x14ac:dyDescent="0.25">
      <c r="Q93" s="50"/>
      <c r="R93" s="222" t="s">
        <v>777</v>
      </c>
      <c r="S93" s="216" t="s">
        <v>721</v>
      </c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P93" s="507"/>
      <c r="CQ93" s="507"/>
      <c r="CR93" s="507"/>
      <c r="CS93" s="507"/>
    </row>
    <row r="94" spans="6:97" x14ac:dyDescent="0.25">
      <c r="Q94" s="50"/>
      <c r="R94" s="222" t="s">
        <v>778</v>
      </c>
      <c r="S94" s="216" t="str">
        <f>INDEX('STATIC DATA'!C39:AB39,1,MATCH($A$1,'STATIC DATA'!$C$4:$AB$4,0))</f>
        <v>PRB</v>
      </c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P94" s="507"/>
      <c r="CQ94" s="507"/>
      <c r="CR94" s="507"/>
      <c r="CS94" s="507"/>
    </row>
    <row r="95" spans="6:97" x14ac:dyDescent="0.25">
      <c r="Q95" s="50"/>
      <c r="R95" s="222" t="s">
        <v>779</v>
      </c>
      <c r="S95" s="216" t="str">
        <f>INDEX('STATIC DATA'!C7:AB7,1,MATCH($A$1,'STATIC DATA'!$C$4:$AB$4,0))</f>
        <v>2D</v>
      </c>
      <c r="T95" s="53"/>
      <c r="AB95" s="50"/>
      <c r="AC95" s="85"/>
      <c r="AD95" s="85"/>
      <c r="AE95" s="53"/>
      <c r="AM95" s="75"/>
      <c r="AN95" s="76"/>
      <c r="AO95" s="76"/>
      <c r="AP95" s="77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P95" s="507"/>
      <c r="CQ95" s="507"/>
      <c r="CR95" s="507"/>
      <c r="CS95" s="507"/>
    </row>
    <row r="96" spans="6:97" x14ac:dyDescent="0.25">
      <c r="Q96" s="50"/>
      <c r="R96" s="222" t="s">
        <v>780</v>
      </c>
      <c r="S96" s="216" t="s">
        <v>687</v>
      </c>
      <c r="T96" s="53"/>
      <c r="AB96" s="50"/>
      <c r="AC96" s="85"/>
      <c r="AD96" s="85"/>
      <c r="AE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P96" s="507"/>
      <c r="CQ96" s="507"/>
      <c r="CR96" s="507"/>
      <c r="CS96" s="507"/>
    </row>
    <row r="97" spans="17:97" x14ac:dyDescent="0.25">
      <c r="Q97" s="50"/>
      <c r="R97" s="233" t="s">
        <v>781</v>
      </c>
      <c r="S97" s="241" t="s">
        <v>782</v>
      </c>
      <c r="T97" s="53"/>
      <c r="AB97" s="50"/>
      <c r="AC97" s="85"/>
      <c r="AD97" s="85"/>
      <c r="AE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P97" s="507"/>
      <c r="CQ97" s="507"/>
      <c r="CR97" s="507"/>
      <c r="CS97" s="507"/>
    </row>
    <row r="98" spans="17:97" x14ac:dyDescent="0.25">
      <c r="Q98" s="50"/>
      <c r="R98" s="222" t="s">
        <v>783</v>
      </c>
      <c r="S98" s="216" t="s">
        <v>718</v>
      </c>
      <c r="T98" s="53"/>
      <c r="AB98" s="50"/>
      <c r="AC98" s="85"/>
      <c r="AD98" s="85"/>
      <c r="AE98" s="53"/>
      <c r="AX98" s="50"/>
      <c r="AY98" s="85"/>
      <c r="AZ98" s="85"/>
      <c r="BA98" s="53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</row>
    <row r="99" spans="17:97" x14ac:dyDescent="0.25">
      <c r="Q99" s="50"/>
      <c r="R99" s="222" t="s">
        <v>785</v>
      </c>
      <c r="S99" s="216" t="s">
        <v>718</v>
      </c>
      <c r="T99" s="53"/>
      <c r="AB99" s="50"/>
      <c r="AC99" s="85"/>
      <c r="AD99" s="85"/>
      <c r="AE99" s="53"/>
      <c r="AX99" s="50"/>
      <c r="AY99" s="85"/>
      <c r="AZ99" s="85"/>
      <c r="BA99" s="53"/>
      <c r="BT99" s="206"/>
      <c r="BU99" s="298"/>
      <c r="BV99" s="298"/>
      <c r="BW99" s="298"/>
      <c r="BX99" s="299"/>
      <c r="BY99" s="299"/>
      <c r="BZ99" s="299"/>
      <c r="CA99" s="299"/>
      <c r="CB99" s="299"/>
      <c r="CM99" s="206"/>
    </row>
    <row r="100" spans="17:97" x14ac:dyDescent="0.25">
      <c r="Q100" s="50"/>
      <c r="R100" s="85"/>
      <c r="S100" s="85"/>
      <c r="T100" s="53"/>
      <c r="AB100" s="50"/>
      <c r="AC100" s="85"/>
      <c r="AD100" s="85"/>
      <c r="AE100" s="53"/>
      <c r="AX100" s="50"/>
      <c r="AY100" s="85"/>
      <c r="AZ100" s="85"/>
      <c r="BA100" s="53"/>
      <c r="BT100" s="206"/>
      <c r="BU100" s="206"/>
      <c r="BV100" s="206"/>
      <c r="BW100" s="206"/>
      <c r="BY100" s="299"/>
      <c r="BZ100" s="299"/>
      <c r="CA100" s="299"/>
      <c r="CB100" s="299"/>
      <c r="CM100" s="206"/>
    </row>
    <row r="101" spans="17:97" x14ac:dyDescent="0.25">
      <c r="Q101" s="50"/>
      <c r="R101" s="52"/>
      <c r="S101" s="52"/>
      <c r="T101" s="53"/>
      <c r="AB101" s="50"/>
      <c r="AC101" s="85"/>
      <c r="AD101" s="85"/>
      <c r="AE101" s="53"/>
      <c r="AX101" s="50"/>
      <c r="AY101" s="85"/>
      <c r="AZ101" s="85"/>
      <c r="BA101" s="53"/>
      <c r="BT101" s="206"/>
      <c r="BU101" s="206"/>
      <c r="BV101" s="206"/>
      <c r="BW101" s="206"/>
      <c r="BY101" s="299"/>
      <c r="BZ101" s="299"/>
      <c r="CA101" s="299"/>
      <c r="CB101" s="299"/>
      <c r="CM101" s="206"/>
    </row>
    <row r="102" spans="17:97" x14ac:dyDescent="0.25">
      <c r="Q102" s="50"/>
      <c r="R102" s="52"/>
      <c r="S102" s="52"/>
      <c r="T102" s="53"/>
      <c r="AB102" s="50"/>
      <c r="AC102" s="85"/>
      <c r="AD102" s="85"/>
      <c r="AE102" s="53"/>
      <c r="AX102" s="50"/>
      <c r="AY102" s="85"/>
      <c r="AZ102" s="85"/>
      <c r="BA102" s="53"/>
      <c r="BT102" s="206"/>
      <c r="BU102" s="206"/>
      <c r="BV102" s="206"/>
      <c r="BW102" s="206"/>
      <c r="BY102" s="299"/>
      <c r="BZ102" s="299"/>
      <c r="CA102" s="299"/>
      <c r="CB102" s="299"/>
      <c r="CM102" s="206"/>
    </row>
    <row r="103" spans="17:97" x14ac:dyDescent="0.25">
      <c r="Q103" s="75"/>
      <c r="R103" s="76"/>
      <c r="S103" s="76"/>
      <c r="T103" s="77"/>
      <c r="AB103" s="50"/>
      <c r="AC103" s="85"/>
      <c r="AD103" s="85"/>
      <c r="AE103" s="53"/>
      <c r="AX103" s="50"/>
      <c r="AY103" s="85"/>
      <c r="AZ103" s="85"/>
      <c r="BA103" s="53"/>
      <c r="BT103" s="206"/>
      <c r="BU103" s="206"/>
      <c r="BV103" s="206"/>
      <c r="BW103" s="206"/>
      <c r="BY103" s="299"/>
      <c r="BZ103" s="299"/>
      <c r="CA103" s="299"/>
      <c r="CB103" s="299"/>
      <c r="CM103" s="206"/>
    </row>
    <row r="104" spans="17:97" x14ac:dyDescent="0.25">
      <c r="AB104" s="50"/>
      <c r="AC104" s="85"/>
      <c r="AD104" s="85"/>
      <c r="AE104" s="53"/>
      <c r="AX104" s="50"/>
      <c r="AY104" s="85"/>
      <c r="AZ104" s="85"/>
      <c r="BA104" s="53"/>
      <c r="BT104" s="206"/>
      <c r="BU104" s="206"/>
      <c r="BV104" s="206"/>
      <c r="BW104" s="206"/>
      <c r="BY104" s="299"/>
      <c r="BZ104" s="299"/>
      <c r="CA104" s="299"/>
      <c r="CB104" s="299"/>
      <c r="CM104" s="206"/>
    </row>
    <row r="105" spans="17:97" x14ac:dyDescent="0.25">
      <c r="AB105" s="50"/>
      <c r="AC105" s="85"/>
      <c r="AD105" s="85"/>
      <c r="AE105" s="53"/>
      <c r="AX105" s="50"/>
      <c r="AY105" s="85"/>
      <c r="AZ105" s="85"/>
      <c r="BA105" s="53"/>
      <c r="BT105" s="206"/>
      <c r="BU105" s="206"/>
      <c r="BV105" s="206"/>
      <c r="BW105" s="206"/>
      <c r="BY105" s="299"/>
      <c r="BZ105" s="299"/>
      <c r="CA105" s="299"/>
      <c r="CB105" s="299"/>
      <c r="CM105" s="206"/>
    </row>
    <row r="106" spans="17:97" x14ac:dyDescent="0.25">
      <c r="AB106" s="50"/>
      <c r="AC106" s="85"/>
      <c r="AD106" s="85"/>
      <c r="AE106" s="53"/>
      <c r="AX106" s="50"/>
      <c r="AY106" s="85"/>
      <c r="AZ106" s="85"/>
      <c r="BA106" s="53"/>
      <c r="BT106" s="206"/>
      <c r="BU106" s="206"/>
      <c r="BV106" s="206"/>
      <c r="BW106" s="206"/>
      <c r="BY106" s="299"/>
      <c r="BZ106" s="299"/>
      <c r="CA106" s="299"/>
      <c r="CB106" s="299"/>
      <c r="CM106" s="206"/>
    </row>
    <row r="107" spans="17:97" x14ac:dyDescent="0.25">
      <c r="AB107" s="50"/>
      <c r="AC107" s="85"/>
      <c r="AD107" s="85"/>
      <c r="AE107" s="53"/>
      <c r="AX107" s="50"/>
      <c r="AY107" s="85"/>
      <c r="AZ107" s="85"/>
      <c r="BA107" s="53"/>
      <c r="BT107" s="206"/>
      <c r="BU107" s="206"/>
      <c r="BV107" s="206"/>
      <c r="BW107" s="206"/>
      <c r="BY107" s="299"/>
      <c r="BZ107" s="299"/>
      <c r="CA107" s="299"/>
      <c r="CB107" s="299"/>
      <c r="CM107" s="206"/>
    </row>
    <row r="108" spans="17:97" x14ac:dyDescent="0.25">
      <c r="AB108" s="50"/>
      <c r="AC108" s="85"/>
      <c r="AD108" s="85"/>
      <c r="AE108" s="53"/>
      <c r="AX108" s="50"/>
      <c r="AY108" s="85"/>
      <c r="AZ108" s="85"/>
      <c r="BA108" s="53"/>
      <c r="BT108" s="206"/>
      <c r="BU108" s="206"/>
      <c r="BV108" s="206"/>
      <c r="BW108" s="206"/>
      <c r="BY108" s="299"/>
      <c r="BZ108" s="299"/>
      <c r="CA108" s="299"/>
      <c r="CB108" s="299"/>
      <c r="CM108" s="206"/>
    </row>
    <row r="109" spans="17:97" x14ac:dyDescent="0.25">
      <c r="AB109" s="50"/>
      <c r="AC109" s="85"/>
      <c r="AD109" s="85"/>
      <c r="AE109" s="53"/>
      <c r="AX109" s="50"/>
      <c r="AY109" s="85"/>
      <c r="AZ109" s="85"/>
      <c r="BA109" s="53"/>
      <c r="BT109" s="206"/>
      <c r="BU109" s="206"/>
      <c r="BV109" s="206"/>
      <c r="BW109" s="206"/>
      <c r="BY109" s="299"/>
      <c r="BZ109" s="299"/>
      <c r="CA109" s="299"/>
      <c r="CB109" s="299"/>
      <c r="CM109" s="206"/>
    </row>
    <row r="110" spans="17:97" x14ac:dyDescent="0.25">
      <c r="AB110" s="50"/>
      <c r="AC110" s="85"/>
      <c r="AD110" s="85"/>
      <c r="AE110" s="53"/>
      <c r="AX110" s="75"/>
      <c r="AY110" s="76"/>
      <c r="AZ110" s="76"/>
      <c r="BA110" s="77"/>
      <c r="BT110" s="206"/>
      <c r="BU110" s="206"/>
      <c r="BV110" s="206"/>
      <c r="BW110" s="206"/>
      <c r="BY110" s="299"/>
      <c r="BZ110" s="299"/>
      <c r="CA110" s="299"/>
      <c r="CB110" s="299"/>
      <c r="CM110" s="206"/>
    </row>
    <row r="111" spans="17:97" x14ac:dyDescent="0.25">
      <c r="AB111" s="50"/>
      <c r="AC111" s="85"/>
      <c r="AD111" s="85"/>
      <c r="AE111" s="53"/>
      <c r="BT111" s="206"/>
      <c r="BU111" s="206"/>
      <c r="BV111" s="206"/>
      <c r="BW111" s="206"/>
      <c r="BY111" s="299"/>
      <c r="BZ111" s="299"/>
      <c r="CA111" s="299"/>
      <c r="CB111" s="299"/>
      <c r="CM111" s="206"/>
    </row>
    <row r="112" spans="17:97" x14ac:dyDescent="0.25">
      <c r="AB112" s="50"/>
      <c r="AC112" s="85"/>
      <c r="AD112" s="85"/>
      <c r="AE112" s="53"/>
      <c r="BT112" s="206"/>
      <c r="BU112" s="206"/>
      <c r="BV112" s="206"/>
      <c r="BW112" s="206"/>
      <c r="BY112" s="299"/>
      <c r="BZ112" s="299"/>
      <c r="CA112" s="299"/>
      <c r="CB112" s="299"/>
      <c r="CM112" s="206"/>
    </row>
    <row r="113" spans="28:91" x14ac:dyDescent="0.25">
      <c r="AB113" s="50"/>
      <c r="AC113" s="85"/>
      <c r="AD113" s="85"/>
      <c r="AE113" s="53"/>
      <c r="BT113" s="206"/>
      <c r="BU113" s="206"/>
      <c r="BV113" s="206"/>
      <c r="BW113" s="206"/>
      <c r="BY113" s="299"/>
      <c r="BZ113" s="299"/>
      <c r="CA113" s="299"/>
      <c r="CB113" s="299"/>
      <c r="CM113" s="206"/>
    </row>
    <row r="114" spans="28:91" x14ac:dyDescent="0.25">
      <c r="AB114" s="75"/>
      <c r="AC114" s="76"/>
      <c r="AD114" s="76"/>
      <c r="AE114" s="77"/>
      <c r="BT114" s="206"/>
      <c r="BU114" s="206"/>
      <c r="BV114" s="206"/>
      <c r="BW114" s="206"/>
      <c r="BY114" s="299"/>
      <c r="BZ114" s="299"/>
      <c r="CA114" s="299"/>
      <c r="CB114" s="299"/>
      <c r="CM114" s="206"/>
    </row>
    <row r="115" spans="28:91" x14ac:dyDescent="0.25">
      <c r="BT115" s="206"/>
      <c r="BU115" s="206"/>
      <c r="BV115" s="206"/>
      <c r="BW115" s="206"/>
      <c r="BY115" s="299"/>
      <c r="BZ115" s="299"/>
      <c r="CA115" s="299"/>
      <c r="CB115" s="299"/>
      <c r="CM115" s="206"/>
    </row>
    <row r="116" spans="28:91" x14ac:dyDescent="0.25">
      <c r="BT116" s="206"/>
      <c r="BU116" s="206"/>
      <c r="BV116" s="206"/>
      <c r="BW116" s="206"/>
      <c r="BY116" s="299"/>
      <c r="BZ116" s="299"/>
      <c r="CA116" s="299"/>
      <c r="CB116" s="299"/>
      <c r="CM116" s="206"/>
    </row>
    <row r="117" spans="28:91" x14ac:dyDescent="0.25">
      <c r="BT117" s="206"/>
      <c r="BU117" s="206"/>
      <c r="BV117" s="206"/>
      <c r="BW117" s="206"/>
      <c r="BY117" s="299"/>
      <c r="BZ117" s="299"/>
      <c r="CA117" s="299"/>
      <c r="CB117" s="299"/>
      <c r="CM117" s="206"/>
    </row>
    <row r="118" spans="28:91" x14ac:dyDescent="0.25">
      <c r="BT118" s="206"/>
      <c r="BU118" s="206"/>
      <c r="BV118" s="206"/>
      <c r="BW118" s="206"/>
      <c r="BY118" s="299"/>
      <c r="BZ118" s="299"/>
      <c r="CA118" s="299"/>
      <c r="CB118" s="299"/>
      <c r="CM118" s="206"/>
    </row>
    <row r="119" spans="28:91" x14ac:dyDescent="0.25">
      <c r="BT119" s="206"/>
      <c r="BU119" s="206"/>
      <c r="BV119" s="206"/>
      <c r="BW119" s="206"/>
      <c r="BY119" s="299"/>
      <c r="BZ119" s="299"/>
      <c r="CA119" s="299"/>
      <c r="CB119" s="299"/>
      <c r="CM119" s="206"/>
    </row>
    <row r="120" spans="28:91" x14ac:dyDescent="0.25">
      <c r="BT120" s="206"/>
      <c r="BU120" s="206"/>
      <c r="BV120" s="206"/>
      <c r="BW120" s="206"/>
      <c r="BY120" s="299"/>
      <c r="BZ120" s="299"/>
      <c r="CA120" s="299"/>
      <c r="CB120" s="299"/>
      <c r="CM120" s="206"/>
    </row>
    <row r="121" spans="28:91" x14ac:dyDescent="0.25">
      <c r="BT121" s="206"/>
      <c r="BU121" s="206"/>
      <c r="BV121" s="206"/>
      <c r="BW121" s="206"/>
      <c r="BY121" s="299"/>
      <c r="BZ121" s="299"/>
      <c r="CA121" s="299"/>
      <c r="CB121" s="299"/>
      <c r="CM121" s="206"/>
    </row>
    <row r="122" spans="28:91" x14ac:dyDescent="0.25">
      <c r="BT122" s="206"/>
      <c r="BU122" s="206"/>
      <c r="BV122" s="206"/>
      <c r="BW122" s="206"/>
      <c r="BY122" s="299"/>
      <c r="BZ122" s="299"/>
      <c r="CA122" s="299"/>
      <c r="CB122" s="299"/>
      <c r="CM122" s="206"/>
    </row>
    <row r="123" spans="28:91" x14ac:dyDescent="0.25">
      <c r="BT123" s="206"/>
      <c r="BU123" s="206"/>
      <c r="BV123" s="206"/>
      <c r="BW123" s="206"/>
      <c r="BY123" s="299"/>
      <c r="BZ123" s="299"/>
      <c r="CA123" s="299"/>
      <c r="CB123" s="299"/>
      <c r="CM123" s="206"/>
    </row>
    <row r="124" spans="28:91" x14ac:dyDescent="0.25">
      <c r="BT124" s="206"/>
      <c r="BU124" s="206"/>
      <c r="BV124" s="206"/>
      <c r="BW124" s="206"/>
      <c r="BY124" s="299"/>
      <c r="BZ124" s="299"/>
      <c r="CA124" s="299"/>
      <c r="CB124" s="299"/>
      <c r="CM124" s="206"/>
    </row>
    <row r="125" spans="28:91" x14ac:dyDescent="0.25">
      <c r="BT125" s="206"/>
      <c r="BU125" s="206"/>
      <c r="BV125" s="206"/>
      <c r="BW125" s="206"/>
      <c r="BY125" s="298"/>
      <c r="BZ125" s="298"/>
      <c r="CA125" s="298"/>
      <c r="CB125" s="298"/>
      <c r="CM125" s="206"/>
    </row>
    <row r="126" spans="28:91" x14ac:dyDescent="0.25">
      <c r="BT126" s="206"/>
      <c r="BU126" s="206"/>
      <c r="BV126" s="206"/>
      <c r="BW126" s="206"/>
      <c r="BY126" s="206"/>
      <c r="BZ126" s="206"/>
      <c r="CA126" s="206"/>
      <c r="CB126" s="206"/>
      <c r="CM126" s="206"/>
    </row>
    <row r="127" spans="28:91" x14ac:dyDescent="0.25">
      <c r="BT127" s="206"/>
      <c r="BU127" s="206"/>
      <c r="BV127" s="206"/>
      <c r="BW127" s="206"/>
      <c r="BY127" s="206"/>
      <c r="BZ127" s="206"/>
      <c r="CA127" s="206"/>
      <c r="CB127" s="206"/>
      <c r="CM127" s="206"/>
    </row>
  </sheetData>
  <dataValidations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K6 CE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9" tint="0.79998168889431442"/>
  </sheetPr>
  <dimension ref="A1:DA128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25.85546875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25.7109375" bestFit="1" customWidth="1"/>
    <col min="34" max="34" width="10.42578125" customWidth="1"/>
    <col min="35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customWidth="1" outlineLevel="1"/>
    <col min="51" max="51" width="30.7109375" customWidth="1" outlineLevel="1"/>
    <col min="52" max="52" width="40.7109375" customWidth="1" outlineLevel="1"/>
    <col min="53" max="53" width="9.140625" customWidth="1" outlineLevel="1"/>
    <col min="54" max="54" width="9.140625" customWidth="1"/>
    <col min="55" max="55" width="14.28515625" customWidth="1"/>
    <col min="56" max="59" width="10.7109375" customWidth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14.42578125" customWidth="1"/>
    <col min="67" max="67" width="42.42578125" bestFit="1" customWidth="1"/>
    <col min="68" max="70" width="10.7109375" customWidth="1"/>
    <col min="72" max="72" width="9.140625" hidden="1" customWidth="1" outlineLevel="1"/>
    <col min="73" max="73" width="28.5703125" hidden="1" customWidth="1" outlineLevel="1"/>
    <col min="74" max="74" width="20.7109375" hidden="1" customWidth="1" outlineLevel="1"/>
    <col min="75" max="75" width="9.140625" hidden="1" customWidth="1" outlineLevel="1"/>
    <col min="76" max="76" width="9.140625" style="206" customWidth="1" collapsed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4" width="9.140625" customWidth="1"/>
    <col min="85" max="85" width="9.5703125" hidden="1" customWidth="1" outlineLevel="1"/>
    <col min="86" max="86" width="15.42578125" hidden="1" customWidth="1" outlineLevel="1"/>
    <col min="87" max="87" width="13.5703125" bestFit="1" customWidth="1" collapsed="1"/>
    <col min="88" max="88" width="29.7109375" bestFit="1" customWidth="1"/>
    <col min="89" max="89" width="34.28515625" bestFit="1" customWidth="1"/>
    <col min="90" max="90" width="9.140625" customWidth="1"/>
    <col min="91" max="91" width="18.28515625" style="416" hidden="1" customWidth="1" outlineLevel="1"/>
    <col min="92" max="92" width="20.7109375" style="416" customWidth="1" collapsed="1"/>
    <col min="93" max="93" width="22.5703125" style="519" customWidth="1"/>
    <col min="94" max="94" width="8" style="592" bestFit="1" customWidth="1"/>
    <col min="95" max="95" width="15.42578125" style="592" bestFit="1" customWidth="1"/>
    <col min="96" max="96" width="8.140625" style="592" bestFit="1" customWidth="1"/>
    <col min="97" max="97" width="15.140625" style="592" bestFit="1" customWidth="1"/>
  </cols>
  <sheetData>
    <row r="1" spans="1:98" x14ac:dyDescent="0.25">
      <c r="A1" s="2" t="s">
        <v>1229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G1" s="206"/>
      <c r="CH1" s="299"/>
      <c r="CM1" s="299"/>
      <c r="CN1" s="299"/>
      <c r="CO1" s="390"/>
      <c r="CP1" s="407"/>
      <c r="CQ1" s="407"/>
      <c r="CR1" s="407"/>
      <c r="CS1" s="407"/>
      <c r="CT1" s="206"/>
    </row>
    <row r="2" spans="1:98" x14ac:dyDescent="0.25">
      <c r="F2" s="237" t="s">
        <v>712</v>
      </c>
      <c r="K2" s="2" t="str">
        <f>A1&amp;"_OIS"</f>
        <v>HKD_OIS</v>
      </c>
      <c r="L2" s="5"/>
      <c r="M2" s="5"/>
      <c r="N2" s="5"/>
      <c r="O2" s="5"/>
      <c r="Q2" s="237"/>
      <c r="V2" s="2" t="str">
        <f>A1&amp;"_SWAP_3M"</f>
        <v>HKD_SWAP_3M</v>
      </c>
      <c r="W2" s="5"/>
      <c r="X2" s="5"/>
      <c r="Z2" s="5"/>
      <c r="AB2" s="237"/>
      <c r="AG2" s="2" t="str">
        <f>A1&amp;"_SWAP_6M"</f>
        <v>HKD_SWAP_6M</v>
      </c>
      <c r="AH2" s="5"/>
      <c r="AI2" s="5"/>
      <c r="AJ2" s="5"/>
      <c r="AK2" s="5"/>
      <c r="AR2" t="str">
        <f>A1&amp;"_BASIS_12M"</f>
        <v>HKD_BASIS_12M</v>
      </c>
      <c r="BC2" s="2" t="str">
        <f>A1&amp;"_BASIS_1M"</f>
        <v>HKD_BASIS_1M</v>
      </c>
      <c r="BN2" s="2" t="str">
        <f>A1&amp;"_XCCYBASIS"</f>
        <v>HKD_XCCYBASIS</v>
      </c>
      <c r="BO2" s="5"/>
      <c r="BP2" s="5"/>
      <c r="BQ2" s="5"/>
      <c r="BR2" s="5"/>
      <c r="CG2" s="307"/>
      <c r="CH2" s="299"/>
      <c r="CM2" s="332"/>
      <c r="CN2" s="332"/>
      <c r="CO2" s="511"/>
      <c r="CP2" s="408"/>
      <c r="CQ2" s="408"/>
      <c r="CR2" s="408"/>
      <c r="CS2" s="407"/>
      <c r="CT2" s="206"/>
    </row>
    <row r="3" spans="1:98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G3" s="286"/>
      <c r="CH3" s="299"/>
      <c r="CI3" s="45"/>
      <c r="CJ3" s="48"/>
      <c r="CK3" s="48"/>
      <c r="CL3" s="48"/>
      <c r="CM3" s="316"/>
      <c r="CN3" s="316"/>
      <c r="CO3" s="543"/>
      <c r="CP3" s="590"/>
      <c r="CQ3" s="590"/>
      <c r="CR3" s="590"/>
      <c r="CS3" s="407"/>
      <c r="CT3" s="206"/>
    </row>
    <row r="4" spans="1:98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F4">
        <v>0</v>
      </c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G4" s="317"/>
      <c r="CH4" s="299"/>
      <c r="CI4" s="50"/>
      <c r="CJ4" s="81"/>
      <c r="CK4" s="228"/>
      <c r="CL4" s="52"/>
      <c r="CM4" s="316"/>
      <c r="CN4" s="316"/>
      <c r="CO4" s="543"/>
      <c r="CP4" s="590"/>
      <c r="CQ4" s="590"/>
      <c r="CR4" s="590"/>
      <c r="CS4" s="407"/>
      <c r="CT4" s="206"/>
    </row>
    <row r="5" spans="1:98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N5" t="s">
        <v>1322</v>
      </c>
      <c r="BO5" s="5" t="s">
        <v>1325</v>
      </c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1277</v>
      </c>
      <c r="CE5" s="228"/>
      <c r="CF5" s="53"/>
      <c r="CG5" s="322"/>
      <c r="CH5" s="299"/>
      <c r="CI5" s="50"/>
      <c r="CJ5" s="54" t="s">
        <v>1281</v>
      </c>
      <c r="CK5" s="228"/>
      <c r="CL5" s="52"/>
      <c r="CM5" s="316"/>
      <c r="CN5" s="316"/>
      <c r="CO5" s="543"/>
      <c r="CP5" s="590"/>
      <c r="CQ5" s="590"/>
      <c r="CR5" s="590"/>
      <c r="CS5" s="407"/>
      <c r="CT5" s="206"/>
    </row>
    <row r="6" spans="1:98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0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G6" s="317"/>
      <c r="CH6" s="299"/>
      <c r="CI6" s="50"/>
      <c r="CJ6" s="51" t="s">
        <v>743</v>
      </c>
      <c r="CK6" s="210" t="b">
        <v>1</v>
      </c>
      <c r="CL6" s="52"/>
      <c r="CM6" s="316"/>
      <c r="CN6" s="316"/>
      <c r="CO6" s="543"/>
      <c r="CP6" s="590"/>
      <c r="CQ6" s="590"/>
      <c r="CR6" s="590"/>
      <c r="CS6" s="407"/>
      <c r="CT6" s="206"/>
    </row>
    <row r="7" spans="1:98" x14ac:dyDescent="0.25">
      <c r="F7" s="50"/>
      <c r="G7" s="59" t="s">
        <v>711</v>
      </c>
      <c r="H7" s="211" t="str">
        <f>$A$1&amp;"_OIS"</f>
        <v>HKD_OIS</v>
      </c>
      <c r="I7" s="53"/>
      <c r="K7" t="s">
        <v>298</v>
      </c>
      <c r="L7" s="368">
        <f>O7+$N$7/10000</f>
        <v>1.962E-4</v>
      </c>
      <c r="M7" s="5" t="b">
        <v>1</v>
      </c>
      <c r="N7" s="5">
        <f>$N$4</f>
        <v>0</v>
      </c>
      <c r="O7" s="358">
        <f>HKD_DATA!M7</f>
        <v>1.962E-4</v>
      </c>
      <c r="Q7" s="50"/>
      <c r="R7" s="59" t="s">
        <v>711</v>
      </c>
      <c r="S7" s="211" t="str">
        <f>$A$1&amp;"_SWAP_"&amp;"3M"</f>
        <v>HKD_SWAP_3M</v>
      </c>
      <c r="T7" s="53"/>
      <c r="V7" t="s">
        <v>298</v>
      </c>
      <c r="W7" s="367">
        <f t="shared" ref="W7:W22" si="0">Z7+Y7/10000</f>
        <v>5.5710000000000004E-4</v>
      </c>
      <c r="X7" s="5" t="b">
        <v>1</v>
      </c>
      <c r="Y7" s="5">
        <v>0</v>
      </c>
      <c r="Z7" s="368">
        <f>HKD_DATA!U7</f>
        <v>5.5710000000000004E-4</v>
      </c>
      <c r="AA7" s="203"/>
      <c r="AB7" s="50"/>
      <c r="AC7" s="59" t="s">
        <v>711</v>
      </c>
      <c r="AD7" s="211" t="str">
        <f>$A$1&amp;"_BASIS_3M6M"</f>
        <v>HKD_BASIS_3M6M</v>
      </c>
      <c r="AE7" s="53"/>
      <c r="AG7" t="s">
        <v>298</v>
      </c>
      <c r="AH7" s="358">
        <f t="shared" ref="AH7:AH10" si="1">AK7+AJ7/10000</f>
        <v>5.5710000000000004E-4</v>
      </c>
      <c r="AI7" s="5" t="b">
        <v>1</v>
      </c>
      <c r="AJ7" s="5">
        <v>0</v>
      </c>
      <c r="AK7" s="358">
        <f>HKD_DATA!Z7</f>
        <v>5.5710000000000004E-4</v>
      </c>
      <c r="AL7" s="207"/>
      <c r="AM7" s="50"/>
      <c r="AN7" s="59" t="s">
        <v>711</v>
      </c>
      <c r="AO7" s="211" t="str">
        <f>A1&amp;"_BASIS_3M12M"</f>
        <v>HKD_BASIS_3M12M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HKD_BASIS_1M3M</v>
      </c>
      <c r="BA7" s="53"/>
      <c r="BC7" t="s">
        <v>298</v>
      </c>
      <c r="BD7" s="203">
        <f>BG7+$BF$7/10000</f>
        <v>5.5710000000000004E-4</v>
      </c>
      <c r="BE7" t="b">
        <v>1</v>
      </c>
      <c r="BF7">
        <v>0</v>
      </c>
      <c r="BG7" s="203">
        <f>HKD_DATA!AE7</f>
        <v>5.5710000000000004E-4</v>
      </c>
      <c r="BI7" s="50"/>
      <c r="BJ7" s="59" t="s">
        <v>711</v>
      </c>
      <c r="BK7" s="211" t="str">
        <f>$A$1&amp;"_XCCY"</f>
        <v>HKD_XCCY</v>
      </c>
      <c r="BL7" s="53"/>
      <c r="BN7" t="s">
        <v>2</v>
      </c>
      <c r="BO7" s="5" t="str">
        <f>$A$1</f>
        <v>HKD</v>
      </c>
      <c r="BP7" s="481">
        <f>BR7</f>
        <v>1.5068999999999999</v>
      </c>
      <c r="BQ7" s="5"/>
      <c r="BR7" s="481">
        <f>HKD_DATA!AZ7</f>
        <v>1.5068999999999999</v>
      </c>
      <c r="BT7" s="50"/>
      <c r="BU7" s="270" t="s">
        <v>830</v>
      </c>
      <c r="BV7" s="271" t="str">
        <f>"FX_CURVE_"&amp;"USD"&amp;$A$1</f>
        <v>FX_CURVE_USDHKD</v>
      </c>
      <c r="BW7" s="52"/>
      <c r="BX7" s="299"/>
      <c r="BY7" t="s">
        <v>836</v>
      </c>
      <c r="BZ7" s="296">
        <f>HKD_DATA!AW7</f>
        <v>7.7504</v>
      </c>
      <c r="CA7" s="296">
        <f>HKD_DATA!AX7</f>
        <v>7.7506000000000004</v>
      </c>
      <c r="CC7" s="50"/>
      <c r="CD7" s="59" t="s">
        <v>711</v>
      </c>
      <c r="CE7" s="211" t="str">
        <f>$A$1&amp;"_EURCSA"</f>
        <v>HKD_EURCSA</v>
      </c>
      <c r="CF7" s="53"/>
      <c r="CG7" s="317"/>
      <c r="CH7" s="299"/>
      <c r="CI7" s="50"/>
      <c r="CJ7" s="59" t="s">
        <v>711</v>
      </c>
      <c r="CK7" s="211" t="str">
        <f>$A$1&amp;"_JPYCSA"</f>
        <v>HKD_JPYCSA</v>
      </c>
      <c r="CL7" s="52"/>
      <c r="CM7" s="316"/>
      <c r="CN7" s="316"/>
      <c r="CO7" s="543"/>
      <c r="CP7" s="590"/>
      <c r="CQ7" s="590"/>
      <c r="CR7" s="590"/>
      <c r="CS7" s="407"/>
      <c r="CT7" s="206"/>
    </row>
    <row r="8" spans="1:98" x14ac:dyDescent="0.25">
      <c r="F8" s="50"/>
      <c r="G8" s="72" t="s">
        <v>670</v>
      </c>
      <c r="H8" s="35" t="str">
        <f>IF(H$6,_xll.meLWOCurveGeneratorCreate(H$7,"CURVEPROPERTIES",G12:H18,"OIS",G23:H37),"Disabled")</f>
        <v>HKD_OIS@391:6</v>
      </c>
      <c r="I8" s="53" t="s">
        <v>424</v>
      </c>
      <c r="K8" t="s">
        <v>300</v>
      </c>
      <c r="L8" s="368">
        <f t="shared" ref="L8:L21" si="2">O8+$N$7/10000</f>
        <v>1.1000000000000001E-3</v>
      </c>
      <c r="M8" s="5" t="b">
        <v>1</v>
      </c>
      <c r="N8" s="5">
        <f t="shared" ref="N8:N21" si="3">$N$4</f>
        <v>0</v>
      </c>
      <c r="O8" s="358">
        <f>HKD_DATA!M8</f>
        <v>1.1000000000000001E-3</v>
      </c>
      <c r="Q8" s="50"/>
      <c r="R8" s="72" t="s">
        <v>670</v>
      </c>
      <c r="S8" s="35" t="str">
        <f>IF(S$6,_xll.meLWOCurveGeneratorCreate(S$7,"CURVEPROPERTIES",R12:S25,"MONEYMARKET",R28:S30,"LIBORFIXINGS",R33:S37,"FRAS",R40:S45,"SWAPS",R48:S61),"Disabled")</f>
        <v>HKD_SWAP_3M@386:6</v>
      </c>
      <c r="T8" s="53" t="s">
        <v>424</v>
      </c>
      <c r="V8" t="s">
        <v>300</v>
      </c>
      <c r="W8" s="367">
        <f t="shared" si="0"/>
        <v>3.8338999999999999E-3</v>
      </c>
      <c r="X8" s="5" t="b">
        <v>1</v>
      </c>
      <c r="Y8" s="5">
        <f t="shared" ref="Y8:Y23" si="4">$Y$4</f>
        <v>0</v>
      </c>
      <c r="Z8" s="368">
        <f>HKD_DATA!U8</f>
        <v>3.8338999999999999E-3</v>
      </c>
      <c r="AA8" s="203"/>
      <c r="AB8" s="50"/>
      <c r="AC8" s="72" t="s">
        <v>670</v>
      </c>
      <c r="AD8" s="35" t="str">
        <f>IF(AD$6,_xll.meLWOCurveGeneratorCreate(AD$7,"CURVEPROPERTIES",AC12:AD21,"MONEYMARKET",AC26:AD28,"LIBORFIXINGS",AC31:AD35,"BASISSWAPS",AC38:AD78),"Disabled")</f>
        <v>HKD_BASIS_3M6M@388:6</v>
      </c>
      <c r="AE8" s="53" t="s">
        <v>424</v>
      </c>
      <c r="AG8" t="s">
        <v>300</v>
      </c>
      <c r="AH8" s="358">
        <f t="shared" si="1"/>
        <v>3.8338999999999999E-3</v>
      </c>
      <c r="AI8" s="5" t="b">
        <v>1</v>
      </c>
      <c r="AJ8" s="5">
        <f t="shared" ref="AJ8:AJ10" si="5">$AJ$4</f>
        <v>0</v>
      </c>
      <c r="AK8" s="358">
        <f>HKD_DATA!Z8</f>
        <v>3.8338999999999999E-3</v>
      </c>
      <c r="AL8" s="207"/>
      <c r="AM8" s="50"/>
      <c r="AN8" s="72" t="s">
        <v>670</v>
      </c>
      <c r="AO8" s="35" t="str">
        <f>IF(AO$6,_xll.meLWOCurveGeneratorCreate(AO$7,AN11,AN12:AO21,AN26,AN27:AO68),"Disabled")</f>
        <v>#Error: Invalid Data: Data Contains Errors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IF(AZ$6,_xll.meLWOCurveGeneratorCreate(AZ$7,"CURVEPROPERTIES",AY12:AZ21,"MONEYMARKET",AY26:AZ28,"LIBORFIXINGS",AY31:AZ36,"BASISSWAPS",AY39:AZ80),"Disabled")</f>
        <v>HKD_BASIS_1M3M@309:7</v>
      </c>
      <c r="BA8" s="53" t="s">
        <v>424</v>
      </c>
      <c r="BC8" t="s">
        <v>300</v>
      </c>
      <c r="BD8" s="203">
        <f t="shared" ref="BD8:BD17" si="6">BG8+$BF$7/10000</f>
        <v>3.8338999999999999E-3</v>
      </c>
      <c r="BE8" t="b">
        <v>1</v>
      </c>
      <c r="BF8">
        <v>0</v>
      </c>
      <c r="BG8" s="203">
        <f>HKD_DATA!AE8</f>
        <v>3.8338999999999999E-3</v>
      </c>
      <c r="BI8" s="50"/>
      <c r="BJ8" s="72" t="s">
        <v>670</v>
      </c>
      <c r="BK8" s="35" t="str">
        <f>IF(BK$6,_xll.meLWOCurveGeneratorCreate(BK$7,"CURVEPROPERTIES",BJ12:BK23,"XCCYSWAPS",BJ37:BK74,"FXFWDS",BJ26:BK34),"Disabled")</f>
        <v>HKD_XCCY@387:6</v>
      </c>
      <c r="BL8" s="53" t="s">
        <v>424</v>
      </c>
      <c r="BN8" t="s">
        <v>298</v>
      </c>
      <c r="BO8" s="362">
        <f>BR8+BQ8</f>
        <v>-0.15</v>
      </c>
      <c r="BP8" s="5" t="b">
        <v>1</v>
      </c>
      <c r="BQ8" s="5"/>
      <c r="BR8" s="362">
        <f>HKD_DATA!AZ8</f>
        <v>-0.15</v>
      </c>
      <c r="BT8" s="50"/>
      <c r="BU8" t="s">
        <v>670</v>
      </c>
      <c r="BV8" s="263" t="str">
        <f>IF(BV6,_xll.meLWOCurveGeneratorCreate(BV7,"CURVEPROPERTIES",BU12:BV15,"FXFWDS",BU20:BV25),"DISABLED")</f>
        <v>DISABLED</v>
      </c>
      <c r="BW8" s="52"/>
      <c r="BX8" s="299"/>
      <c r="BY8" t="s">
        <v>298</v>
      </c>
      <c r="BZ8" s="297">
        <f>HKD_DATA!AW8</f>
        <v>-0.4</v>
      </c>
      <c r="CA8" s="297">
        <f>HKD_DATA!AX8</f>
        <v>0.1</v>
      </c>
      <c r="CC8" s="50"/>
      <c r="CD8" s="72" t="s">
        <v>670</v>
      </c>
      <c r="CE8" s="35" t="str">
        <f>IF(CE$6,_xll.meLWOCurveGeneratorCreate(CE$7,"CURVEPROPERTIES",CD12:CE20,"FWDFXCONST",CD27:CE31),"Disabled")</f>
        <v>HKD_EURCSA@389:6</v>
      </c>
      <c r="CF8" s="53" t="s">
        <v>424</v>
      </c>
      <c r="CG8" s="317"/>
      <c r="CH8" s="303"/>
      <c r="CI8" s="50"/>
      <c r="CJ8" s="72" t="s">
        <v>670</v>
      </c>
      <c r="CK8" s="35" t="str">
        <f>IF(CK$6,_xll.meLWOCurveGeneratorCreate(CK$7,"CURVEPROPERTIES",CJ12:CK20,"FWDFXCONST",CJ27:CK31),"Disabled")</f>
        <v>HKD_JPYCSA@392:6</v>
      </c>
      <c r="CL8" s="52" t="s">
        <v>424</v>
      </c>
      <c r="CM8" s="316"/>
      <c r="CN8" s="316"/>
      <c r="CO8" s="545"/>
      <c r="CP8" s="590"/>
      <c r="CQ8" s="590"/>
      <c r="CR8" s="590"/>
      <c r="CS8" s="407"/>
      <c r="CT8" s="405"/>
    </row>
    <row r="9" spans="1:98" x14ac:dyDescent="0.25">
      <c r="F9" s="50"/>
      <c r="G9" s="289"/>
      <c r="H9" s="289"/>
      <c r="I9" s="53" t="s">
        <v>424</v>
      </c>
      <c r="K9" t="s">
        <v>335</v>
      </c>
      <c r="L9" s="368">
        <f t="shared" si="2"/>
        <v>1.1999999999999999E-3</v>
      </c>
      <c r="M9" s="5" t="b">
        <v>1</v>
      </c>
      <c r="N9" s="5">
        <f t="shared" si="3"/>
        <v>0</v>
      </c>
      <c r="O9" s="358">
        <f>HKD_DATA!M9</f>
        <v>1.1999999999999999E-3</v>
      </c>
      <c r="Q9" s="50"/>
      <c r="R9" s="52"/>
      <c r="S9" s="52"/>
      <c r="T9" s="53"/>
      <c r="V9" t="s">
        <v>49</v>
      </c>
      <c r="W9" s="367">
        <f t="shared" si="0"/>
        <v>5.2261999999999994E-3</v>
      </c>
      <c r="X9" s="5" t="b">
        <v>1</v>
      </c>
      <c r="Y9" s="5">
        <f t="shared" si="4"/>
        <v>0</v>
      </c>
      <c r="Z9" s="368">
        <f>HKD_DATA!U9</f>
        <v>5.2261999999999994E-3</v>
      </c>
      <c r="AA9" s="203"/>
      <c r="AB9" s="50"/>
      <c r="AC9" s="52"/>
      <c r="AD9" s="52"/>
      <c r="AE9" s="53"/>
      <c r="AG9" t="s">
        <v>49</v>
      </c>
      <c r="AH9" s="358">
        <f t="shared" si="1"/>
        <v>5.2261999999999994E-3</v>
      </c>
      <c r="AI9" s="5" t="b">
        <v>1</v>
      </c>
      <c r="AJ9" s="5">
        <f t="shared" si="5"/>
        <v>0</v>
      </c>
      <c r="AK9" s="358">
        <f>HKD_DATA!Z9</f>
        <v>5.2261999999999994E-3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s="25" t="s">
        <v>47</v>
      </c>
      <c r="BD9" s="208">
        <f>BG9+BF9/10000</f>
        <v>1.4E-3</v>
      </c>
      <c r="BE9" t="b">
        <v>1</v>
      </c>
      <c r="BF9">
        <f>$BF$4</f>
        <v>0</v>
      </c>
      <c r="BG9" s="203">
        <f>HKD_DATA!AE9</f>
        <v>1.4E-3</v>
      </c>
      <c r="BI9" s="50"/>
      <c r="BJ9" s="52"/>
      <c r="BK9" s="52"/>
      <c r="BL9" s="53"/>
      <c r="BN9" t="s">
        <v>506</v>
      </c>
      <c r="BO9" s="362">
        <f t="shared" ref="BO9:BO16" si="7">BR9+BQ9</f>
        <v>-0.05</v>
      </c>
      <c r="BP9" s="5" t="b">
        <v>1</v>
      </c>
      <c r="BQ9" s="5"/>
      <c r="BR9" s="362">
        <f>HKD_DATA!AZ9</f>
        <v>-0.05</v>
      </c>
      <c r="BT9" s="50"/>
      <c r="BU9" s="57"/>
      <c r="BV9" s="57"/>
      <c r="BW9" s="52"/>
      <c r="BX9" s="299"/>
      <c r="BY9" t="s">
        <v>506</v>
      </c>
      <c r="BZ9" s="297">
        <f>HKD_DATA!AW9</f>
        <v>-0.3</v>
      </c>
      <c r="CA9" s="297">
        <f>HKD_DATA!AX9</f>
        <v>0.2</v>
      </c>
      <c r="CC9" s="50"/>
      <c r="CD9" s="52"/>
      <c r="CE9" s="52"/>
      <c r="CF9" s="53"/>
      <c r="CG9" s="317"/>
      <c r="CH9" s="299"/>
      <c r="CI9" s="50"/>
      <c r="CJ9" s="52"/>
      <c r="CK9" s="52"/>
      <c r="CL9" s="52"/>
      <c r="CM9" s="316"/>
      <c r="CN9" s="316"/>
      <c r="CO9" s="545"/>
      <c r="CP9" s="590"/>
      <c r="CQ9" s="590"/>
      <c r="CR9" s="590"/>
      <c r="CS9" s="407"/>
      <c r="CT9" s="405"/>
    </row>
    <row r="10" spans="1:98" x14ac:dyDescent="0.25">
      <c r="F10" s="50"/>
      <c r="G10" s="289"/>
      <c r="H10" s="289"/>
      <c r="I10" s="53"/>
      <c r="K10" t="s">
        <v>49</v>
      </c>
      <c r="L10" s="368">
        <f t="shared" si="2"/>
        <v>1.2999999999999999E-3</v>
      </c>
      <c r="M10" s="5" t="b">
        <v>1</v>
      </c>
      <c r="N10" s="5">
        <f t="shared" si="3"/>
        <v>0</v>
      </c>
      <c r="O10" s="358">
        <f>HKD_DATA!M10</f>
        <v>1.2999999999999999E-3</v>
      </c>
      <c r="Q10" s="50"/>
      <c r="R10" s="52"/>
      <c r="S10" s="52"/>
      <c r="T10" s="53"/>
      <c r="V10" t="s">
        <v>46</v>
      </c>
      <c r="W10" s="367">
        <f t="shared" si="0"/>
        <v>6.7445999999999999E-3</v>
      </c>
      <c r="X10" s="5" t="b">
        <v>0</v>
      </c>
      <c r="Y10" s="5">
        <f t="shared" si="4"/>
        <v>0</v>
      </c>
      <c r="Z10" s="368">
        <f>HKD_DATA!U10</f>
        <v>6.7445999999999999E-3</v>
      </c>
      <c r="AA10" s="203"/>
      <c r="AB10" s="50"/>
      <c r="AC10" s="52"/>
      <c r="AD10" s="52"/>
      <c r="AE10" s="53"/>
      <c r="AG10" t="s">
        <v>46</v>
      </c>
      <c r="AH10" s="358">
        <f t="shared" si="1"/>
        <v>6.7445999999999999E-3</v>
      </c>
      <c r="AI10" s="5" t="b">
        <v>1</v>
      </c>
      <c r="AJ10" s="5">
        <f t="shared" si="5"/>
        <v>0</v>
      </c>
      <c r="AK10" s="358">
        <f>HKD_DATA!Z10</f>
        <v>6.7445999999999999E-3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s="25" t="s">
        <v>308</v>
      </c>
      <c r="BD10" s="203">
        <f t="shared" si="6"/>
        <v>1.1999999999999999E-3</v>
      </c>
      <c r="BE10" t="b">
        <v>1</v>
      </c>
      <c r="BF10">
        <f t="shared" ref="BF10:BF17" si="8">$BF$4</f>
        <v>0</v>
      </c>
      <c r="BG10" s="203">
        <f>HKD_DATA!AE10</f>
        <v>1.1999999999999999E-3</v>
      </c>
      <c r="BI10" s="50"/>
      <c r="BJ10" s="52"/>
      <c r="BK10" s="52"/>
      <c r="BL10" s="53"/>
      <c r="BN10" t="s">
        <v>305</v>
      </c>
      <c r="BO10" s="362">
        <f t="shared" si="7"/>
        <v>-0.2</v>
      </c>
      <c r="BP10" s="5" t="b">
        <v>1</v>
      </c>
      <c r="BQ10" s="5"/>
      <c r="BR10" s="362">
        <f>HKD_DATA!AZ10</f>
        <v>-0.2</v>
      </c>
      <c r="BT10" s="50"/>
      <c r="BU10" s="57"/>
      <c r="BV10" s="57"/>
      <c r="BW10" s="52"/>
      <c r="BX10" s="299"/>
      <c r="BY10" t="s">
        <v>305</v>
      </c>
      <c r="BZ10" s="297">
        <f>HKD_DATA!AW10</f>
        <v>-0.7</v>
      </c>
      <c r="CA10" s="297">
        <f>HKD_DATA!AX10</f>
        <v>0.3</v>
      </c>
      <c r="CC10" s="50"/>
      <c r="CD10" s="52"/>
      <c r="CE10" s="52"/>
      <c r="CF10" s="53"/>
      <c r="CG10" s="317"/>
      <c r="CH10" s="299"/>
      <c r="CI10" s="50"/>
      <c r="CJ10" s="52"/>
      <c r="CK10" s="52"/>
      <c r="CL10" s="52"/>
      <c r="CM10" s="316"/>
      <c r="CN10" s="316"/>
      <c r="CO10" s="545"/>
      <c r="CP10" s="590"/>
      <c r="CQ10" s="590"/>
      <c r="CR10" s="590"/>
      <c r="CS10" s="407"/>
      <c r="CT10" s="405"/>
    </row>
    <row r="11" spans="1:98" x14ac:dyDescent="0.25">
      <c r="F11" s="50"/>
      <c r="G11" s="54" t="s">
        <v>671</v>
      </c>
      <c r="H11" s="52"/>
      <c r="I11" s="53"/>
      <c r="K11" t="s">
        <v>46</v>
      </c>
      <c r="L11" s="368">
        <f t="shared" si="2"/>
        <v>2E-3</v>
      </c>
      <c r="M11" s="5" t="b">
        <v>1</v>
      </c>
      <c r="N11" s="5">
        <f t="shared" si="3"/>
        <v>0</v>
      </c>
      <c r="O11" s="358">
        <f>HKD_DATA!M11</f>
        <v>2E-3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9.9375000000000002E-3</v>
      </c>
      <c r="X11" s="5" t="b">
        <v>0</v>
      </c>
      <c r="Y11" s="5">
        <f t="shared" si="4"/>
        <v>0</v>
      </c>
      <c r="Z11" s="368">
        <f>SAR_DATA!U11</f>
        <v>9.9375000000000002E-3</v>
      </c>
      <c r="AA11" s="203"/>
      <c r="AB11" s="50"/>
      <c r="AC11" s="54" t="s">
        <v>671</v>
      </c>
      <c r="AD11" s="85" t="s">
        <v>713</v>
      </c>
      <c r="AE11" s="53"/>
      <c r="AG11" t="s">
        <v>47</v>
      </c>
      <c r="AH11" s="358">
        <f>AK11+AJ11/10000</f>
        <v>-2E-3</v>
      </c>
      <c r="AI11" s="5" t="b">
        <v>1</v>
      </c>
      <c r="AJ11" s="5">
        <f>$AJ$4</f>
        <v>0</v>
      </c>
      <c r="AK11" s="357">
        <f>HKD_DATA!Z13</f>
        <v>-2E-3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s="25" t="s">
        <v>316</v>
      </c>
      <c r="BD11" s="203">
        <f t="shared" si="6"/>
        <v>1E-3</v>
      </c>
      <c r="BE11" t="b">
        <v>1</v>
      </c>
      <c r="BF11">
        <f t="shared" si="8"/>
        <v>0</v>
      </c>
      <c r="BG11" s="203">
        <f>HKD_DATA!AE11</f>
        <v>1E-3</v>
      </c>
      <c r="BI11" s="50"/>
      <c r="BJ11" s="54" t="s">
        <v>671</v>
      </c>
      <c r="BK11" s="85"/>
      <c r="BL11" s="53"/>
      <c r="BN11" t="s">
        <v>313</v>
      </c>
      <c r="BO11" s="362">
        <f t="shared" si="7"/>
        <v>0.25</v>
      </c>
      <c r="BP11" s="5" t="b">
        <v>1</v>
      </c>
      <c r="BQ11" s="5"/>
      <c r="BR11" s="362">
        <f>HKD_DATA!AZ11</f>
        <v>0.25</v>
      </c>
      <c r="BT11" s="50"/>
      <c r="BU11" s="56" t="s">
        <v>671</v>
      </c>
      <c r="BV11" s="272" t="s">
        <v>825</v>
      </c>
      <c r="BW11" s="52"/>
      <c r="BX11" s="299"/>
      <c r="BY11" t="s">
        <v>313</v>
      </c>
      <c r="BZ11" s="297">
        <f>HKD_DATA!AW11</f>
        <v>-0.2</v>
      </c>
      <c r="CA11" s="297">
        <f>HKD_DATA!AX11</f>
        <v>0.7</v>
      </c>
      <c r="CC11" s="50"/>
      <c r="CD11" s="54" t="s">
        <v>671</v>
      </c>
      <c r="CE11" s="85"/>
      <c r="CF11" s="53"/>
      <c r="CG11" s="317"/>
      <c r="CH11" s="299"/>
      <c r="CI11" s="50"/>
      <c r="CJ11" s="54" t="s">
        <v>671</v>
      </c>
      <c r="CK11" s="85"/>
      <c r="CL11" s="52"/>
      <c r="CM11" s="316"/>
      <c r="CN11" s="316"/>
      <c r="CO11" s="545"/>
      <c r="CP11" s="590"/>
      <c r="CQ11" s="590"/>
      <c r="CR11" s="590"/>
      <c r="CS11" s="407"/>
      <c r="CT11" s="405"/>
    </row>
    <row r="12" spans="1:98" x14ac:dyDescent="0.25">
      <c r="F12" s="50"/>
      <c r="G12" s="212" t="s">
        <v>435</v>
      </c>
      <c r="H12" s="213" t="s">
        <v>426</v>
      </c>
      <c r="I12" s="53"/>
      <c r="K12" t="s">
        <v>376</v>
      </c>
      <c r="L12" s="368">
        <f t="shared" si="2"/>
        <v>2.2000000000000001E-3</v>
      </c>
      <c r="M12" s="5" t="b">
        <v>1</v>
      </c>
      <c r="N12" s="5">
        <f t="shared" si="3"/>
        <v>0</v>
      </c>
      <c r="O12" s="358">
        <f>HKD_DATA!M12</f>
        <v>2.2000000000000001E-3</v>
      </c>
      <c r="Q12" s="50"/>
      <c r="R12" s="220" t="s">
        <v>435</v>
      </c>
      <c r="S12" s="221" t="s">
        <v>463</v>
      </c>
      <c r="T12" s="53"/>
      <c r="V12" t="s">
        <v>1208</v>
      </c>
      <c r="W12" s="367">
        <f t="shared" si="0"/>
        <v>5.8999999999999999E-3</v>
      </c>
      <c r="X12" s="5" t="b">
        <v>1</v>
      </c>
      <c r="Y12" s="5">
        <f t="shared" si="4"/>
        <v>0</v>
      </c>
      <c r="Z12" s="368">
        <f>HKD_DATA!U11</f>
        <v>5.8999999999999999E-3</v>
      </c>
      <c r="AA12" s="203"/>
      <c r="AB12" s="50"/>
      <c r="AC12" s="220" t="s">
        <v>434</v>
      </c>
      <c r="AD12" s="238" t="str">
        <f>$A$1</f>
        <v>HKD</v>
      </c>
      <c r="AE12" s="53"/>
      <c r="AG12" t="s">
        <v>308</v>
      </c>
      <c r="AH12" s="358">
        <f t="shared" ref="AH12:AH17" si="9">AK12+AJ12/10000</f>
        <v>-2E-3</v>
      </c>
      <c r="AI12" s="5" t="b">
        <v>1</v>
      </c>
      <c r="AJ12" s="5">
        <f t="shared" ref="AJ12:AJ17" si="10">$AJ$4</f>
        <v>0</v>
      </c>
      <c r="AK12" s="357">
        <f>HKD_DATA!Z14</f>
        <v>-2E-3</v>
      </c>
      <c r="AL12" s="207"/>
      <c r="AM12" s="50"/>
      <c r="AN12" s="220" t="s">
        <v>434</v>
      </c>
      <c r="AO12" s="238" t="str">
        <f>$A$1</f>
        <v>HKD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HKD</v>
      </c>
      <c r="BA12" s="53"/>
      <c r="BC12" s="25" t="s">
        <v>324</v>
      </c>
      <c r="BD12" s="203">
        <f t="shared" si="6"/>
        <v>6.9999999999999999E-4</v>
      </c>
      <c r="BE12" t="b">
        <v>1</v>
      </c>
      <c r="BF12">
        <f t="shared" si="8"/>
        <v>0</v>
      </c>
      <c r="BG12" s="203">
        <f>HKD_DATA!AE12</f>
        <v>6.9999999999999999E-4</v>
      </c>
      <c r="BI12" s="50"/>
      <c r="BJ12" s="220" t="s">
        <v>435</v>
      </c>
      <c r="BK12" s="238" t="s">
        <v>669</v>
      </c>
      <c r="BL12" s="53"/>
      <c r="BN12" t="s">
        <v>300</v>
      </c>
      <c r="BO12" s="362">
        <f t="shared" si="7"/>
        <v>12</v>
      </c>
      <c r="BP12" s="5" t="b">
        <v>1</v>
      </c>
      <c r="BQ12" s="5"/>
      <c r="BR12" s="362">
        <f>HKD_DATA!AZ12</f>
        <v>12</v>
      </c>
      <c r="BT12" s="50"/>
      <c r="BU12" s="238" t="s">
        <v>434</v>
      </c>
      <c r="BV12" s="238" t="s">
        <v>1275</v>
      </c>
      <c r="BW12" s="52"/>
      <c r="BX12" s="299"/>
      <c r="BY12" t="s">
        <v>300</v>
      </c>
      <c r="BZ12" s="297">
        <f>HKD_DATA!AW12</f>
        <v>11</v>
      </c>
      <c r="CA12" s="297">
        <f>HKD_DATA!AX12</f>
        <v>13</v>
      </c>
      <c r="CC12" s="50"/>
      <c r="CD12" s="220" t="s">
        <v>435</v>
      </c>
      <c r="CE12" s="238" t="s">
        <v>1084</v>
      </c>
      <c r="CF12" s="53"/>
      <c r="CG12" s="317"/>
      <c r="CH12" s="303"/>
      <c r="CI12" s="50"/>
      <c r="CJ12" s="220" t="s">
        <v>435</v>
      </c>
      <c r="CK12" s="238" t="s">
        <v>1084</v>
      </c>
      <c r="CL12" s="52"/>
      <c r="CM12" s="316"/>
      <c r="CN12" s="316"/>
      <c r="CO12" s="545"/>
      <c r="CP12" s="590"/>
      <c r="CQ12" s="590"/>
      <c r="CR12" s="590"/>
      <c r="CS12" s="407"/>
      <c r="CT12" s="405"/>
    </row>
    <row r="13" spans="1:98" x14ac:dyDescent="0.25">
      <c r="F13" s="50"/>
      <c r="G13" s="214" t="s">
        <v>438</v>
      </c>
      <c r="H13" s="215" t="str">
        <f>IF(INDEX('STATIC DATA'!C60:AF60,1,MATCH($A$1,'STATIC DATA'!C4:AF4,0))="1D","DAILY","#Not FOUND")</f>
        <v>DAILY</v>
      </c>
      <c r="I13" s="53"/>
      <c r="K13" t="s">
        <v>47</v>
      </c>
      <c r="L13" s="368">
        <f t="shared" si="2"/>
        <v>2.3999999999999998E-3</v>
      </c>
      <c r="M13" s="5" t="b">
        <v>1</v>
      </c>
      <c r="N13" s="5">
        <f t="shared" si="3"/>
        <v>0</v>
      </c>
      <c r="O13" s="358">
        <f>HKD_DATA!M13</f>
        <v>2.3999999999999998E-3</v>
      </c>
      <c r="Q13" s="50"/>
      <c r="R13" s="222" t="s">
        <v>438</v>
      </c>
      <c r="S13" s="223" t="str">
        <f>IF(INDEX('STATIC DATA'!C56:AF56,1,MATCH(A1,'STATIC DATA'!C4:AF4,0))="1Y","ANNUAL",(IF(INDEX('STATIC DATA'!C56:AF56,1,MATCH($A$1,'STATIC DATA'!C4:AF4,0))="6M","SEMI-ANNUAL","QUARTERLY")))</f>
        <v>QUARTERLY</v>
      </c>
      <c r="T13" s="53"/>
      <c r="V13" t="s">
        <v>1209</v>
      </c>
      <c r="W13" s="367">
        <f t="shared" si="0"/>
        <v>6.0000000000000001E-3</v>
      </c>
      <c r="X13" s="5" t="b">
        <v>1</v>
      </c>
      <c r="Y13" s="5">
        <f t="shared" si="4"/>
        <v>0</v>
      </c>
      <c r="Z13" s="368">
        <f>HKD_DATA!U12</f>
        <v>6.0000000000000001E-3</v>
      </c>
      <c r="AA13" s="203"/>
      <c r="AB13" s="50"/>
      <c r="AC13" s="222" t="s">
        <v>435</v>
      </c>
      <c r="AD13" s="216" t="s">
        <v>468</v>
      </c>
      <c r="AE13" s="53"/>
      <c r="AG13" t="s">
        <v>316</v>
      </c>
      <c r="AH13" s="358">
        <f t="shared" si="9"/>
        <v>-2E-3</v>
      </c>
      <c r="AI13" s="5" t="b">
        <v>1</v>
      </c>
      <c r="AJ13" s="5">
        <f t="shared" si="10"/>
        <v>0</v>
      </c>
      <c r="AK13" s="357">
        <f>HKD_DATA!Z15</f>
        <v>-2E-3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s="25" t="s">
        <v>331</v>
      </c>
      <c r="BD13" s="203">
        <f t="shared" si="6"/>
        <v>6.9999999999999999E-4</v>
      </c>
      <c r="BE13" t="b">
        <v>1</v>
      </c>
      <c r="BF13">
        <f t="shared" si="8"/>
        <v>0</v>
      </c>
      <c r="BG13" s="203">
        <f>HKD_DATA!AE13</f>
        <v>6.9999999999999999E-4</v>
      </c>
      <c r="BI13" s="50"/>
      <c r="BJ13" s="222" t="s">
        <v>438</v>
      </c>
      <c r="BK13" s="216" t="s">
        <v>458</v>
      </c>
      <c r="BL13" s="53"/>
      <c r="BN13" t="s">
        <v>335</v>
      </c>
      <c r="BO13" s="362">
        <f t="shared" si="7"/>
        <v>31</v>
      </c>
      <c r="BP13" s="5" t="b">
        <v>1</v>
      </c>
      <c r="BQ13" s="5"/>
      <c r="BR13" s="362">
        <f>HKD_DATA!AZ13</f>
        <v>31</v>
      </c>
      <c r="BT13" s="50"/>
      <c r="BU13" s="216" t="s">
        <v>724</v>
      </c>
      <c r="BV13" s="216" t="s">
        <v>1592</v>
      </c>
      <c r="BW13" s="52"/>
      <c r="BX13" s="299"/>
      <c r="BY13" t="s">
        <v>335</v>
      </c>
      <c r="BZ13" s="297">
        <f>HKD_DATA!AW13</f>
        <v>29</v>
      </c>
      <c r="CA13" s="297">
        <f>HKD_DATA!AX13</f>
        <v>33</v>
      </c>
      <c r="CC13" s="50"/>
      <c r="CD13" s="222" t="s">
        <v>438</v>
      </c>
      <c r="CE13" s="216" t="s">
        <v>439</v>
      </c>
      <c r="CF13" s="53"/>
      <c r="CG13" s="317"/>
      <c r="CH13" s="313"/>
      <c r="CI13" s="50"/>
      <c r="CJ13" s="222" t="s">
        <v>438</v>
      </c>
      <c r="CK13" s="216" t="s">
        <v>439</v>
      </c>
      <c r="CL13" s="52"/>
      <c r="CM13" s="316"/>
      <c r="CN13" s="316"/>
      <c r="CO13" s="545"/>
      <c r="CP13" s="590"/>
      <c r="CQ13" s="590"/>
      <c r="CR13" s="590"/>
      <c r="CS13" s="407"/>
      <c r="CT13" s="405"/>
    </row>
    <row r="14" spans="1:98" x14ac:dyDescent="0.25">
      <c r="F14" s="50"/>
      <c r="G14" s="214" t="s">
        <v>672</v>
      </c>
      <c r="H14" s="215" t="s">
        <v>426</v>
      </c>
      <c r="I14" s="53"/>
      <c r="K14" t="s">
        <v>308</v>
      </c>
      <c r="L14" s="368">
        <f t="shared" si="2"/>
        <v>2.5999999999999999E-3</v>
      </c>
      <c r="M14" s="5" t="b">
        <v>1</v>
      </c>
      <c r="N14" s="5">
        <f t="shared" si="3"/>
        <v>0</v>
      </c>
      <c r="O14" s="358">
        <f>HKD_DATA!M15</f>
        <v>2.5999999999999999E-3</v>
      </c>
      <c r="Q14" s="50"/>
      <c r="R14" s="222" t="s">
        <v>672</v>
      </c>
      <c r="S14" s="223" t="s">
        <v>714</v>
      </c>
      <c r="T14" s="53"/>
      <c r="V14" t="s">
        <v>1076</v>
      </c>
      <c r="W14" s="367">
        <f t="shared" ref="W14" si="11">Z14+Y14/10000</f>
        <v>5.6999999999999993E-3</v>
      </c>
      <c r="X14" s="5" t="b">
        <v>0</v>
      </c>
      <c r="Y14" s="5">
        <f t="shared" si="4"/>
        <v>0</v>
      </c>
      <c r="Z14" s="368">
        <f>HKD_DATA!U13</f>
        <v>5.6999999999999993E-3</v>
      </c>
      <c r="AA14" s="203"/>
      <c r="AB14" s="50"/>
      <c r="AC14" s="222" t="s">
        <v>438</v>
      </c>
      <c r="AD14" s="216" t="s">
        <v>459</v>
      </c>
      <c r="AE14" s="53"/>
      <c r="AG14" t="s">
        <v>324</v>
      </c>
      <c r="AH14" s="358">
        <f t="shared" si="9"/>
        <v>-2E-3</v>
      </c>
      <c r="AI14" s="5" t="b">
        <v>1</v>
      </c>
      <c r="AJ14" s="5">
        <f t="shared" si="10"/>
        <v>0</v>
      </c>
      <c r="AK14" s="357">
        <f>HKD_DATA!Z16</f>
        <v>-2E-3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s="25" t="s">
        <v>342</v>
      </c>
      <c r="BD14" s="203">
        <f t="shared" si="6"/>
        <v>5.9999999999999995E-4</v>
      </c>
      <c r="BE14" t="b">
        <v>1</v>
      </c>
      <c r="BF14">
        <f t="shared" si="8"/>
        <v>0</v>
      </c>
      <c r="BG14" s="203">
        <f>HKD_DATA!AE14</f>
        <v>5.9999999999999995E-4</v>
      </c>
      <c r="BI14" s="50"/>
      <c r="BJ14" s="222" t="s">
        <v>672</v>
      </c>
      <c r="BK14" s="216" t="s">
        <v>803</v>
      </c>
      <c r="BL14" s="53"/>
      <c r="BN14" t="s">
        <v>49</v>
      </c>
      <c r="BO14" s="362">
        <f t="shared" si="7"/>
        <v>41.5</v>
      </c>
      <c r="BP14" s="5" t="b">
        <v>1</v>
      </c>
      <c r="BQ14" s="5"/>
      <c r="BR14" s="362">
        <f>HKD_DATA!AZ14</f>
        <v>41.5</v>
      </c>
      <c r="BT14" s="50"/>
      <c r="BU14" s="216" t="s">
        <v>435</v>
      </c>
      <c r="BV14" s="216" t="s">
        <v>820</v>
      </c>
      <c r="BW14" s="52"/>
      <c r="BX14" s="299"/>
      <c r="BY14" t="s">
        <v>49</v>
      </c>
      <c r="BZ14" s="297">
        <f>HKD_DATA!AW14</f>
        <v>39</v>
      </c>
      <c r="CA14" s="297">
        <f>HKD_DATA!AX14</f>
        <v>44</v>
      </c>
      <c r="CC14" s="50"/>
      <c r="CD14" s="222" t="s">
        <v>672</v>
      </c>
      <c r="CE14" s="216" t="s">
        <v>1092</v>
      </c>
      <c r="CF14" s="53"/>
      <c r="CG14" s="317"/>
      <c r="CH14" s="299"/>
      <c r="CI14" s="50"/>
      <c r="CJ14" s="222" t="s">
        <v>672</v>
      </c>
      <c r="CK14" s="216" t="s">
        <v>1127</v>
      </c>
      <c r="CL14" s="52"/>
      <c r="CM14" s="316"/>
      <c r="CN14" s="316"/>
      <c r="CO14" s="545"/>
      <c r="CP14" s="590"/>
      <c r="CQ14" s="590"/>
      <c r="CR14" s="590"/>
      <c r="CS14" s="407"/>
      <c r="CT14" s="405"/>
    </row>
    <row r="15" spans="1:98" x14ac:dyDescent="0.25">
      <c r="F15" s="50"/>
      <c r="G15" s="235" t="s">
        <v>673</v>
      </c>
      <c r="H15" s="236" t="str">
        <f>H14&amp;":"&amp;$A$1&amp;H12</f>
        <v>OIS:HKDOIS</v>
      </c>
      <c r="I15" s="53" t="s">
        <v>424</v>
      </c>
      <c r="K15" t="s">
        <v>316</v>
      </c>
      <c r="L15" s="368">
        <f t="shared" si="2"/>
        <v>2.8000000000000004E-3</v>
      </c>
      <c r="M15" s="5" t="b">
        <v>1</v>
      </c>
      <c r="N15" s="5">
        <f t="shared" si="3"/>
        <v>0</v>
      </c>
      <c r="O15" s="358">
        <f>HKD_DATA!M16</f>
        <v>2.8000000000000004E-3</v>
      </c>
      <c r="Q15" s="50"/>
      <c r="R15" s="233" t="s">
        <v>673</v>
      </c>
      <c r="S15" s="230" t="str">
        <f>"STD:"&amp;$A$1&amp;"3M"</f>
        <v>STD:HKD3M</v>
      </c>
      <c r="T15" s="53"/>
      <c r="V15" t="s">
        <v>47</v>
      </c>
      <c r="W15" s="367">
        <f t="shared" si="0"/>
        <v>5.5500000000000002E-3</v>
      </c>
      <c r="X15" s="5" t="b">
        <v>1</v>
      </c>
      <c r="Y15" s="5">
        <v>0</v>
      </c>
      <c r="Z15" s="368">
        <f>HKD_DATA!U16</f>
        <v>5.5500000000000002E-3</v>
      </c>
      <c r="AA15" s="203"/>
      <c r="AB15" s="50"/>
      <c r="AC15" s="222" t="s">
        <v>672</v>
      </c>
      <c r="AD15" s="216" t="s">
        <v>745</v>
      </c>
      <c r="AE15" s="53"/>
      <c r="AG15" t="s">
        <v>331</v>
      </c>
      <c r="AH15" s="358">
        <f t="shared" si="9"/>
        <v>-2E-3</v>
      </c>
      <c r="AI15" s="5" t="b">
        <v>1</v>
      </c>
      <c r="AJ15" s="5">
        <f t="shared" si="10"/>
        <v>0</v>
      </c>
      <c r="AK15" s="357">
        <f>HKD_DATA!Z17</f>
        <v>-2E-3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s="25" t="s">
        <v>349</v>
      </c>
      <c r="BD15" s="203">
        <f t="shared" si="6"/>
        <v>5.9999999999999995E-4</v>
      </c>
      <c r="BE15" t="b">
        <v>1</v>
      </c>
      <c r="BF15">
        <f t="shared" si="8"/>
        <v>0</v>
      </c>
      <c r="BG15" s="203">
        <f>HKD_DATA!AE15</f>
        <v>5.9999999999999995E-4</v>
      </c>
      <c r="BI15" s="50"/>
      <c r="BJ15" s="222" t="s">
        <v>673</v>
      </c>
      <c r="BK15" s="216" t="s">
        <v>1274</v>
      </c>
      <c r="BL15" s="53"/>
      <c r="BN15" t="s">
        <v>46</v>
      </c>
      <c r="BO15" s="362">
        <f t="shared" si="7"/>
        <v>70</v>
      </c>
      <c r="BP15" s="5" t="b">
        <v>1</v>
      </c>
      <c r="BQ15" s="5"/>
      <c r="BR15" s="362">
        <f>HKD_DATA!AZ15</f>
        <v>70</v>
      </c>
      <c r="BT15" s="50"/>
      <c r="BU15" s="219" t="s">
        <v>826</v>
      </c>
      <c r="BV15" s="219" t="s">
        <v>828</v>
      </c>
      <c r="BW15" s="52"/>
      <c r="BX15" s="299"/>
      <c r="BY15" t="s">
        <v>46</v>
      </c>
      <c r="BZ15" s="297">
        <f>HKD_DATA!AW15</f>
        <v>65</v>
      </c>
      <c r="CA15" s="297">
        <f>HKD_DATA!AX15</f>
        <v>75</v>
      </c>
      <c r="CC15" s="50"/>
      <c r="CD15" s="222" t="s">
        <v>673</v>
      </c>
      <c r="CE15" s="216" t="s">
        <v>1282</v>
      </c>
      <c r="CF15" s="53"/>
      <c r="CG15" s="317"/>
      <c r="CH15" s="299"/>
      <c r="CI15" s="50"/>
      <c r="CJ15" s="222" t="s">
        <v>673</v>
      </c>
      <c r="CK15" s="216" t="s">
        <v>1283</v>
      </c>
      <c r="CL15" s="52"/>
      <c r="CM15" s="316"/>
      <c r="CN15" s="316"/>
      <c r="CO15" s="545"/>
      <c r="CP15" s="590"/>
      <c r="CQ15" s="590"/>
      <c r="CR15" s="590"/>
      <c r="CS15" s="407"/>
      <c r="CT15" s="405"/>
    </row>
    <row r="16" spans="1:98" x14ac:dyDescent="0.25">
      <c r="F16" s="50"/>
      <c r="G16" s="214" t="s">
        <v>434</v>
      </c>
      <c r="H16" s="216" t="str">
        <f>$A$1</f>
        <v>HKD</v>
      </c>
      <c r="I16" s="53"/>
      <c r="K16" t="s">
        <v>324</v>
      </c>
      <c r="L16" s="368">
        <f t="shared" si="2"/>
        <v>3.0999999999999999E-3</v>
      </c>
      <c r="M16" s="5" t="b">
        <v>1</v>
      </c>
      <c r="N16" s="5">
        <f t="shared" si="3"/>
        <v>0</v>
      </c>
      <c r="O16" s="358">
        <f>HKD_DATA!M17</f>
        <v>3.0999999999999999E-3</v>
      </c>
      <c r="Q16" s="50"/>
      <c r="R16" s="222" t="s">
        <v>434</v>
      </c>
      <c r="S16" s="223" t="str">
        <f>$A$1</f>
        <v>HKD</v>
      </c>
      <c r="T16" s="53"/>
      <c r="V16" t="s">
        <v>501</v>
      </c>
      <c r="W16" s="367">
        <f t="shared" ref="W16" si="12">Z16+Y16/10000</f>
        <v>5.6000000000000008E-3</v>
      </c>
      <c r="X16" s="5" t="b">
        <v>0</v>
      </c>
      <c r="Y16" s="5">
        <v>0</v>
      </c>
      <c r="Z16" s="368">
        <f>HKD_DATA!U17</f>
        <v>5.6000000000000008E-3</v>
      </c>
      <c r="AA16" s="203"/>
      <c r="AB16" s="50"/>
      <c r="AC16" s="233" t="s">
        <v>673</v>
      </c>
      <c r="AD16" s="230" t="s">
        <v>1273</v>
      </c>
      <c r="AE16" s="53"/>
      <c r="AG16" t="s">
        <v>342</v>
      </c>
      <c r="AH16" s="358">
        <f t="shared" si="9"/>
        <v>-2E-3</v>
      </c>
      <c r="AI16" s="5" t="b">
        <v>1</v>
      </c>
      <c r="AJ16" s="5">
        <f t="shared" si="10"/>
        <v>0</v>
      </c>
      <c r="AK16" s="357">
        <f>HKD_DATA!Z18</f>
        <v>-2E-3</v>
      </c>
      <c r="AL16" s="207"/>
      <c r="AM16" s="50"/>
      <c r="AN16" s="233" t="s">
        <v>673</v>
      </c>
      <c r="AO16" s="230" t="str">
        <f>"3M12MBasis:"&amp;$A$1&amp;"12M"</f>
        <v>3M12MBasis:HKD12M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"1M3MBasis:"&amp;A1&amp;"1M"</f>
        <v>1M3MBasis:HKD1M</v>
      </c>
      <c r="BA16" s="53"/>
      <c r="BC16" s="25" t="s">
        <v>358</v>
      </c>
      <c r="BD16" s="203">
        <f t="shared" si="6"/>
        <v>5.9999999999999995E-4</v>
      </c>
      <c r="BE16" t="b">
        <v>1</v>
      </c>
      <c r="BF16">
        <f t="shared" si="8"/>
        <v>0</v>
      </c>
      <c r="BG16" s="203">
        <f>HKD_DATA!AE16</f>
        <v>5.9999999999999995E-4</v>
      </c>
      <c r="BI16" s="50"/>
      <c r="BJ16" s="233" t="s">
        <v>434</v>
      </c>
      <c r="BK16" s="230" t="str">
        <f>$A$1</f>
        <v>HKD</v>
      </c>
      <c r="BL16" s="53"/>
      <c r="BN16" t="s">
        <v>376</v>
      </c>
      <c r="BO16" s="362">
        <f t="shared" si="7"/>
        <v>110</v>
      </c>
      <c r="BP16" s="5" t="b">
        <v>1</v>
      </c>
      <c r="BQ16" s="5"/>
      <c r="BR16" s="362">
        <f>HKD_DATA!AZ16</f>
        <v>110</v>
      </c>
      <c r="BT16" s="50"/>
      <c r="BU16" s="57"/>
      <c r="BV16" s="57"/>
      <c r="BW16" s="52"/>
      <c r="BX16" s="299"/>
      <c r="BY16" t="s">
        <v>376</v>
      </c>
      <c r="BZ16" s="297">
        <f>HKD_DATA!AW16</f>
        <v>100</v>
      </c>
      <c r="CA16" s="297">
        <f>HKD_DATA!AX16</f>
        <v>120</v>
      </c>
      <c r="CC16" s="50"/>
      <c r="CD16" s="233" t="s">
        <v>434</v>
      </c>
      <c r="CE16" s="230" t="s">
        <v>1229</v>
      </c>
      <c r="CF16" s="53"/>
      <c r="CG16" s="317"/>
      <c r="CH16" s="299"/>
      <c r="CI16" s="50"/>
      <c r="CJ16" s="233" t="s">
        <v>434</v>
      </c>
      <c r="CK16" s="230" t="s">
        <v>1229</v>
      </c>
      <c r="CL16" s="52"/>
      <c r="CM16" s="316"/>
      <c r="CN16" s="316"/>
      <c r="CO16" s="545"/>
      <c r="CP16" s="590"/>
      <c r="CQ16" s="590"/>
      <c r="CR16" s="590"/>
      <c r="CS16" s="407"/>
      <c r="CT16" s="405"/>
    </row>
    <row r="17" spans="6:98" x14ac:dyDescent="0.25">
      <c r="F17" s="50"/>
      <c r="G17" s="217" t="s">
        <v>674</v>
      </c>
      <c r="H17" s="216" t="s">
        <v>675</v>
      </c>
      <c r="I17" s="53"/>
      <c r="K17" t="s">
        <v>331</v>
      </c>
      <c r="L17" s="368">
        <f t="shared" si="2"/>
        <v>3.4999999999999996E-3</v>
      </c>
      <c r="M17" s="5" t="b">
        <v>1</v>
      </c>
      <c r="N17" s="5">
        <f t="shared" si="3"/>
        <v>0</v>
      </c>
      <c r="O17" s="358">
        <f>HKD_DATA!M18</f>
        <v>3.4999999999999996E-3</v>
      </c>
      <c r="Q17" s="50"/>
      <c r="R17" s="222" t="s">
        <v>674</v>
      </c>
      <c r="S17" s="223" t="s">
        <v>715</v>
      </c>
      <c r="T17" s="53"/>
      <c r="V17" t="s">
        <v>308</v>
      </c>
      <c r="W17" s="367">
        <f t="shared" si="0"/>
        <v>5.6499999999999996E-3</v>
      </c>
      <c r="X17" s="5" t="b">
        <v>1</v>
      </c>
      <c r="Y17" s="5">
        <f t="shared" si="4"/>
        <v>0</v>
      </c>
      <c r="Z17" s="368">
        <f>HKD_DATA!U18</f>
        <v>5.6499999999999996E-3</v>
      </c>
      <c r="AA17" s="203"/>
      <c r="AB17" s="50"/>
      <c r="AC17" s="222" t="s">
        <v>674</v>
      </c>
      <c r="AD17" s="216" t="s">
        <v>675</v>
      </c>
      <c r="AE17" s="53"/>
      <c r="AG17" t="s">
        <v>349</v>
      </c>
      <c r="AH17" s="358">
        <f t="shared" si="9"/>
        <v>-2E-3</v>
      </c>
      <c r="AI17" s="5" t="b">
        <v>1</v>
      </c>
      <c r="AJ17" s="5">
        <f t="shared" si="10"/>
        <v>0</v>
      </c>
      <c r="AK17" s="357">
        <f>HKD_DATA!Z19</f>
        <v>-2E-3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s="25" t="s">
        <v>367</v>
      </c>
      <c r="BD17" s="203">
        <f t="shared" si="6"/>
        <v>5.9999999999999995E-4</v>
      </c>
      <c r="BE17" t="b">
        <v>1</v>
      </c>
      <c r="BF17">
        <f t="shared" si="8"/>
        <v>0</v>
      </c>
      <c r="BG17" s="203">
        <f>HKD_DATA!AE17</f>
        <v>5.9999999999999995E-4</v>
      </c>
      <c r="BI17" s="50"/>
      <c r="BJ17" s="222" t="s">
        <v>674</v>
      </c>
      <c r="BK17" s="216" t="s">
        <v>675</v>
      </c>
      <c r="BL17" s="53"/>
      <c r="BN17" t="s">
        <v>47</v>
      </c>
      <c r="BO17" s="368">
        <f>BR17+BQ17/10000</f>
        <v>-1.2999999999999999E-3</v>
      </c>
      <c r="BP17" s="5" t="b">
        <v>1</v>
      </c>
      <c r="BQ17" s="5">
        <f t="shared" ref="BQ17:BQ25" si="13">$BQ$4</f>
        <v>0</v>
      </c>
      <c r="BR17" s="368">
        <f>HKD_DATA!AR9</f>
        <v>-1.2999999999999999E-3</v>
      </c>
      <c r="BT17" s="50"/>
      <c r="BU17" s="57"/>
      <c r="BV17" s="57"/>
      <c r="BW17" s="52"/>
      <c r="BX17" s="299"/>
      <c r="BY17" t="s">
        <v>322</v>
      </c>
      <c r="BZ17" s="297">
        <f>HKD_DATA!AW17</f>
        <v>135</v>
      </c>
      <c r="CA17" s="297">
        <f>HKD_DATA!AX17</f>
        <v>165</v>
      </c>
      <c r="CC17" s="50"/>
      <c r="CD17" s="222" t="s">
        <v>674</v>
      </c>
      <c r="CE17" s="216" t="s">
        <v>675</v>
      </c>
      <c r="CF17" s="53"/>
      <c r="CG17" s="317"/>
      <c r="CH17" s="299"/>
      <c r="CI17" s="50"/>
      <c r="CJ17" s="222" t="s">
        <v>674</v>
      </c>
      <c r="CK17" s="216" t="s">
        <v>675</v>
      </c>
      <c r="CL17" s="52"/>
      <c r="CM17" s="316"/>
      <c r="CN17" s="316"/>
      <c r="CO17" s="545"/>
      <c r="CP17" s="590"/>
      <c r="CQ17" s="590"/>
      <c r="CR17" s="590"/>
      <c r="CS17" s="407"/>
      <c r="CT17" s="405"/>
    </row>
    <row r="18" spans="6:98" x14ac:dyDescent="0.25">
      <c r="F18" s="50"/>
      <c r="G18" s="214" t="s">
        <v>676</v>
      </c>
      <c r="H18" s="216" t="s">
        <v>675</v>
      </c>
      <c r="I18" s="53"/>
      <c r="K18" t="s">
        <v>342</v>
      </c>
      <c r="L18" s="368">
        <f t="shared" si="2"/>
        <v>4.6999999999999993E-3</v>
      </c>
      <c r="M18" s="5" t="b">
        <v>1</v>
      </c>
      <c r="N18" s="5">
        <f t="shared" si="3"/>
        <v>0</v>
      </c>
      <c r="O18" s="358">
        <f>HKD_DATA!M19</f>
        <v>4.6999999999999993E-3</v>
      </c>
      <c r="Q18" s="50"/>
      <c r="R18" s="222" t="s">
        <v>676</v>
      </c>
      <c r="S18" s="223" t="s">
        <v>715</v>
      </c>
      <c r="T18" s="53"/>
      <c r="V18" t="s">
        <v>316</v>
      </c>
      <c r="W18" s="367">
        <f t="shared" si="0"/>
        <v>5.9499999999999996E-3</v>
      </c>
      <c r="X18" s="5" t="b">
        <v>1</v>
      </c>
      <c r="Y18" s="5">
        <f t="shared" si="4"/>
        <v>0</v>
      </c>
      <c r="Z18" s="368">
        <f>HKD_DATA!U19</f>
        <v>5.9499999999999996E-3</v>
      </c>
      <c r="AA18" s="203"/>
      <c r="AB18" s="50"/>
      <c r="AC18" s="222" t="s">
        <v>676</v>
      </c>
      <c r="AD18" s="216" t="s">
        <v>675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I18" s="50"/>
      <c r="BJ18" s="222" t="s">
        <v>676</v>
      </c>
      <c r="BK18" s="216" t="s">
        <v>675</v>
      </c>
      <c r="BL18" s="53"/>
      <c r="BN18" t="s">
        <v>308</v>
      </c>
      <c r="BO18" s="368">
        <f t="shared" ref="BO18:BO25" si="14">BR18+BQ18/10000</f>
        <v>-1.1999999999999999E-3</v>
      </c>
      <c r="BP18" s="5" t="b">
        <v>1</v>
      </c>
      <c r="BQ18" s="5">
        <f t="shared" si="13"/>
        <v>0</v>
      </c>
      <c r="BR18" s="368">
        <f>HKD_DATA!AR11</f>
        <v>-1.1999999999999999E-3</v>
      </c>
      <c r="BT18" s="50"/>
      <c r="BU18" s="57"/>
      <c r="BV18" s="57"/>
      <c r="BW18" s="52"/>
      <c r="BX18" s="299"/>
      <c r="BY18" t="s">
        <v>308</v>
      </c>
      <c r="BZ18" s="297">
        <f>HKD_DATA!AW18</f>
        <v>300</v>
      </c>
      <c r="CA18" s="297">
        <f>HKD_DATA!AX18</f>
        <v>400</v>
      </c>
      <c r="CC18" s="50"/>
      <c r="CD18" s="222" t="s">
        <v>676</v>
      </c>
      <c r="CE18" s="216" t="s">
        <v>675</v>
      </c>
      <c r="CF18" s="53"/>
      <c r="CG18" s="317"/>
      <c r="CH18" s="299"/>
      <c r="CI18" s="50"/>
      <c r="CJ18" s="222" t="s">
        <v>676</v>
      </c>
      <c r="CK18" s="216" t="s">
        <v>675</v>
      </c>
      <c r="CL18" s="52"/>
      <c r="CM18" s="316"/>
      <c r="CN18" s="316"/>
      <c r="CO18" s="545"/>
      <c r="CP18" s="590"/>
      <c r="CQ18" s="590"/>
      <c r="CR18" s="590"/>
      <c r="CS18" s="407"/>
      <c r="CT18" s="405"/>
    </row>
    <row r="19" spans="6:98" x14ac:dyDescent="0.25">
      <c r="F19" s="50"/>
      <c r="G19" s="214"/>
      <c r="H19" s="216"/>
      <c r="I19" s="53"/>
      <c r="K19" t="s">
        <v>349</v>
      </c>
      <c r="L19" s="368">
        <f t="shared" si="2"/>
        <v>6.1999999999999998E-3</v>
      </c>
      <c r="M19" s="5" t="b">
        <v>1</v>
      </c>
      <c r="N19" s="5">
        <f t="shared" si="3"/>
        <v>0</v>
      </c>
      <c r="O19" s="358">
        <f>HKD_DATA!M20</f>
        <v>6.1999999999999998E-3</v>
      </c>
      <c r="Q19" s="50"/>
      <c r="R19" s="222" t="s">
        <v>716</v>
      </c>
      <c r="S19" s="223" t="s">
        <v>715</v>
      </c>
      <c r="T19" s="53"/>
      <c r="V19" t="s">
        <v>324</v>
      </c>
      <c r="W19" s="367">
        <f t="shared" si="0"/>
        <v>6.2500000000000003E-3</v>
      </c>
      <c r="X19" s="5" t="b">
        <v>1</v>
      </c>
      <c r="Y19" s="5">
        <f t="shared" si="4"/>
        <v>0</v>
      </c>
      <c r="Z19" s="368">
        <f>HKD_DATA!U20</f>
        <v>6.2500000000000003E-3</v>
      </c>
      <c r="AA19" s="203"/>
      <c r="AB19" s="50"/>
      <c r="AC19" s="222" t="s">
        <v>746</v>
      </c>
      <c r="AD19" s="216" t="s">
        <v>675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I19" s="50"/>
      <c r="BJ19" s="222" t="s">
        <v>746</v>
      </c>
      <c r="BK19" s="216" t="s">
        <v>675</v>
      </c>
      <c r="BL19" s="53"/>
      <c r="BN19" s="339" t="s">
        <v>316</v>
      </c>
      <c r="BO19" s="368">
        <f t="shared" si="14"/>
        <v>-1.2999999999999999E-3</v>
      </c>
      <c r="BP19" s="364" t="b">
        <v>1</v>
      </c>
      <c r="BQ19" s="5">
        <f t="shared" si="13"/>
        <v>0</v>
      </c>
      <c r="BR19" s="368">
        <f>HKD_DATA!AR12</f>
        <v>-1.2999999999999999E-3</v>
      </c>
      <c r="BT19" s="50"/>
      <c r="BU19" s="56" t="s">
        <v>814</v>
      </c>
      <c r="BV19" s="57"/>
      <c r="BW19" s="262"/>
      <c r="BX19" s="303"/>
      <c r="BY19" s="339"/>
      <c r="BZ19" s="297"/>
      <c r="CA19" s="297"/>
      <c r="CC19" s="50"/>
      <c r="CD19" s="222" t="s">
        <v>746</v>
      </c>
      <c r="CE19" s="216" t="s">
        <v>675</v>
      </c>
      <c r="CF19" s="53"/>
      <c r="CG19" s="317"/>
      <c r="CH19" s="299"/>
      <c r="CI19" s="50"/>
      <c r="CJ19" s="222" t="s">
        <v>746</v>
      </c>
      <c r="CK19" s="216" t="s">
        <v>675</v>
      </c>
      <c r="CL19" s="52"/>
      <c r="CM19" s="316"/>
      <c r="CN19" s="316"/>
      <c r="CO19" s="545"/>
      <c r="CP19" s="590"/>
      <c r="CQ19" s="590"/>
      <c r="CR19" s="590"/>
      <c r="CS19" s="407"/>
      <c r="CT19" s="405"/>
    </row>
    <row r="20" spans="6:98" x14ac:dyDescent="0.25">
      <c r="F20" s="50"/>
      <c r="G20" s="218"/>
      <c r="H20" s="219"/>
      <c r="I20" s="53"/>
      <c r="K20" t="s">
        <v>374</v>
      </c>
      <c r="L20" s="368">
        <f t="shared" si="2"/>
        <v>6.1999999999999998E-3</v>
      </c>
      <c r="M20" s="5" t="b">
        <v>1</v>
      </c>
      <c r="N20" s="5">
        <f t="shared" si="3"/>
        <v>0</v>
      </c>
      <c r="O20" s="358">
        <f>O19</f>
        <v>6.1999999999999998E-3</v>
      </c>
      <c r="Q20" s="50"/>
      <c r="R20" s="233" t="s">
        <v>717</v>
      </c>
      <c r="S20" s="230" t="b">
        <v>1</v>
      </c>
      <c r="T20" s="53"/>
      <c r="V20" t="s">
        <v>331</v>
      </c>
      <c r="W20" s="367">
        <f t="shared" si="0"/>
        <v>6.6500000000000005E-3</v>
      </c>
      <c r="X20" s="5" t="b">
        <v>1</v>
      </c>
      <c r="Y20" s="5">
        <f t="shared" si="4"/>
        <v>0</v>
      </c>
      <c r="Z20" s="368">
        <f>HKD_DATA!U21</f>
        <v>6.6500000000000005E-3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I20" s="50"/>
      <c r="BJ20" s="222" t="s">
        <v>747</v>
      </c>
      <c r="BK20" s="216" t="b">
        <v>0</v>
      </c>
      <c r="BL20" s="53"/>
      <c r="BN20" t="s">
        <v>324</v>
      </c>
      <c r="BO20" s="368">
        <f t="shared" si="14"/>
        <v>-1.2999999999999999E-3</v>
      </c>
      <c r="BP20" s="5" t="b">
        <v>1</v>
      </c>
      <c r="BQ20" s="5">
        <f t="shared" si="13"/>
        <v>0</v>
      </c>
      <c r="BR20" s="368">
        <f>HKD_DATA!AR13</f>
        <v>-1.2999999999999999E-3</v>
      </c>
      <c r="BT20" s="50"/>
      <c r="BU20" s="147" t="s">
        <v>704</v>
      </c>
      <c r="BV20" s="221" t="str">
        <f>INDEX('STATIC DATA'!C30:AF30,1,MATCH($A$1,'STATIC DATA'!$C$4:$AF$4,0))</f>
        <v>HKB:NYB:LNB</v>
      </c>
      <c r="BW20" s="52"/>
      <c r="BX20" s="299"/>
      <c r="BZ20" s="297"/>
      <c r="CA20" s="297"/>
      <c r="CC20" s="50"/>
      <c r="CD20" s="222" t="s">
        <v>748</v>
      </c>
      <c r="CE20" s="216" t="s">
        <v>426</v>
      </c>
      <c r="CF20" s="53"/>
      <c r="CG20" s="317"/>
      <c r="CH20" s="299"/>
      <c r="CI20" s="50"/>
      <c r="CJ20" s="222" t="s">
        <v>748</v>
      </c>
      <c r="CK20" s="216" t="s">
        <v>426</v>
      </c>
      <c r="CL20" s="52"/>
      <c r="CM20" s="316"/>
      <c r="CN20" s="316"/>
      <c r="CO20" s="545"/>
      <c r="CP20" s="590"/>
      <c r="CQ20" s="590"/>
      <c r="CR20" s="590"/>
      <c r="CS20" s="407"/>
      <c r="CT20" s="405"/>
    </row>
    <row r="21" spans="6:98" x14ac:dyDescent="0.25">
      <c r="F21" s="50"/>
      <c r="G21" s="52"/>
      <c r="H21" s="52"/>
      <c r="I21" s="53"/>
      <c r="K21" t="s">
        <v>389</v>
      </c>
      <c r="L21" s="368">
        <f t="shared" si="2"/>
        <v>6.1999999999999998E-3</v>
      </c>
      <c r="M21" s="5" t="b">
        <v>1</v>
      </c>
      <c r="N21" s="5">
        <f t="shared" si="3"/>
        <v>0</v>
      </c>
      <c r="O21" s="358">
        <f>O20</f>
        <v>6.1999999999999998E-3</v>
      </c>
      <c r="Q21" s="50"/>
      <c r="R21" s="233" t="s">
        <v>719</v>
      </c>
      <c r="S21" s="230" t="s">
        <v>720</v>
      </c>
      <c r="T21" s="53"/>
      <c r="V21" t="s">
        <v>342</v>
      </c>
      <c r="W21" s="367">
        <f t="shared" si="0"/>
        <v>7.7000000000000002E-3</v>
      </c>
      <c r="X21" s="5" t="b">
        <v>1</v>
      </c>
      <c r="Y21" s="5">
        <f t="shared" si="4"/>
        <v>0</v>
      </c>
      <c r="Z21" s="368">
        <f>HKD_DATA!U22</f>
        <v>7.7000000000000002E-3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I21" s="50"/>
      <c r="BJ21" s="234" t="s">
        <v>717</v>
      </c>
      <c r="BK21" s="232" t="b">
        <v>0</v>
      </c>
      <c r="BL21" s="53"/>
      <c r="BN21" t="s">
        <v>331</v>
      </c>
      <c r="BO21" s="368">
        <f t="shared" si="14"/>
        <v>-1.5E-3</v>
      </c>
      <c r="BP21" s="5" t="b">
        <v>1</v>
      </c>
      <c r="BQ21" s="5">
        <f t="shared" si="13"/>
        <v>0</v>
      </c>
      <c r="BR21" s="368">
        <f>HKD_DATA!AR14</f>
        <v>-1.5E-3</v>
      </c>
      <c r="BT21" s="50"/>
      <c r="BU21" s="149" t="s">
        <v>732</v>
      </c>
      <c r="BV21" s="223" t="str">
        <f>INDEX('STATIC DATA'!N29:AL29,1,MATCH($A$1,'STATIC DATA'!N4:AL4,0))</f>
        <v>2D</v>
      </c>
      <c r="BW21" s="52"/>
      <c r="BX21" s="299"/>
      <c r="BZ21" s="297"/>
      <c r="CA21" s="297"/>
      <c r="CG21" s="317"/>
      <c r="CH21" s="299"/>
      <c r="CM21" s="316"/>
      <c r="CN21" s="316"/>
      <c r="CO21" s="545"/>
      <c r="CP21" s="590"/>
      <c r="CQ21" s="590"/>
      <c r="CR21" s="590"/>
      <c r="CS21" s="407"/>
      <c r="CT21" s="405"/>
    </row>
    <row r="22" spans="6:98" x14ac:dyDescent="0.25">
      <c r="F22" s="50"/>
      <c r="G22" s="54" t="s">
        <v>426</v>
      </c>
      <c r="H22" s="52"/>
      <c r="I22" s="53"/>
      <c r="L22" s="5"/>
      <c r="M22" s="5"/>
      <c r="N22" s="5"/>
      <c r="O22" s="5"/>
      <c r="Q22" s="50"/>
      <c r="R22" s="222" t="s">
        <v>706</v>
      </c>
      <c r="S22" s="223" t="s">
        <v>721</v>
      </c>
      <c r="T22" s="53"/>
      <c r="V22" t="s">
        <v>349</v>
      </c>
      <c r="W22" s="367">
        <f t="shared" si="0"/>
        <v>9.1000000000000004E-3</v>
      </c>
      <c r="X22" s="5" t="b">
        <v>1</v>
      </c>
      <c r="Y22" s="5">
        <f t="shared" si="4"/>
        <v>0</v>
      </c>
      <c r="Z22" s="368">
        <f>HKD_DATA!U23</f>
        <v>9.1000000000000004E-3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I22" s="50"/>
      <c r="BJ22" s="222" t="s">
        <v>805</v>
      </c>
      <c r="BK22" s="216" t="b">
        <v>0</v>
      </c>
      <c r="BL22" s="53"/>
      <c r="BN22" t="s">
        <v>342</v>
      </c>
      <c r="BO22" s="368">
        <f t="shared" si="14"/>
        <v>-1.4E-3</v>
      </c>
      <c r="BP22" s="5" t="b">
        <v>1</v>
      </c>
      <c r="BQ22" s="5">
        <f t="shared" si="13"/>
        <v>0</v>
      </c>
      <c r="BR22" s="368">
        <f>HKD_DATA!AR15</f>
        <v>-1.4E-3</v>
      </c>
      <c r="BT22" s="50"/>
      <c r="BU22" s="149" t="s">
        <v>707</v>
      </c>
      <c r="BV22" s="223" t="s">
        <v>687</v>
      </c>
      <c r="BW22" s="52"/>
      <c r="BX22" s="299"/>
      <c r="BZ22" s="297"/>
      <c r="CA22" s="297"/>
      <c r="CG22" s="317"/>
      <c r="CH22" s="299"/>
      <c r="CM22" s="316"/>
      <c r="CN22" s="316"/>
      <c r="CO22" s="545"/>
      <c r="CP22" s="590"/>
      <c r="CQ22" s="590"/>
      <c r="CR22" s="590"/>
      <c r="CS22" s="407"/>
      <c r="CT22" s="405"/>
    </row>
    <row r="23" spans="6:98" x14ac:dyDescent="0.25">
      <c r="F23" s="50"/>
      <c r="G23" s="220" t="s">
        <v>677</v>
      </c>
      <c r="H23" s="221" t="str">
        <f>INDEX('STATIC DATA'!C43:AF43,1,MATCH($A$1,'STATIC DATA'!$C$4:$AF$4,0))</f>
        <v>HKB</v>
      </c>
      <c r="I23" s="53"/>
      <c r="L23" s="5"/>
      <c r="M23" s="5"/>
      <c r="N23" s="5"/>
      <c r="O23" s="5"/>
      <c r="Q23" s="50"/>
      <c r="R23" s="222" t="s">
        <v>722</v>
      </c>
      <c r="S23" s="223" t="b">
        <v>0</v>
      </c>
      <c r="T23" s="53"/>
      <c r="V23" t="s">
        <v>367</v>
      </c>
      <c r="W23" s="367">
        <f t="shared" ref="W23" si="15">Z23+Y23/10000</f>
        <v>9.9500000000000005E-3</v>
      </c>
      <c r="X23" s="5" t="b">
        <v>1</v>
      </c>
      <c r="Y23" s="5">
        <f t="shared" si="4"/>
        <v>0</v>
      </c>
      <c r="Z23" s="368">
        <f>HKD_DATA!U24</f>
        <v>9.9500000000000005E-3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I23" s="50"/>
      <c r="BJ23" s="234" t="s">
        <v>806</v>
      </c>
      <c r="BK23" s="232" t="b">
        <v>1</v>
      </c>
      <c r="BL23" s="53"/>
      <c r="BN23" s="2" t="s">
        <v>349</v>
      </c>
      <c r="BO23" s="368">
        <f t="shared" si="14"/>
        <v>-1.1999999999999999E-3</v>
      </c>
      <c r="BP23" s="5" t="b">
        <v>1</v>
      </c>
      <c r="BQ23" s="5">
        <f t="shared" si="13"/>
        <v>0</v>
      </c>
      <c r="BR23" s="368">
        <f>HKD_DATA!AR16</f>
        <v>-1.1999999999999999E-3</v>
      </c>
      <c r="BT23" s="50"/>
      <c r="BU23" s="149" t="s">
        <v>689</v>
      </c>
      <c r="BV23" s="223" t="b">
        <v>1</v>
      </c>
      <c r="BW23" s="52"/>
      <c r="BX23" s="299"/>
      <c r="BZ23" s="297"/>
      <c r="CA23" s="297"/>
      <c r="CG23" s="317"/>
      <c r="CH23" s="299"/>
      <c r="CM23" s="316"/>
      <c r="CN23" s="316"/>
      <c r="CO23" s="545"/>
      <c r="CP23" s="590"/>
      <c r="CQ23" s="590"/>
      <c r="CR23" s="590"/>
      <c r="CS23" s="407"/>
      <c r="CT23" s="405"/>
    </row>
    <row r="24" spans="6:98" x14ac:dyDescent="0.25">
      <c r="F24" s="50"/>
      <c r="G24" s="222" t="s">
        <v>678</v>
      </c>
      <c r="H24" s="223" t="str">
        <f>INDEX('STATIC DATA'!C59:AF59,1,MATCH($A$1,'STATIC DATA'!C4:AF4,0))</f>
        <v>ACT/365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W24" s="367"/>
      <c r="X24" s="5"/>
      <c r="Z24" s="368"/>
      <c r="AA24" s="203"/>
      <c r="AB24" s="50"/>
      <c r="AC24" s="85" t="s">
        <v>713</v>
      </c>
      <c r="AD24" s="85" t="s">
        <v>713</v>
      </c>
      <c r="AE24" s="53"/>
      <c r="AH24" s="358"/>
      <c r="AI24" s="5"/>
      <c r="AJ24" s="5"/>
      <c r="AK24" s="357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358</v>
      </c>
      <c r="BO24" s="368">
        <f t="shared" si="14"/>
        <v>-1.1999999999999999E-3</v>
      </c>
      <c r="BP24" s="5" t="b">
        <v>1</v>
      </c>
      <c r="BQ24" s="5">
        <f t="shared" si="13"/>
        <v>0</v>
      </c>
      <c r="BR24" s="368">
        <f>HKD_DATA!AR17</f>
        <v>-1.1999999999999999E-3</v>
      </c>
      <c r="BT24" s="50"/>
      <c r="BU24" s="149" t="s">
        <v>688</v>
      </c>
      <c r="BV24" s="223">
        <v>31</v>
      </c>
      <c r="BW24" s="52"/>
      <c r="BX24" s="299"/>
      <c r="BZ24" s="297"/>
      <c r="CA24" s="297"/>
      <c r="CG24" s="317"/>
      <c r="CH24" s="299"/>
      <c r="CM24" s="316"/>
      <c r="CN24" s="316"/>
      <c r="CO24" s="545"/>
      <c r="CP24" s="590"/>
      <c r="CQ24" s="590"/>
      <c r="CR24" s="590"/>
      <c r="CS24" s="407"/>
      <c r="CT24" s="405"/>
    </row>
    <row r="25" spans="6:98" x14ac:dyDescent="0.25">
      <c r="F25" s="50"/>
      <c r="G25" s="222" t="s">
        <v>679</v>
      </c>
      <c r="H25" s="223" t="str">
        <f>IF(INDEX('STATIC DATA'!C58:AF58,1,MATCH(A1,'STATIC DATA'!C4:AF4,0))="1Y","ANNUAL",(IF(INDEX('STATIC DATA'!C58:AF58,1,MATCH($A$1,'STATIC DATA'!C4:AF4,0))="6M","SEMI-ANNUAL", "QUARTERLY")))</f>
        <v>QUARTERLY</v>
      </c>
      <c r="I25" s="53"/>
      <c r="L25" s="5"/>
      <c r="M25" s="5"/>
      <c r="N25" s="5"/>
      <c r="O25" s="5"/>
      <c r="Q25" s="50"/>
      <c r="R25" s="234" t="s">
        <v>724</v>
      </c>
      <c r="S25" s="232" t="s">
        <v>426</v>
      </c>
      <c r="T25" s="53"/>
      <c r="W25" s="367"/>
      <c r="X25" s="5"/>
      <c r="Z25" s="368"/>
      <c r="AA25" s="203"/>
      <c r="AB25" s="50"/>
      <c r="AC25" s="54" t="s">
        <v>726</v>
      </c>
      <c r="AD25" s="52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54" t="s">
        <v>726</v>
      </c>
      <c r="AZ25" s="52" t="s">
        <v>713</v>
      </c>
      <c r="BA25" s="53"/>
      <c r="BI25" s="50"/>
      <c r="BJ25" s="255" t="s">
        <v>814</v>
      </c>
      <c r="BK25" s="256"/>
      <c r="BL25" s="53"/>
      <c r="BN25" t="s">
        <v>367</v>
      </c>
      <c r="BO25" s="368">
        <f t="shared" si="14"/>
        <v>-1.1999999999999999E-3</v>
      </c>
      <c r="BP25" s="5" t="b">
        <v>1</v>
      </c>
      <c r="BQ25" s="5">
        <f t="shared" si="13"/>
        <v>0</v>
      </c>
      <c r="BR25" s="368">
        <f>HKD_DATA!AR18</f>
        <v>-1.1999999999999999E-3</v>
      </c>
      <c r="BT25" s="50"/>
      <c r="BU25" s="151" t="s">
        <v>819</v>
      </c>
      <c r="BV25" s="226" t="b">
        <v>0</v>
      </c>
      <c r="BW25" s="52"/>
      <c r="BX25" s="299"/>
      <c r="CG25" s="317"/>
      <c r="CH25" s="299"/>
      <c r="CM25" s="316"/>
      <c r="CN25" s="316"/>
      <c r="CO25" s="545"/>
      <c r="CP25" s="590"/>
      <c r="CQ25" s="590"/>
      <c r="CR25" s="590"/>
      <c r="CS25" s="407"/>
      <c r="CT25" s="405"/>
    </row>
    <row r="26" spans="6:98" x14ac:dyDescent="0.25">
      <c r="F26" s="50"/>
      <c r="G26" s="222" t="s">
        <v>681</v>
      </c>
      <c r="H26" s="223" t="s">
        <v>682</v>
      </c>
      <c r="I26" s="53"/>
      <c r="L26" s="5"/>
      <c r="M26" s="5"/>
      <c r="N26" s="5"/>
      <c r="O26" s="5"/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220" t="s">
        <v>677</v>
      </c>
      <c r="AD26" s="221" t="str">
        <f>INDEX('STATIC DATA'!C43:AF43,1,MATCH($A$1,'STATIC DATA'!$C$4:$AF$4,0))</f>
        <v>HKB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220" t="s">
        <v>677</v>
      </c>
      <c r="AZ26" s="221" t="str">
        <f>INDEX('STATIC DATA'!C43:AF43,1,MATCH($A$1,'STATIC DATA'!$C$4:$AF$4,0))</f>
        <v>HKB</v>
      </c>
      <c r="BA26" s="53"/>
      <c r="BI26" s="50"/>
      <c r="BJ26" s="225" t="s">
        <v>677</v>
      </c>
      <c r="BK26" s="240" t="str">
        <f>INDEX('STATIC DATA'!C30:AF30,1,MATCH($A$1,'STATIC DATA'!$C$4:$AF$4,0))</f>
        <v>HKB:NYB:LNB</v>
      </c>
      <c r="BL26" s="53"/>
      <c r="BO26" s="358"/>
      <c r="BP26" s="5"/>
      <c r="BQ26" s="5"/>
      <c r="BR26" s="357"/>
      <c r="BT26" s="50"/>
      <c r="BU26" s="52"/>
      <c r="BV26" s="52"/>
      <c r="BW26" s="52"/>
      <c r="BX26" s="299"/>
      <c r="CD26" s="442" t="s">
        <v>1084</v>
      </c>
      <c r="CE26" t="s">
        <v>713</v>
      </c>
      <c r="CG26" s="317"/>
      <c r="CH26" s="299"/>
      <c r="CJ26" s="442" t="s">
        <v>1084</v>
      </c>
      <c r="CK26" t="s">
        <v>713</v>
      </c>
      <c r="CM26" s="316"/>
      <c r="CN26" s="316"/>
      <c r="CO26" s="545"/>
      <c r="CP26" s="590"/>
      <c r="CQ26" s="590"/>
      <c r="CR26" s="590"/>
      <c r="CS26" s="407"/>
      <c r="CT26" s="405"/>
    </row>
    <row r="27" spans="6:98" x14ac:dyDescent="0.25">
      <c r="F27" s="50"/>
      <c r="G27" s="222" t="s">
        <v>683</v>
      </c>
      <c r="H27" s="223" t="str">
        <f>INDEX('STATIC DATA'!C15:AF15,1,MATCH($A$1,'STATIC DATA'!C4:AF4,0))</f>
        <v>0D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22" t="s">
        <v>678</v>
      </c>
      <c r="AD27" s="223" t="str">
        <f>INDEX('STATIC DATA'!C55:AF55,1,MATCH($A$1,'STATIC DATA'!C4:AF4,0))</f>
        <v>ACT/365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22" t="s">
        <v>678</v>
      </c>
      <c r="AZ27" s="223" t="str">
        <f>INDEX('STATIC DATA'!Y55:BB55,1,MATCH($A$1,'STATIC DATA'!Y4:AY4,0))</f>
        <v>ACT/365</v>
      </c>
      <c r="BA27" s="53"/>
      <c r="BI27" s="50"/>
      <c r="BJ27" s="225" t="s">
        <v>683</v>
      </c>
      <c r="BK27" s="257" t="str">
        <f>INDEX('STATIC DATA'!N29:AL29,1,MATCH($A$1,'STATIC DATA'!N4:AL4,0))</f>
        <v>2D</v>
      </c>
      <c r="BL27" s="53"/>
      <c r="BO27" s="358"/>
      <c r="BP27" s="5"/>
      <c r="BQ27" s="5"/>
      <c r="BR27" s="357"/>
      <c r="BT27" s="50"/>
      <c r="BU27" s="52"/>
      <c r="BV27" s="52"/>
      <c r="BW27" s="52"/>
      <c r="BX27" s="299"/>
      <c r="CD27" s="57" t="s">
        <v>1085</v>
      </c>
      <c r="CE27" s="57" t="s">
        <v>1093</v>
      </c>
      <c r="CG27" s="317"/>
      <c r="CH27" s="299"/>
      <c r="CJ27" s="57" t="s">
        <v>1085</v>
      </c>
      <c r="CK27" s="57" t="s">
        <v>1128</v>
      </c>
      <c r="CM27" s="316"/>
      <c r="CN27" s="316"/>
      <c r="CO27" s="545"/>
      <c r="CP27" s="590"/>
      <c r="CQ27" s="590"/>
      <c r="CR27" s="590"/>
      <c r="CS27" s="407"/>
      <c r="CT27" s="405"/>
    </row>
    <row r="28" spans="6:98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DATA'!C43:AF43,1,MATCH($A$1,'STATIC DATA'!$C$4:$AF$4,0))</f>
        <v>HKB</v>
      </c>
      <c r="T28" s="53"/>
      <c r="W28" s="367"/>
      <c r="X28" s="5"/>
      <c r="Z28" s="368"/>
      <c r="AA28" s="203"/>
      <c r="AB28" s="50"/>
      <c r="AC28" s="225" t="s">
        <v>686</v>
      </c>
      <c r="AD28" s="226" t="s">
        <v>728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25" t="s">
        <v>686</v>
      </c>
      <c r="AZ28" s="226" t="s">
        <v>728</v>
      </c>
      <c r="BA28" s="53"/>
      <c r="BI28" s="50"/>
      <c r="BJ28" s="225" t="s">
        <v>686</v>
      </c>
      <c r="BK28" s="240" t="s">
        <v>816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CD28" s="57" t="s">
        <v>1086</v>
      </c>
      <c r="CE28" s="57" t="s">
        <v>1089</v>
      </c>
      <c r="CG28" s="329"/>
      <c r="CH28" s="299"/>
      <c r="CJ28" s="57" t="s">
        <v>1086</v>
      </c>
      <c r="CK28" s="57" t="s">
        <v>1129</v>
      </c>
      <c r="CM28" s="316"/>
      <c r="CN28" s="316"/>
      <c r="CO28" s="545"/>
      <c r="CP28" s="590"/>
      <c r="CQ28" s="590"/>
      <c r="CR28" s="590"/>
      <c r="CS28" s="407"/>
      <c r="CT28" s="405"/>
    </row>
    <row r="29" spans="6:98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DATA'!C55:AF55,1,MATCH($A$1,'STATIC DATA'!C4:AF4,0))</f>
        <v>ACT/365</v>
      </c>
      <c r="T29" s="53"/>
      <c r="W29" s="367"/>
      <c r="X29" s="5"/>
      <c r="Z29" s="368"/>
      <c r="AA29" s="203"/>
      <c r="AB29" s="50"/>
      <c r="AC29" s="52" t="s">
        <v>713</v>
      </c>
      <c r="AD29" s="52" t="s">
        <v>713</v>
      </c>
      <c r="AE29" s="53"/>
      <c r="AH29" s="5"/>
      <c r="AI29" s="5"/>
      <c r="AJ29" s="5"/>
      <c r="AK29" s="5"/>
      <c r="AM29" s="50"/>
      <c r="AN29" s="222" t="s">
        <v>751</v>
      </c>
      <c r="AO29" s="216" t="e">
        <f>INDEX('STATIC DATA'!C39:AB39,1,MATCH($A$1,'STATIC DATA'!$C$4:$AB$4,0))</f>
        <v>#N/A</v>
      </c>
      <c r="AP29" s="53"/>
      <c r="AX29" s="50"/>
      <c r="AY29" s="52" t="s">
        <v>713</v>
      </c>
      <c r="AZ29" s="52" t="s">
        <v>713</v>
      </c>
      <c r="BA29" s="53"/>
      <c r="BI29" s="50"/>
      <c r="BJ29" s="225" t="s">
        <v>689</v>
      </c>
      <c r="BK29" s="240" t="b">
        <v>1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CD29" s="57" t="s">
        <v>1087</v>
      </c>
      <c r="CE29" s="57" t="s">
        <v>1278</v>
      </c>
      <c r="CG29" s="299"/>
      <c r="CH29" s="299"/>
      <c r="CJ29" s="57" t="s">
        <v>1087</v>
      </c>
      <c r="CK29" s="57" t="s">
        <v>1278</v>
      </c>
      <c r="CM29" s="316"/>
      <c r="CN29" s="316"/>
      <c r="CO29" s="545"/>
      <c r="CP29" s="590"/>
      <c r="CQ29" s="590"/>
      <c r="CR29" s="590"/>
      <c r="CS29" s="407"/>
      <c r="CT29" s="405"/>
    </row>
    <row r="30" spans="6:98" x14ac:dyDescent="0.25">
      <c r="F30" s="50"/>
      <c r="G30" s="222" t="s">
        <v>688</v>
      </c>
      <c r="H30" s="216">
        <v>31</v>
      </c>
      <c r="I30" s="53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54" t="s">
        <v>460</v>
      </c>
      <c r="AD30" s="52" t="s">
        <v>713</v>
      </c>
      <c r="AE30" s="53"/>
      <c r="AH30" s="5"/>
      <c r="AI30" s="5"/>
      <c r="AJ30" s="5"/>
      <c r="AK30" s="5"/>
      <c r="AM30" s="50"/>
      <c r="AN30" s="222" t="s">
        <v>752</v>
      </c>
      <c r="AO30" s="216" t="e">
        <f>INDEX('STATIC DATA'!C55:AB55,1,MATCH($A$1,'STATIC DATA'!C4:AB4,0))</f>
        <v>#N/A</v>
      </c>
      <c r="AP30" s="53"/>
      <c r="AX30" s="50"/>
      <c r="AY30" s="54" t="s">
        <v>460</v>
      </c>
      <c r="AZ30" s="52" t="s">
        <v>713</v>
      </c>
      <c r="BA30" s="53"/>
      <c r="BI30" s="50"/>
      <c r="BJ30" s="225" t="s">
        <v>688</v>
      </c>
      <c r="BK30" s="257">
        <v>31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CB30" s="302"/>
      <c r="CD30" s="57" t="s">
        <v>1088</v>
      </c>
      <c r="CE30" s="443" t="s">
        <v>1278</v>
      </c>
      <c r="CG30" s="299"/>
      <c r="CH30" s="299"/>
      <c r="CJ30" s="57" t="s">
        <v>1088</v>
      </c>
      <c r="CK30" s="443" t="s">
        <v>1278</v>
      </c>
      <c r="CM30" s="316"/>
      <c r="CN30" s="316"/>
      <c r="CO30" s="545"/>
      <c r="CP30" s="590"/>
      <c r="CQ30" s="590"/>
      <c r="CR30" s="590"/>
      <c r="CS30" s="407"/>
      <c r="CT30" s="405"/>
    </row>
    <row r="31" spans="6:98" x14ac:dyDescent="0.25">
      <c r="F31" s="50"/>
      <c r="G31" s="222" t="s">
        <v>689</v>
      </c>
      <c r="H31" s="224" t="b">
        <v>1</v>
      </c>
      <c r="I31" s="53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0" t="s">
        <v>677</v>
      </c>
      <c r="AD31" s="221" t="str">
        <f>INDEX('STATIC DATA'!C43:AF43,1,MATCH($A$1,'STATIC DATA'!$C$4:$AF$4,0))</f>
        <v>HKB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0" t="s">
        <v>677</v>
      </c>
      <c r="AZ31" s="221" t="str">
        <f>INDEX('STATIC DATA'!C43:AF43,1,MATCH($A$1,'STATIC DATA'!$C$4:$AF$4,0))</f>
        <v>HKB</v>
      </c>
      <c r="BA31" s="53"/>
      <c r="BI31" s="50"/>
      <c r="BJ31" s="234" t="s">
        <v>817</v>
      </c>
      <c r="BK31" s="258">
        <f>IF(INDEX('STATIC DATA'!C49:AF49,1,MATCH($A$1,'STATIC DATA'!C4:AF4,0))=4,10000,IF(INDEX('STATIC DATA'!C49:AF49,1,MATCH($A$1,'STATIC DATA'!C4:AF4,0))=3,1000,100))</f>
        <v>10000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2"/>
      <c r="BZ31" s="302"/>
      <c r="CA31" s="302"/>
      <c r="CB31" s="299"/>
      <c r="CD31" s="57" t="s">
        <v>781</v>
      </c>
      <c r="CE31" s="290" t="s">
        <v>810</v>
      </c>
      <c r="CG31" s="299"/>
      <c r="CH31" s="299"/>
      <c r="CJ31" s="57" t="s">
        <v>781</v>
      </c>
      <c r="CK31" s="290" t="s">
        <v>810</v>
      </c>
      <c r="CM31" s="316"/>
      <c r="CN31" s="316"/>
      <c r="CO31" s="545"/>
      <c r="CP31" s="590"/>
      <c r="CQ31" s="590"/>
      <c r="CR31" s="590"/>
      <c r="CS31" s="407"/>
      <c r="CT31" s="405"/>
    </row>
    <row r="32" spans="6:98" x14ac:dyDescent="0.25">
      <c r="F32" s="50"/>
      <c r="G32" s="222" t="s">
        <v>690</v>
      </c>
      <c r="H32" s="223" t="s">
        <v>691</v>
      </c>
      <c r="I32" s="53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678</v>
      </c>
      <c r="AD32" s="223" t="str">
        <f>INDEX('STATIC DATA'!C55:AF55,1,MATCH($A$1,'STATIC DATA'!C4:AF4,0))</f>
        <v>ACT/365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678</v>
      </c>
      <c r="AZ32" s="223" t="str">
        <f>INDEX('STATIC DATA'!Y55:BB55,1,MATCH($A$1,'STATIC DATA'!Y4:AY4,0))</f>
        <v>ACT/365</v>
      </c>
      <c r="BA32" s="53"/>
      <c r="BI32" s="50"/>
      <c r="BJ32" s="234" t="s">
        <v>818</v>
      </c>
      <c r="BK32" s="259" t="b">
        <v>1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303"/>
      <c r="BZ32" s="299"/>
      <c r="CA32" s="299"/>
      <c r="CB32" s="299"/>
      <c r="CG32" s="299"/>
      <c r="CH32" s="299"/>
      <c r="CM32" s="316"/>
      <c r="CN32" s="316"/>
      <c r="CO32" s="545"/>
      <c r="CP32" s="590"/>
      <c r="CQ32" s="590"/>
      <c r="CR32" s="590"/>
      <c r="CS32" s="407"/>
      <c r="CT32" s="405"/>
    </row>
    <row r="33" spans="6:98" x14ac:dyDescent="0.25">
      <c r="F33" s="50"/>
      <c r="G33" s="222" t="s">
        <v>695</v>
      </c>
      <c r="H33" s="223" t="s">
        <v>696</v>
      </c>
      <c r="I33" s="53"/>
      <c r="Q33" s="50"/>
      <c r="R33" s="220" t="s">
        <v>677</v>
      </c>
      <c r="S33" s="221" t="str">
        <f>INDEX('STATIC DATA'!C39:AF39,1,MATCH($A$1,'STATIC DATA'!$C$4:$AF$4,0))</f>
        <v>HKB</v>
      </c>
      <c r="T33" s="53"/>
      <c r="W33" s="367"/>
      <c r="X33" s="5"/>
      <c r="Z33" s="368"/>
      <c r="AB33" s="50"/>
      <c r="AC33" s="222" t="s">
        <v>679</v>
      </c>
      <c r="AD33" s="223" t="s">
        <v>729</v>
      </c>
      <c r="AE33" s="53"/>
      <c r="AM33" s="50"/>
      <c r="AN33" s="222" t="s">
        <v>755</v>
      </c>
      <c r="AO33" s="216" t="e">
        <f>INDEX('STATIC DATA'!C7:AB7,1,MATCH($A$1,'STATIC DATA'!C4:AB4,0))</f>
        <v>#N/A</v>
      </c>
      <c r="AP33" s="53"/>
      <c r="AX33" s="50"/>
      <c r="AY33" s="222" t="s">
        <v>679</v>
      </c>
      <c r="AZ33" s="223" t="s">
        <v>729</v>
      </c>
      <c r="BA33" s="53"/>
      <c r="BI33" s="50"/>
      <c r="BJ33" s="225" t="s">
        <v>679</v>
      </c>
      <c r="BK33" s="240" t="s">
        <v>729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299"/>
      <c r="CB33" s="299"/>
      <c r="CG33" s="299"/>
      <c r="CH33" s="299"/>
      <c r="CM33" s="316"/>
      <c r="CN33" s="316"/>
      <c r="CO33" s="545"/>
      <c r="CP33" s="590"/>
      <c r="CQ33" s="590"/>
      <c r="CR33" s="590"/>
      <c r="CS33" s="407"/>
      <c r="CT33" s="405"/>
    </row>
    <row r="34" spans="6:98" x14ac:dyDescent="0.25">
      <c r="F34" s="50"/>
      <c r="G34" s="222" t="s">
        <v>697</v>
      </c>
      <c r="H34" s="224">
        <v>1E-8</v>
      </c>
      <c r="I34" s="53"/>
      <c r="Q34" s="50"/>
      <c r="R34" s="222" t="s">
        <v>678</v>
      </c>
      <c r="S34" s="223" t="str">
        <f>INDEX('STATIC DATA'!C55:AF55,1,MATCH($A$1,'STATIC DATA'!C4:AF4,0))</f>
        <v>ACT/365</v>
      </c>
      <c r="T34" s="53"/>
      <c r="W34" s="367"/>
      <c r="X34" s="5"/>
      <c r="Z34" s="368"/>
      <c r="AB34" s="50"/>
      <c r="AC34" s="222" t="s">
        <v>683</v>
      </c>
      <c r="AD34" s="223" t="str">
        <f>INDEX('STATIC DATA'!C7:AF7,1,MATCH($A$1,'STATIC DATA'!C4:AF4,0))</f>
        <v>0D</v>
      </c>
      <c r="AE34" s="53"/>
      <c r="AM34" s="50"/>
      <c r="AN34" s="234" t="s">
        <v>756</v>
      </c>
      <c r="AO34" s="247" t="str">
        <f>$A$1&amp;"3M"</f>
        <v>HKD3M</v>
      </c>
      <c r="AP34" s="249" t="s">
        <v>801</v>
      </c>
      <c r="AX34" s="50"/>
      <c r="AY34" s="222" t="s">
        <v>683</v>
      </c>
      <c r="AZ34" s="223" t="str">
        <f>INDEX('STATIC DATA'!Y7:AY7,1,MATCH($A$1,'STATIC DATA'!Y4:AY4,0))</f>
        <v>0D</v>
      </c>
      <c r="BA34" s="53"/>
      <c r="BI34" s="50"/>
      <c r="BJ34" s="234" t="s">
        <v>819</v>
      </c>
      <c r="BK34" s="259" t="b">
        <v>0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G34" s="299"/>
      <c r="CH34" s="299"/>
      <c r="CM34" s="316"/>
      <c r="CN34" s="316"/>
      <c r="CO34" s="545"/>
      <c r="CP34" s="590"/>
      <c r="CQ34" s="590"/>
      <c r="CR34" s="590"/>
      <c r="CS34" s="407"/>
      <c r="CT34" s="405"/>
    </row>
    <row r="35" spans="6:98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W35" s="367"/>
      <c r="X35" s="5"/>
      <c r="Z35" s="368"/>
      <c r="AB35" s="50"/>
      <c r="AC35" s="225" t="s">
        <v>686</v>
      </c>
      <c r="AD35" s="226" t="s">
        <v>687</v>
      </c>
      <c r="AE35" s="53"/>
      <c r="AM35" s="50"/>
      <c r="AN35" s="234" t="s">
        <v>757</v>
      </c>
      <c r="AO35" s="229" t="s">
        <v>714</v>
      </c>
      <c r="AP35" s="53"/>
      <c r="AX35" s="50"/>
      <c r="AY35" s="225" t="s">
        <v>686</v>
      </c>
      <c r="AZ35" s="226" t="s">
        <v>687</v>
      </c>
      <c r="BA35" s="53"/>
      <c r="BI35" s="50"/>
      <c r="BJ35" s="85"/>
      <c r="BK35" s="85"/>
      <c r="BL35" s="53"/>
      <c r="BT35" s="50"/>
      <c r="BU35" s="55"/>
      <c r="BV35" s="55"/>
      <c r="BW35" s="55"/>
      <c r="BX35" s="332"/>
      <c r="BY35" s="206"/>
      <c r="BZ35" s="206"/>
      <c r="CA35" s="305"/>
      <c r="CB35" s="299"/>
      <c r="CG35" s="299"/>
      <c r="CH35" s="299"/>
      <c r="CM35" s="299"/>
      <c r="CN35" s="299"/>
      <c r="CO35" s="397"/>
      <c r="CP35" s="407"/>
      <c r="CQ35" s="407"/>
      <c r="CR35" s="407"/>
      <c r="CS35" s="407"/>
      <c r="CT35" s="405"/>
    </row>
    <row r="36" spans="6:98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DATA'!C7:AF7,1,MATCH($A$1,'STATIC DATA'!C4:AF4,0))</f>
        <v>0D</v>
      </c>
      <c r="T36" s="53"/>
      <c r="AB36" s="50"/>
      <c r="AC36" s="85" t="s">
        <v>713</v>
      </c>
      <c r="AD36" s="85" t="s">
        <v>713</v>
      </c>
      <c r="AE36" s="53"/>
      <c r="AM36" s="50"/>
      <c r="AN36" s="245" t="s">
        <v>758</v>
      </c>
      <c r="AO36" s="244" t="s">
        <v>322</v>
      </c>
      <c r="AP36" s="53"/>
      <c r="AX36" s="50"/>
      <c r="AY36" s="450"/>
      <c r="AZ36" s="313"/>
      <c r="BA36" s="53"/>
      <c r="BI36" s="50"/>
      <c r="BJ36" s="54" t="s">
        <v>807</v>
      </c>
      <c r="BK36" s="85"/>
      <c r="BL36" s="53"/>
      <c r="BT36" s="50"/>
      <c r="BU36" s="55"/>
      <c r="BV36" s="55"/>
      <c r="BW36" s="55"/>
      <c r="BX36" s="332"/>
      <c r="BY36" s="303"/>
      <c r="BZ36" s="299"/>
      <c r="CA36" s="313"/>
      <c r="CB36" s="299"/>
      <c r="CG36" s="299"/>
      <c r="CH36" s="299"/>
      <c r="CM36" s="299"/>
      <c r="CN36" s="299"/>
      <c r="CO36" s="397"/>
      <c r="CP36" s="407"/>
      <c r="CQ36" s="407"/>
      <c r="CR36" s="407"/>
      <c r="CS36" s="407"/>
      <c r="CT36" s="405"/>
    </row>
    <row r="37" spans="6:98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54" t="s">
        <v>467</v>
      </c>
      <c r="AD37" s="85" t="s">
        <v>713</v>
      </c>
      <c r="AE37" s="53"/>
      <c r="AG37" s="2" t="s">
        <v>662</v>
      </c>
      <c r="AM37" s="50"/>
      <c r="AN37" s="222" t="s">
        <v>759</v>
      </c>
      <c r="AO37" s="216" t="e">
        <f>INDEX('STATIC DATA'!C55:AB55,1,MATCH($A$1,'STATIC DATA'!C4:AB4,0))</f>
        <v>#N/A</v>
      </c>
      <c r="AP37" s="53"/>
      <c r="AX37" s="50"/>
      <c r="AY37" s="85" t="s">
        <v>713</v>
      </c>
      <c r="AZ37" s="85" t="s">
        <v>713</v>
      </c>
      <c r="BA37" s="53"/>
      <c r="BC37" s="2" t="s">
        <v>662</v>
      </c>
      <c r="BI37" s="50"/>
      <c r="BJ37" s="245" t="s">
        <v>749</v>
      </c>
      <c r="BK37" s="243" t="s">
        <v>803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G37" s="299"/>
      <c r="CH37" s="299"/>
      <c r="CJ37" s="2" t="s">
        <v>662</v>
      </c>
      <c r="CM37" s="299"/>
      <c r="CN37" s="299"/>
      <c r="CO37" s="397"/>
      <c r="CP37" s="407"/>
      <c r="CQ37" s="407"/>
      <c r="CR37" s="407"/>
      <c r="CS37" s="407"/>
      <c r="CT37" s="405"/>
    </row>
    <row r="38" spans="6:98" x14ac:dyDescent="0.25">
      <c r="F38" s="50"/>
      <c r="G38" s="222"/>
      <c r="H38" s="223"/>
      <c r="I38" s="53"/>
      <c r="K38" t="s">
        <v>434</v>
      </c>
      <c r="L38" t="str">
        <f>$A$1</f>
        <v>HKD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HKD</v>
      </c>
      <c r="AB38" s="50"/>
      <c r="AC38" s="245" t="s">
        <v>749</v>
      </c>
      <c r="AD38" s="243" t="s">
        <v>745</v>
      </c>
      <c r="AE38" s="53"/>
      <c r="AG38" t="s">
        <v>434</v>
      </c>
      <c r="AH38" t="str">
        <f>$A$1</f>
        <v>HKD</v>
      </c>
      <c r="AM38" s="50"/>
      <c r="AN38" s="222" t="s">
        <v>760</v>
      </c>
      <c r="AO38" s="216" t="e">
        <f>INDEX('STATIC DATA'!C39:AB39,1,MATCH($A$1,'STATIC DATA'!$C$4:$AB$4,0))</f>
        <v>#N/A</v>
      </c>
      <c r="AP38" s="53"/>
      <c r="AX38" s="50"/>
      <c r="AY38" s="54" t="s">
        <v>467</v>
      </c>
      <c r="AZ38" s="85" t="s">
        <v>713</v>
      </c>
      <c r="BA38" s="53"/>
      <c r="BC38" t="s">
        <v>434</v>
      </c>
      <c r="BD38" t="str">
        <f>$A$1</f>
        <v>HKD</v>
      </c>
      <c r="BI38" s="50"/>
      <c r="BJ38" s="233" t="s">
        <v>750</v>
      </c>
      <c r="BK38" s="230" t="b">
        <v>0</v>
      </c>
      <c r="BL38" s="53"/>
      <c r="BN38" t="s">
        <v>434</v>
      </c>
      <c r="BO38" t="str">
        <f>$A$1</f>
        <v>HKD</v>
      </c>
      <c r="BT38" s="50"/>
      <c r="BU38" s="55"/>
      <c r="BV38" s="55"/>
      <c r="BW38" s="55"/>
      <c r="BX38" s="332"/>
      <c r="BY38" s="147" t="s">
        <v>434</v>
      </c>
      <c r="BZ38" s="238" t="s">
        <v>1275</v>
      </c>
      <c r="CA38" s="305"/>
      <c r="CB38" s="299"/>
      <c r="CD38" t="s">
        <v>434</v>
      </c>
      <c r="CE38" t="str">
        <f>$A$1</f>
        <v>HKD</v>
      </c>
      <c r="CG38" s="299"/>
      <c r="CH38" s="299"/>
      <c r="CJ38" t="s">
        <v>434</v>
      </c>
      <c r="CK38" t="str">
        <f>$A$1</f>
        <v>HKD</v>
      </c>
      <c r="CM38" s="299"/>
      <c r="CN38" s="299"/>
      <c r="CO38" s="397"/>
      <c r="CP38" s="407"/>
      <c r="CQ38" s="407"/>
      <c r="CR38" s="407"/>
      <c r="CS38" s="407"/>
      <c r="CT38" s="405"/>
    </row>
    <row r="39" spans="6:98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33" t="s">
        <v>750</v>
      </c>
      <c r="AD39" s="230" t="b">
        <v>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45" t="s">
        <v>749</v>
      </c>
      <c r="AZ39" s="243" t="s">
        <v>795</v>
      </c>
      <c r="BA39" s="53"/>
      <c r="BC39" t="s">
        <v>435</v>
      </c>
      <c r="BD39" t="s">
        <v>468</v>
      </c>
      <c r="BI39" s="50"/>
      <c r="BJ39" s="222" t="s">
        <v>751</v>
      </c>
      <c r="BK39" s="216" t="str">
        <f>INDEX('STATIC DATA'!C30:AF30,1,MATCH($A$1,'STATIC DATA'!$C$4:$AF$4,0))</f>
        <v>HKB:NYB:LNB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303"/>
      <c r="CD39" t="s">
        <v>435</v>
      </c>
      <c r="CE39" t="s">
        <v>1084</v>
      </c>
      <c r="CG39" s="299"/>
      <c r="CH39" s="299"/>
      <c r="CJ39" t="s">
        <v>435</v>
      </c>
      <c r="CK39" t="s">
        <v>1084</v>
      </c>
      <c r="CM39" s="299"/>
      <c r="CN39" s="299"/>
      <c r="CO39" s="397"/>
      <c r="CP39" s="407"/>
      <c r="CQ39" s="407"/>
      <c r="CR39" s="407"/>
      <c r="CS39" s="407"/>
      <c r="CT39" s="405"/>
    </row>
    <row r="40" spans="6:98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DATA'!C39:AF39,1,MATCH($A$1,'STATIC DATA'!$C$4:$AF$4,0))</f>
        <v>HKB</v>
      </c>
      <c r="T40" s="53"/>
      <c r="V40" t="s">
        <v>438</v>
      </c>
      <c r="W40" t="s">
        <v>458</v>
      </c>
      <c r="AB40" s="50"/>
      <c r="AC40" s="222" t="s">
        <v>751</v>
      </c>
      <c r="AD40" s="216" t="str">
        <f>INDEX('STATIC DATA'!C39:AF39,1,MATCH($A$1,'STATIC DATA'!$C$4:$AF$4,0))</f>
        <v>HKB</v>
      </c>
      <c r="AE40" s="53"/>
      <c r="AG40" t="s">
        <v>438</v>
      </c>
      <c r="AH40" t="s">
        <v>459</v>
      </c>
      <c r="AM40" s="50"/>
      <c r="AN40" s="225" t="s">
        <v>762</v>
      </c>
      <c r="AO40" s="219" t="e">
        <f>INDEX('STATIC DATA'!C39:AB39,1,MATCH($A$1,'STATIC DATA'!$C$4:$AB$4,0))</f>
        <v>#N/A</v>
      </c>
      <c r="AP40" s="53"/>
      <c r="AX40" s="50"/>
      <c r="AY40" s="233" t="s">
        <v>750</v>
      </c>
      <c r="AZ40" s="230" t="b">
        <v>0</v>
      </c>
      <c r="BA40" s="53"/>
      <c r="BC40" t="s">
        <v>438</v>
      </c>
      <c r="BD40" t="str">
        <f>AZ14</f>
        <v>MONTHLY</v>
      </c>
      <c r="BI40" s="50"/>
      <c r="BJ40" s="222" t="s">
        <v>752</v>
      </c>
      <c r="BK40" s="216" t="str">
        <f>INDEX('STATIC DATA'!C55:AF55,1,MATCH("USD",'STATIC DATA'!C4:AF4,0))</f>
        <v>ACT/360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15">
        <f>'STATIC DATA'!AE5</f>
        <v>44083</v>
      </c>
      <c r="CA40" s="324"/>
      <c r="CB40" s="299"/>
      <c r="CD40" t="s">
        <v>438</v>
      </c>
      <c r="CE40" t="s">
        <v>439</v>
      </c>
      <c r="CG40" s="299"/>
      <c r="CH40" s="299"/>
      <c r="CJ40" t="s">
        <v>438</v>
      </c>
      <c r="CK40" t="s">
        <v>439</v>
      </c>
      <c r="CM40" s="299"/>
      <c r="CN40" s="299"/>
      <c r="CO40" s="397"/>
      <c r="CP40" s="407"/>
      <c r="CQ40" s="407"/>
      <c r="CR40" s="407"/>
      <c r="CS40" s="407"/>
      <c r="CT40" s="405"/>
    </row>
    <row r="41" spans="6:98" x14ac:dyDescent="0.25">
      <c r="F41" s="50"/>
      <c r="G41" s="293" t="s">
        <v>833</v>
      </c>
      <c r="H41" s="223"/>
      <c r="I41" s="53"/>
      <c r="K41" t="s">
        <v>440</v>
      </c>
      <c r="L41" s="200">
        <f>'STATIC DATA'!AE5</f>
        <v>44083</v>
      </c>
      <c r="Q41" s="50"/>
      <c r="R41" s="222" t="s">
        <v>731</v>
      </c>
      <c r="S41" s="223" t="str">
        <f>INDEX('STATIC DATA'!C55:AF55,1,MATCH($A$1,'STATIC DATA'!C4:AF4,0))</f>
        <v>ACT/365</v>
      </c>
      <c r="T41" s="53"/>
      <c r="V41" t="s">
        <v>440</v>
      </c>
      <c r="W41" s="200">
        <f>'STATIC DATA'!AE5</f>
        <v>44083</v>
      </c>
      <c r="AB41" s="50"/>
      <c r="AC41" s="222" t="s">
        <v>752</v>
      </c>
      <c r="AD41" s="216" t="str">
        <f>INDEX('STATIC DATA'!C55:AF55,1,MATCH($A$1,'STATIC DATA'!C4:AF4,0))</f>
        <v>ACT/365</v>
      </c>
      <c r="AE41" s="53"/>
      <c r="AG41" t="s">
        <v>440</v>
      </c>
      <c r="AH41" s="200">
        <f>'STATIC DATA'!AE5</f>
        <v>44083</v>
      </c>
      <c r="AM41" s="50"/>
      <c r="AN41" s="225" t="s">
        <v>763</v>
      </c>
      <c r="AO41" s="219" t="e">
        <f>INDEX('STATIC DATA'!C7:AB7,1,MATCH($A$1,'STATIC DATA'!C4:AB4,0))</f>
        <v>#N/A</v>
      </c>
      <c r="AP41" s="53"/>
      <c r="AX41" s="50"/>
      <c r="AY41" s="222" t="s">
        <v>751</v>
      </c>
      <c r="AZ41" s="216" t="str">
        <f>INDEX('STATIC DATA'!C39:AF39,1,MATCH($A$1,'STATIC DATA'!$C$4:$AF$4,0))</f>
        <v>HKB</v>
      </c>
      <c r="BA41" s="53"/>
      <c r="BC41" t="s">
        <v>440</v>
      </c>
      <c r="BD41" s="200">
        <f>'STATIC DATA'!AF5</f>
        <v>44083</v>
      </c>
      <c r="BI41" s="50"/>
      <c r="BJ41" s="225" t="s">
        <v>753</v>
      </c>
      <c r="BK41" s="219" t="s">
        <v>458</v>
      </c>
      <c r="BL41" s="249"/>
      <c r="BN41" t="s">
        <v>440</v>
      </c>
      <c r="BO41" s="200">
        <f>'STATIC DATA'!AE5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DATA'!C49:AF49,1,MATCH($A$1,'STATIC DATA'!C4:AF4,0))=4,1/10000,IF(INDEX('STATIC DATA'!C49:AF49,1,MATCH($A$1,'STATIC DATA'!C4:AF4,0))=3,1/1000,1/100))</f>
        <v>1E-4</v>
      </c>
      <c r="CA41" s="305"/>
      <c r="CB41" s="299"/>
      <c r="CD41" t="s">
        <v>440</v>
      </c>
      <c r="CE41" s="275">
        <f>'STATIC DATA'!AE5</f>
        <v>44083</v>
      </c>
      <c r="CG41" s="299"/>
      <c r="CH41" s="299"/>
      <c r="CJ41" t="s">
        <v>440</v>
      </c>
      <c r="CK41" s="275">
        <f>'STATIC DATA'!AE5</f>
        <v>44083</v>
      </c>
      <c r="CM41" s="299"/>
      <c r="CN41" s="299"/>
      <c r="CO41" s="397"/>
      <c r="CP41" s="407"/>
      <c r="CQ41" s="407"/>
      <c r="CR41" s="407"/>
      <c r="CS41" s="407"/>
      <c r="CT41" s="405"/>
    </row>
    <row r="42" spans="6:98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tr">
        <f>INDEX('STATIC DATA'!C7:AF7,1,MATCH($A$1,'STATIC DATA'!C4:AF4,0))</f>
        <v>0D</v>
      </c>
      <c r="T42" s="53"/>
      <c r="AB42" s="50"/>
      <c r="AC42" s="225" t="s">
        <v>753</v>
      </c>
      <c r="AD42" s="219" t="s">
        <v>459</v>
      </c>
      <c r="AE42" s="53"/>
      <c r="AM42" s="50"/>
      <c r="AN42" s="220" t="s">
        <v>764</v>
      </c>
      <c r="AO42" s="238" t="s">
        <v>687</v>
      </c>
      <c r="AP42" s="53"/>
      <c r="AX42" s="50"/>
      <c r="AY42" s="222" t="s">
        <v>752</v>
      </c>
      <c r="AZ42" s="216" t="str">
        <f>INDEX('STATIC DATA'!Y55:AY55,1,MATCH($A$1,'STATIC DATA'!Y4:AV4,0))</f>
        <v>ACT/365</v>
      </c>
      <c r="BA42" s="53"/>
      <c r="BI42" s="50"/>
      <c r="BJ42" s="222" t="s">
        <v>754</v>
      </c>
      <c r="BK42" s="216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G42" s="299"/>
      <c r="CH42" s="299"/>
      <c r="CM42" s="299"/>
      <c r="CN42" s="299"/>
      <c r="CO42" s="397"/>
      <c r="CP42" s="407"/>
      <c r="CQ42" s="407"/>
      <c r="CR42" s="407"/>
      <c r="CS42" s="407"/>
      <c r="CT42" s="405"/>
    </row>
    <row r="43" spans="6:98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754</v>
      </c>
      <c r="AD43" s="216" t="s">
        <v>687</v>
      </c>
      <c r="AE43" s="53"/>
      <c r="AG43" s="2" t="s">
        <v>441</v>
      </c>
      <c r="AM43" s="50"/>
      <c r="AN43" s="222" t="s">
        <v>765</v>
      </c>
      <c r="AO43" s="216" t="e">
        <f>INDEX('STATIC DATA'!C39:AB39,1,MATCH($A$1,'STATIC DATA'!$C$4:$AB$4,0))</f>
        <v>#N/A</v>
      </c>
      <c r="AP43" s="53"/>
      <c r="AX43" s="50"/>
      <c r="AY43" s="225" t="s">
        <v>753</v>
      </c>
      <c r="AZ43" s="219" t="s">
        <v>458</v>
      </c>
      <c r="BA43" s="53"/>
      <c r="BC43" s="2" t="s">
        <v>441</v>
      </c>
      <c r="BI43" s="50"/>
      <c r="BJ43" s="222" t="s">
        <v>755</v>
      </c>
      <c r="BK43" s="216" t="str">
        <f>INDEX('STATIC DATA'!N29:AL29,1,MATCH($A$1,'STATIC DATA'!N4:AL4,0))</f>
        <v>2D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303"/>
      <c r="CD43" s="2" t="s">
        <v>441</v>
      </c>
      <c r="CG43" s="299"/>
      <c r="CH43" s="299"/>
      <c r="CJ43" s="2" t="s">
        <v>441</v>
      </c>
      <c r="CM43" s="299"/>
      <c r="CN43" s="299"/>
      <c r="CO43" s="397"/>
      <c r="CP43" s="407"/>
      <c r="CQ43" s="407"/>
      <c r="CR43" s="407"/>
      <c r="CS43" s="407"/>
      <c r="CT43" s="405"/>
    </row>
    <row r="44" spans="6:98" x14ac:dyDescent="0.25">
      <c r="F44" s="50"/>
      <c r="G44" s="222"/>
      <c r="H44" s="223"/>
      <c r="I44" s="53"/>
      <c r="K44" s="206" t="s">
        <v>442</v>
      </c>
      <c r="L44" s="206" t="str">
        <f>L38&amp;"_"&amp;L39&amp;"_CURVE_MARKETDATA"</f>
        <v>HKD_OIS_CURVE_MARKETDATA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DATA'!$C$56:$AF$56,1,MATCH($W38,'STATIC DATA'!$C$4:$AF$4,0))&amp;"_CURVE_MARKETDATA"</f>
        <v>HKD_SWAP_3M_CURVE_MARKETDATA</v>
      </c>
      <c r="AB44" s="50"/>
      <c r="AC44" s="222" t="s">
        <v>755</v>
      </c>
      <c r="AD44" s="216" t="str">
        <f>INDEX('STATIC DATA'!C7:AF7,1,MATCH($A$1,'STATIC DATA'!C4:AF4,0))</f>
        <v>0D</v>
      </c>
      <c r="AE44" s="53"/>
      <c r="AG44" t="s">
        <v>442</v>
      </c>
      <c r="AH44" t="str">
        <f>A1&amp;"_BASIS_3M6M_MARKETDATA"</f>
        <v>HKD_BASIS_3M6M_MARKETDATA</v>
      </c>
      <c r="AM44" s="50"/>
      <c r="AN44" s="222" t="s">
        <v>766</v>
      </c>
      <c r="AO44" s="216" t="e">
        <f>INDEX('STATIC DATA'!C55:AB55,1,MATCH($A$1,'STATIC DATA'!C4:AB4,0))</f>
        <v>#N/A</v>
      </c>
      <c r="AP44" s="53"/>
      <c r="AX44" s="50"/>
      <c r="AY44" s="222" t="s">
        <v>754</v>
      </c>
      <c r="AZ44" s="216" t="s">
        <v>687</v>
      </c>
      <c r="BA44" s="53"/>
      <c r="BC44" t="s">
        <v>442</v>
      </c>
      <c r="BD44" t="str">
        <f>A1&amp;"_BASIS_1M3M_MARKETDATA"</f>
        <v>HKD_BASIS_1M3M_MARKETDATA</v>
      </c>
      <c r="BI44" s="50"/>
      <c r="BJ44" s="234" t="s">
        <v>757</v>
      </c>
      <c r="BK44" s="260" t="s">
        <v>773</v>
      </c>
      <c r="BL44" s="53"/>
      <c r="BN44" t="s">
        <v>442</v>
      </c>
      <c r="BO44" t="str">
        <f>A1&amp;"_"&amp;BO39&amp;"_CURVE_MARKETDATA"</f>
        <v>HKD_XCCYBASIS_CURVE_MARKETDATA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1276</v>
      </c>
      <c r="CA44" s="325"/>
      <c r="CB44" s="313"/>
      <c r="CD44" t="s">
        <v>442</v>
      </c>
      <c r="CE44" t="str">
        <f>$A$1&amp;"_FXFWD_MARKET_DATA"</f>
        <v>HKD_FXFWD_MARKET_DATA</v>
      </c>
      <c r="CG44" s="299"/>
      <c r="CH44" s="299"/>
      <c r="CJ44" t="s">
        <v>442</v>
      </c>
      <c r="CK44" t="str">
        <f>$A$1&amp;"_FXFWD_MARKET_DATA"</f>
        <v>HKD_FXFWD_MARKET_DATA</v>
      </c>
      <c r="CM44" s="299"/>
      <c r="CN44" s="299"/>
      <c r="CO44" s="397"/>
      <c r="CP44" s="407"/>
      <c r="CQ44" s="407"/>
      <c r="CR44" s="407"/>
      <c r="CS44" s="407"/>
      <c r="CT44" s="405"/>
    </row>
    <row r="45" spans="6:98" x14ac:dyDescent="0.25">
      <c r="F45" s="50"/>
      <c r="G45" s="222"/>
      <c r="H45" s="223"/>
      <c r="I45" s="53"/>
      <c r="K45" s="206" t="s">
        <v>444</v>
      </c>
      <c r="L45" s="206" t="str">
        <f>_xll.meLWOCurveMarketDataCreate(L44,"MarketDataProperties",K38:L41,"OIS",K7:L21)</f>
        <v>HKD_OIS_CURVE_MARKETDATA@181:42</v>
      </c>
      <c r="Q45" s="50"/>
      <c r="R45" s="225"/>
      <c r="S45" s="226"/>
      <c r="T45" s="53"/>
      <c r="V45" t="s">
        <v>444</v>
      </c>
      <c r="W45" t="str">
        <f>_xll.meLWOCurveMarketDataCreate(W44,V37,V38:W41,"LIBORFIXINGS",V7:X11,"FRAS",V12:X14,"SWAPS",V15:X23)</f>
        <v>HKD_SWAP_3M_CURVE_MARKETDATA@183:42</v>
      </c>
      <c r="AB45" s="50"/>
      <c r="AC45" s="245" t="s">
        <v>756</v>
      </c>
      <c r="AD45" s="247" t="s">
        <v>714</v>
      </c>
      <c r="AE45" s="249" t="s">
        <v>801</v>
      </c>
      <c r="AG45" t="s">
        <v>444</v>
      </c>
      <c r="AH45" t="str">
        <f>_xll.meLWOCurveMarketDataCreate(AH44,"MARKETDATAPROPERTIES",AG38:AH42,"LIBORFIXINGS",AG7:AI10,"BASISSWAPS",AG11:AI17)</f>
        <v>HKD_BASIS_3M6M_MARKETDATA@180:42</v>
      </c>
      <c r="AM45" s="50"/>
      <c r="AN45" s="222" t="s">
        <v>767</v>
      </c>
      <c r="AO45" s="216" t="s">
        <v>458</v>
      </c>
      <c r="AP45" s="53"/>
      <c r="AX45" s="50"/>
      <c r="AY45" s="222" t="s">
        <v>755</v>
      </c>
      <c r="AZ45" s="216" t="str">
        <f>INDEX('STATIC DATA'!N7:AL7,1,MATCH($A$1,'STATIC DATA'!N4:AL4,0))</f>
        <v>0D</v>
      </c>
      <c r="BA45" s="53"/>
      <c r="BC45" t="s">
        <v>444</v>
      </c>
      <c r="BD45" t="str">
        <f>_xll.meLWOCurveMarketDataCreate(BD44,"MARKETDATAPROPERTIES",BC38:BD42,"LIBORFIXINGS",BC7:BE8,"BASISSWAPS",BC9:BE17)</f>
        <v>HKD_BASIS_1M3M_MARKETDATA@179:42</v>
      </c>
      <c r="BI45" s="50"/>
      <c r="BJ45" s="234" t="s">
        <v>756</v>
      </c>
      <c r="BK45" s="260" t="s">
        <v>809</v>
      </c>
      <c r="BL45" s="53"/>
      <c r="BN45" t="s">
        <v>444</v>
      </c>
      <c r="BO45" t="str">
        <f>_xll.meLWOCurveMarketDataCreate(BO44,BN37,BN38:BO41,"FXSPOTS",BN7:BP7,"FXFWDS",BN8:BP16,"XCCYSWAPS",BN17:BP25)</f>
        <v>HKD_XCCYBASIS_CURVE_MARKETDATA@178:42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_xll.meLWOCurveMarketDataCreate(BZ44,"MARKETDATAPROPERTIES",BY38:BZ41,"FXSPOTS",BZ7:CA7,"FXFWDS",BY8:CA19)</f>
        <v>MKTDATA_USDHKD@270:42</v>
      </c>
      <c r="CA45" s="313"/>
      <c r="CB45" s="299"/>
      <c r="CD45" t="s">
        <v>444</v>
      </c>
      <c r="CE45" t="str">
        <f>_xll.meLWOCurveMarketDataCreate(CE44,CD37,CD38:CE41)</f>
        <v>HKD_FXFWD_MARKET_DATA@9:42</v>
      </c>
      <c r="CG45" s="299"/>
      <c r="CH45" s="299"/>
      <c r="CJ45" t="s">
        <v>444</v>
      </c>
      <c r="CK45" t="str">
        <f>_xll.meLWOCurveMarketDataCreate(CK44,CJ37,CJ38:CK41)</f>
        <v>HKD_FXFWD_MARKET_DATA@14:42</v>
      </c>
      <c r="CM45" s="299"/>
      <c r="CN45" s="299"/>
      <c r="CO45" s="397"/>
      <c r="CP45" s="407"/>
      <c r="CQ45" s="407"/>
      <c r="CR45" s="407"/>
      <c r="CS45" s="407"/>
      <c r="CT45" s="405"/>
    </row>
    <row r="46" spans="6:98" x14ac:dyDescent="0.25">
      <c r="F46" s="50"/>
      <c r="G46" s="225"/>
      <c r="H46" s="226"/>
      <c r="I46" s="53"/>
      <c r="K46" s="206"/>
      <c r="L46" s="206"/>
      <c r="Q46" s="50"/>
      <c r="R46" s="52" t="s">
        <v>713</v>
      </c>
      <c r="S46" s="52" t="s">
        <v>713</v>
      </c>
      <c r="T46" s="53"/>
      <c r="AB46" s="50"/>
      <c r="AC46" s="233" t="s">
        <v>757</v>
      </c>
      <c r="AD46" s="229" t="s">
        <v>426</v>
      </c>
      <c r="AE46" s="53"/>
      <c r="AM46" s="50"/>
      <c r="AN46" s="222" t="s">
        <v>768</v>
      </c>
      <c r="AO46" s="239" t="s">
        <v>680</v>
      </c>
      <c r="AP46" s="53"/>
      <c r="AX46" s="50"/>
      <c r="AY46" s="245" t="s">
        <v>756</v>
      </c>
      <c r="AZ46" s="244" t="s">
        <v>714</v>
      </c>
      <c r="BA46" s="53"/>
      <c r="BI46" s="50"/>
      <c r="BJ46" s="245" t="s">
        <v>758</v>
      </c>
      <c r="BK46" s="260" t="s">
        <v>49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G46" s="299"/>
      <c r="CH46" s="299"/>
      <c r="CM46" s="299"/>
      <c r="CN46" s="299"/>
      <c r="CO46" s="397"/>
      <c r="CP46" s="407"/>
      <c r="CQ46" s="407"/>
      <c r="CR46" s="407"/>
      <c r="CS46" s="407"/>
      <c r="CT46" s="405"/>
    </row>
    <row r="47" spans="6:98" x14ac:dyDescent="0.25">
      <c r="F47" s="50"/>
      <c r="G47" s="52"/>
      <c r="H47" s="52"/>
      <c r="I47" s="53"/>
      <c r="K47" s="678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45" t="s">
        <v>758</v>
      </c>
      <c r="AD47" s="244" t="s">
        <v>46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33" t="s">
        <v>757</v>
      </c>
      <c r="AZ47" s="244" t="s">
        <v>426</v>
      </c>
      <c r="BA47" s="53"/>
      <c r="BC47" s="2" t="s">
        <v>447</v>
      </c>
      <c r="BI47" s="50"/>
      <c r="BJ47" s="222" t="s">
        <v>759</v>
      </c>
      <c r="BK47" s="216" t="str">
        <f>INDEX('STATIC DATA'!C55:AF55,1,MATCH("USD",'STATIC DATA'!C4:AF4,0))</f>
        <v>ACT/360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G47" s="299"/>
      <c r="CH47" s="299"/>
      <c r="CJ47" s="2" t="s">
        <v>447</v>
      </c>
      <c r="CM47" s="299"/>
      <c r="CN47" s="299"/>
      <c r="CO47" s="397"/>
      <c r="CP47" s="407"/>
      <c r="CQ47" s="407"/>
      <c r="CR47" s="407"/>
      <c r="CS47" s="407"/>
      <c r="CT47" s="405"/>
    </row>
    <row r="48" spans="6:98" x14ac:dyDescent="0.25">
      <c r="F48" s="50"/>
      <c r="G48" s="54" t="s">
        <v>702</v>
      </c>
      <c r="H48" s="227" t="s">
        <v>703</v>
      </c>
      <c r="I48" s="53"/>
      <c r="K48" s="206" t="s">
        <v>442</v>
      </c>
      <c r="L48" s="206" t="str">
        <f>L38&amp;"_"&amp;L39&amp;"_CURVE"</f>
        <v>HKD_OIS_CURVE</v>
      </c>
      <c r="Q48" s="50"/>
      <c r="R48" s="220" t="s">
        <v>704</v>
      </c>
      <c r="S48" s="221" t="str">
        <f>INDEX('STATIC DATA'!C39:AF39,1,MATCH($A$1,'STATIC DATA'!$C$4:$AF$4,0))</f>
        <v>HKB</v>
      </c>
      <c r="T48" s="53"/>
      <c r="V48" t="s">
        <v>442</v>
      </c>
      <c r="W48" t="str">
        <f>W38&amp;"_"&amp;W39&amp;"_"&amp;INDEX('STATIC DATA'!$C$56:$AF$56,1,MATCH($W38,'STATIC DATA'!$C$4:$AF$4,0))&amp;"_CURVE"</f>
        <v>HKD_SWAP_3M_CURVE</v>
      </c>
      <c r="AB48" s="50"/>
      <c r="AC48" s="222" t="s">
        <v>759</v>
      </c>
      <c r="AD48" s="216" t="str">
        <f>INDEX('STATIC DATA'!C55:AF55,1,MATCH($A$1,'STATIC DATA'!C4:AF4,0))</f>
        <v>ACT/365</v>
      </c>
      <c r="AE48" s="53"/>
      <c r="AG48" t="s">
        <v>442</v>
      </c>
      <c r="AH48" t="str">
        <f>A1&amp;"_BASIS_6M_CURVE"</f>
        <v>HKD_BASIS_6M_CURVE</v>
      </c>
      <c r="AM48" s="50"/>
      <c r="AN48" s="225" t="s">
        <v>770</v>
      </c>
      <c r="AO48" s="219" t="e">
        <f>INDEX('STATIC DATA'!C7:AB7,1,MATCH($A$1,'STATIC DATA'!C4:AB4,0))</f>
        <v>#N/A</v>
      </c>
      <c r="AP48" s="53"/>
      <c r="AX48" s="50"/>
      <c r="AY48" s="245" t="s">
        <v>758</v>
      </c>
      <c r="AZ48" s="244" t="s">
        <v>49</v>
      </c>
      <c r="BA48" s="53"/>
      <c r="BC48" t="s">
        <v>442</v>
      </c>
      <c r="BD48" t="str">
        <f>A1&amp;"_BASIS_1M_CURVE"</f>
        <v>HKD_BASIS_1M_CURVE</v>
      </c>
      <c r="BI48" s="50"/>
      <c r="BJ48" s="222" t="s">
        <v>760</v>
      </c>
      <c r="BK48" s="216" t="str">
        <f>INDEX('STATIC DATA'!C30:AF30,1,MATCH($A$1,'STATIC DATA'!$C$4:$AF$4,0))</f>
        <v>HKB:NYB:LNB</v>
      </c>
      <c r="BL48" s="53"/>
      <c r="BN48" t="s">
        <v>442</v>
      </c>
      <c r="BO48" t="str">
        <f>A1&amp;"_"&amp;BO39&amp;"_CURVE"</f>
        <v>HKD_XCCYBASIS_CURVE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1279</v>
      </c>
      <c r="CG48" s="299"/>
      <c r="CH48" s="299"/>
      <c r="CJ48" t="s">
        <v>442</v>
      </c>
      <c r="CK48" t="s">
        <v>1284</v>
      </c>
      <c r="CM48" s="299"/>
      <c r="CN48" s="299"/>
      <c r="CO48" s="397"/>
      <c r="CP48" s="407"/>
      <c r="CQ48" s="407"/>
      <c r="CR48" s="407"/>
      <c r="CS48" s="407"/>
      <c r="CT48" s="405"/>
    </row>
    <row r="49" spans="6:98" x14ac:dyDescent="0.25">
      <c r="F49" s="50"/>
      <c r="G49" s="220" t="s">
        <v>704</v>
      </c>
      <c r="H49" s="221" t="e">
        <f>INDEX('STATIC DATA'!C43:AB43,1,MATCH(A1,'STATIC DATA'!$C$4:$AB$4,0))</f>
        <v>#N/A</v>
      </c>
      <c r="I49" s="53"/>
      <c r="K49" s="206" t="s">
        <v>450</v>
      </c>
      <c r="L49" s="206" t="str">
        <f>H8</f>
        <v>HKD_OIS@391:6</v>
      </c>
      <c r="Q49" s="50"/>
      <c r="R49" s="222" t="s">
        <v>731</v>
      </c>
      <c r="S49" s="223" t="str">
        <f>INDEX('STATIC DATA'!C53:AF53,1,MATCH($A$1,'STATIC DATA'!C4:AF4,0))</f>
        <v>ACT/365</v>
      </c>
      <c r="T49" s="53"/>
      <c r="V49" t="s">
        <v>450</v>
      </c>
      <c r="W49" t="str">
        <f>S8</f>
        <v>HKD_SWAP_3M@386:6</v>
      </c>
      <c r="AB49" s="50"/>
      <c r="AC49" s="222" t="s">
        <v>760</v>
      </c>
      <c r="AD49" s="216" t="str">
        <f>INDEX('STATIC DATA'!C39:AF39,1,MATCH($A$1,'STATIC DATA'!$C$4:$AF$4,0))</f>
        <v>HKB</v>
      </c>
      <c r="AE49" s="53"/>
      <c r="AG49" t="s">
        <v>450</v>
      </c>
      <c r="AH49" t="str">
        <f>AD8</f>
        <v>HKD_BASIS_3M6M@388:6</v>
      </c>
      <c r="AM49" s="50"/>
      <c r="AN49" s="234" t="s">
        <v>771</v>
      </c>
      <c r="AO49" s="242" t="str">
        <f>"AGAINST:"&amp;A1&amp;"3M"</f>
        <v>AGAINST:HKD3M</v>
      </c>
      <c r="AP49" s="53"/>
      <c r="AX49" s="50"/>
      <c r="AY49" s="222" t="s">
        <v>759</v>
      </c>
      <c r="AZ49" s="216" t="str">
        <f>INDEX('STATIC DATA'!Y55:AY55,1,MATCH($A$1,'STATIC DATA'!Y4:AV4,0))</f>
        <v>ACT/365</v>
      </c>
      <c r="BA49" s="53"/>
      <c r="BC49" t="s">
        <v>450</v>
      </c>
      <c r="BD49" t="str">
        <f>AZ8</f>
        <v>HKD_BASIS_1M3M@309:7</v>
      </c>
      <c r="BI49" s="50"/>
      <c r="BJ49" s="225" t="s">
        <v>761</v>
      </c>
      <c r="BK49" s="219" t="s">
        <v>458</v>
      </c>
      <c r="BL49" s="53"/>
      <c r="BN49" t="s">
        <v>450</v>
      </c>
      <c r="BO49" t="str">
        <f>BK8</f>
        <v>HKD_XCCY@387:6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HKD_EURCSA@389:6</v>
      </c>
      <c r="CG49" s="299"/>
      <c r="CH49" s="299"/>
      <c r="CJ49" t="s">
        <v>450</v>
      </c>
      <c r="CK49" t="str">
        <f>CK8</f>
        <v>HKD_JPYCSA@392:6</v>
      </c>
      <c r="CM49" s="299"/>
      <c r="CN49" s="299"/>
      <c r="CO49" s="397"/>
      <c r="CP49" s="407"/>
      <c r="CQ49" s="407"/>
      <c r="CR49" s="407"/>
      <c r="CS49" s="407"/>
      <c r="CT49" s="206"/>
    </row>
    <row r="50" spans="6:98" x14ac:dyDescent="0.25">
      <c r="F50" s="50"/>
      <c r="G50" s="222" t="s">
        <v>705</v>
      </c>
      <c r="H50" s="223" t="e">
        <f>INDEX('STATIC DATA'!C55:AB55,1,MATCH(A1,'STATIC DATA'!C4:AB4,0))</f>
        <v>#N/A</v>
      </c>
      <c r="I50" s="53"/>
      <c r="K50" s="206" t="s">
        <v>452</v>
      </c>
      <c r="L50" s="206" t="str">
        <f>$A$1&amp;"YC"</f>
        <v>HKDYC</v>
      </c>
      <c r="Q50" s="50"/>
      <c r="R50" s="222" t="s">
        <v>734</v>
      </c>
      <c r="S50" s="223" t="str">
        <f>INDEX('STATIC DATA'!C55:AF55,1,MATCH($A$1,'STATIC DATA'!C4:AF4,0))</f>
        <v>ACT/365</v>
      </c>
      <c r="T50" s="53"/>
      <c r="V50" t="s">
        <v>452</v>
      </c>
      <c r="W50" t="str">
        <f>$A$1&amp;"YC"</f>
        <v>HKDYC</v>
      </c>
      <c r="AB50" s="50"/>
      <c r="AC50" s="225" t="s">
        <v>761</v>
      </c>
      <c r="AD50" s="219" t="s">
        <v>721</v>
      </c>
      <c r="AE50" s="53"/>
      <c r="AG50" t="s">
        <v>452</v>
      </c>
      <c r="AH50" t="str">
        <f>A1&amp;"YC"</f>
        <v>HKDYC</v>
      </c>
      <c r="AM50" s="50"/>
      <c r="AN50" s="234" t="s">
        <v>772</v>
      </c>
      <c r="AO50" s="242" t="s">
        <v>714</v>
      </c>
      <c r="AP50" s="53"/>
      <c r="AX50" s="50"/>
      <c r="AY50" s="222" t="s">
        <v>760</v>
      </c>
      <c r="AZ50" s="216" t="str">
        <f>INDEX('STATIC DATA'!C39:AF39,1,MATCH($A$1,'STATIC DATA'!$C$4:$AF$4,0))</f>
        <v>HKB</v>
      </c>
      <c r="BA50" s="53"/>
      <c r="BC50" t="s">
        <v>452</v>
      </c>
      <c r="BD50" t="str">
        <f>A1&amp;"YC"</f>
        <v>HKDYC</v>
      </c>
      <c r="BI50" s="50"/>
      <c r="BJ50" s="225" t="s">
        <v>762</v>
      </c>
      <c r="BK50" s="219" t="str">
        <f>INDEX('STATIC DATA'!C30:AF30,1,MATCH($A$1,'STATIC DATA'!$C$4:$AF$4,0))</f>
        <v>HKB:NYB:LNB</v>
      </c>
      <c r="BL50" s="53"/>
      <c r="BN50" t="s">
        <v>452</v>
      </c>
      <c r="BO50" t="str">
        <f>A1&amp;"YC"</f>
        <v>HKDYC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1280</v>
      </c>
      <c r="CG50" s="299"/>
      <c r="CH50" s="299"/>
      <c r="CJ50" t="s">
        <v>452</v>
      </c>
      <c r="CK50" t="s">
        <v>1280</v>
      </c>
      <c r="CM50" s="299"/>
      <c r="CN50" s="299"/>
      <c r="CO50" s="397"/>
      <c r="CP50" s="407"/>
      <c r="CQ50" s="407"/>
      <c r="CR50" s="407"/>
      <c r="CS50" s="407"/>
      <c r="CT50" s="206"/>
    </row>
    <row r="51" spans="6:98" x14ac:dyDescent="0.25">
      <c r="F51" s="50"/>
      <c r="G51" s="222" t="s">
        <v>706</v>
      </c>
      <c r="H51" s="223" t="e">
        <f>IF(INDEX('STATIC DATA'!C56:AB56,1,MATCH(A1,'STATIC DATA'!C4:AB4,0))="1Y","ANNUAL",(IF(INDEX('STATIC DATA'!C56:AB56,1,MATCH(A1,'STATIC DATA'!C4:AB4,0))="6M","SEMI-ANNUAL", "QUARTERLY")))</f>
        <v>#N/A</v>
      </c>
      <c r="I51" s="53"/>
      <c r="K51" s="206" t="s">
        <v>453</v>
      </c>
      <c r="L51" s="206"/>
      <c r="Q51" s="50"/>
      <c r="R51" s="222" t="s">
        <v>706</v>
      </c>
      <c r="S51" s="223" t="str">
        <f>IF(INDEX('STATIC DATA'!C54:AF54,1,MATCH(A1,'STATIC DATA'!C4:AF4,0))="1Y","ANNUAL",(IF(INDEX('STATIC DATA'!C54:AF54,1,MATCH(A1,'STATIC DATA'!C4:AF4,0))="6M","SEMI-ANNUAL", "QUARTERLY")))</f>
        <v>QUARTERLY</v>
      </c>
      <c r="T51" s="53"/>
      <c r="V51" t="s">
        <v>453</v>
      </c>
      <c r="AB51" s="50"/>
      <c r="AC51" s="225" t="s">
        <v>762</v>
      </c>
      <c r="AD51" s="219" t="str">
        <f>INDEX('STATIC DATA'!C39:AF39,1,MATCH($A$1,'STATIC DATA'!$C$4:$AF$4,0))</f>
        <v>HKB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25" t="s">
        <v>761</v>
      </c>
      <c r="AZ51" s="219" t="s">
        <v>721</v>
      </c>
      <c r="BA51" s="53"/>
      <c r="BC51" t="s">
        <v>453</v>
      </c>
      <c r="BI51" s="50"/>
      <c r="BJ51" s="225" t="s">
        <v>763</v>
      </c>
      <c r="BK51" s="219" t="str">
        <f>INDEX('STATIC DATA'!N29:AL29,1,MATCH($A$1,'STATIC DATA'!N4:AL4,0))</f>
        <v>2D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G51" s="299"/>
      <c r="CH51" s="299"/>
      <c r="CJ51" t="s">
        <v>453</v>
      </c>
      <c r="CK51" t="s">
        <v>1131</v>
      </c>
      <c r="CM51" s="299"/>
      <c r="CN51" s="299"/>
      <c r="CO51" s="397"/>
      <c r="CP51" s="407"/>
      <c r="CQ51" s="407"/>
      <c r="CR51" s="407"/>
      <c r="CS51" s="407"/>
      <c r="CT51" s="206"/>
    </row>
    <row r="52" spans="6:98" x14ac:dyDescent="0.25">
      <c r="F52" s="50"/>
      <c r="G52" s="225" t="s">
        <v>707</v>
      </c>
      <c r="H52" s="226" t="s">
        <v>687</v>
      </c>
      <c r="I52" s="53"/>
      <c r="Q52" s="50"/>
      <c r="R52" s="222" t="s">
        <v>735</v>
      </c>
      <c r="S52" s="223" t="str">
        <f>IF(INDEX('STATIC DATA'!C56:AF56,1,MATCH(A1,'STATIC DATA'!C4:AF4,0))="1Y","ANNUAL",(IF(INDEX('STATIC DATA'!C56:AF56,1,MATCH(A1,'STATIC DATA'!C4:AF4,0))="6M","SEMI-ANNUAL", "QUARTERLY")))</f>
        <v>QUARTERLY</v>
      </c>
      <c r="T52" s="53"/>
      <c r="AB52" s="50"/>
      <c r="AC52" s="225" t="s">
        <v>763</v>
      </c>
      <c r="AD52" s="219" t="str">
        <f>INDEX('STATIC DATA'!C7:AF7,1,MATCH($A$1,'STATIC DATA'!C4:AF4,0))</f>
        <v>0D</v>
      </c>
      <c r="AE52" s="53"/>
      <c r="AM52" s="50"/>
      <c r="AN52" s="222" t="s">
        <v>775</v>
      </c>
      <c r="AO52" s="216" t="e">
        <f>INDEX('STATIC DATA'!C55:AB55,1,MATCH($A$1,'STATIC DATA'!C4:AB4,0))</f>
        <v>#N/A</v>
      </c>
      <c r="AP52" s="53"/>
      <c r="AX52" s="50"/>
      <c r="AY52" s="225" t="s">
        <v>762</v>
      </c>
      <c r="AZ52" s="219" t="str">
        <f>INDEX('STATIC DATA'!C39:AF39,1,MATCH($A$1,'STATIC DATA'!$C$4:$AF$4,0))</f>
        <v>HKB</v>
      </c>
      <c r="BA52" s="53"/>
      <c r="BI52" s="50"/>
      <c r="BJ52" s="220" t="s">
        <v>764</v>
      </c>
      <c r="BK52" s="238" t="s">
        <v>687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G52" s="299"/>
      <c r="CH52" s="299"/>
      <c r="CM52" s="299"/>
      <c r="CN52" s="299"/>
      <c r="CO52" s="397"/>
      <c r="CP52" s="407"/>
      <c r="CQ52" s="407"/>
      <c r="CR52" s="407"/>
      <c r="CS52" s="407"/>
      <c r="CT52" s="206"/>
    </row>
    <row r="53" spans="6:98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0" t="s">
        <v>764</v>
      </c>
      <c r="AD53" s="238" t="s">
        <v>687</v>
      </c>
      <c r="AE53" s="53"/>
      <c r="AG53" s="2" t="s">
        <v>454</v>
      </c>
      <c r="AM53" s="50"/>
      <c r="AN53" s="222" t="s">
        <v>776</v>
      </c>
      <c r="AO53" s="216" t="e">
        <f>INDEX('STATIC DATA'!C39:AB39,1,MATCH($A$1,'STATIC DATA'!$C$4:$AB$4,0))</f>
        <v>#N/A</v>
      </c>
      <c r="AP53" s="53"/>
      <c r="AX53" s="50"/>
      <c r="AY53" s="225" t="s">
        <v>763</v>
      </c>
      <c r="AZ53" s="216" t="str">
        <f>INDEX('STATIC DATA'!C7:AF7,1,MATCH($A$1,'STATIC DATA'!C4:AF4,0))</f>
        <v>0D</v>
      </c>
      <c r="BA53" s="53"/>
      <c r="BC53" s="2" t="s">
        <v>454</v>
      </c>
      <c r="BI53" s="50"/>
      <c r="BJ53" s="222" t="s">
        <v>765</v>
      </c>
      <c r="BK53" s="216" t="str">
        <f>INDEX('STATIC DATA'!C30:AF30,1,MATCH($A$1,'STATIC DATA'!$C$4:$AF$4,0))</f>
        <v>HKB:NYB:LNB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G53" s="332"/>
      <c r="CH53" s="332"/>
      <c r="CJ53" s="2" t="s">
        <v>454</v>
      </c>
      <c r="CM53" s="332"/>
      <c r="CN53" s="332"/>
      <c r="CO53" s="398"/>
      <c r="CP53" s="408"/>
      <c r="CQ53" s="408"/>
      <c r="CR53" s="408"/>
      <c r="CS53" s="407"/>
      <c r="CT53" s="206"/>
    </row>
    <row r="54" spans="6:98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HKD_OIS_CURVE@182:10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IF(ExistsHKDOIS,_xll.meLWOCurveCalibrate(W48,W49,W45,W50),"LOAD DEPENDENCY")</f>
        <v>HKD_SWAP_3M_CURVE@455:10</v>
      </c>
      <c r="AB54" s="50"/>
      <c r="AC54" s="222" t="s">
        <v>765</v>
      </c>
      <c r="AD54" s="216" t="str">
        <f>INDEX('STATIC DATA'!C39:AF39,1,MATCH($A$1,'STATIC DATA'!$C$4:$AF$4,0))</f>
        <v>HKB</v>
      </c>
      <c r="AE54" s="53"/>
      <c r="AG54" t="s">
        <v>442</v>
      </c>
      <c r="AH54" s="647" t="str">
        <f t="array" ref="AH54:AH57">IF(ExistsHKD3M,_xll.meLWOCurveCalibrate($AH$48,$AH$49,$AH$45,$AH$50),"LOAD DEPENDENCY")</f>
        <v>HKD_BASIS_6M_CURVE@457:10</v>
      </c>
      <c r="AM54" s="50"/>
      <c r="AN54" s="222" t="s">
        <v>777</v>
      </c>
      <c r="AO54" s="216" t="s">
        <v>721</v>
      </c>
      <c r="AP54" s="53"/>
      <c r="AX54" s="50"/>
      <c r="AY54" s="220" t="s">
        <v>764</v>
      </c>
      <c r="AZ54" s="238" t="s">
        <v>687</v>
      </c>
      <c r="BA54" s="53"/>
      <c r="BC54" t="s">
        <v>442</v>
      </c>
      <c r="BD54" s="647" t="str">
        <f t="array" ref="BD54:BD57">IF(ExistsHKD3M,_xll.meLWOCurveCalibrate($BD$48,$BD$49,$BD$45,$BD$50),"LOAD DEPENDENCY")</f>
        <v>HKD_BASIS_1M_CURVE@456:10</v>
      </c>
      <c r="BI54" s="50"/>
      <c r="BJ54" s="222" t="s">
        <v>766</v>
      </c>
      <c r="BK54" s="216" t="str">
        <f>INDEX('STATIC DATA'!C55:AF55,1,MATCH($A$1,'STATIC DATA'!C4:AF4,0))</f>
        <v>ACT/365</v>
      </c>
      <c r="BL54" s="53"/>
      <c r="BN54" t="s">
        <v>442</v>
      </c>
      <c r="BO54" s="647" t="str">
        <f t="array" ref="BO54:BO57">IF(AND(ExistsHKD3M,ExistsUSD3M),_xll.meLWOCurveCalibrate($BO$48,$BO$49,$BO$45,$BO$50,$BO$51),"LOAD DEPENDENCY")</f>
        <v>HKD_XCCYBASIS_CURVE@492:2</v>
      </c>
      <c r="BT54" s="50"/>
      <c r="BU54" s="55"/>
      <c r="BV54" s="55"/>
      <c r="BW54" s="55"/>
      <c r="BX54" s="332"/>
      <c r="BY54" s="270" t="s">
        <v>831</v>
      </c>
      <c r="BZ54" s="271" t="s">
        <v>936</v>
      </c>
      <c r="CA54" s="283"/>
      <c r="CB54" s="299"/>
      <c r="CD54" t="s">
        <v>442</v>
      </c>
      <c r="CE54" s="647" t="str">
        <f t="array" ref="CE54:CE57">IF(AND(ExistsHKDXCCY,ExistsEURXCCY),_xll.meLWOCurveCalibrate(CE48,CE49,CE45,CE50,CE51),"LOAD DEPENDENCY")</f>
        <v>HKD_EURCSA_CURVE@512:2</v>
      </c>
      <c r="CG54" s="332"/>
      <c r="CH54" s="332"/>
      <c r="CJ54" t="s">
        <v>442</v>
      </c>
      <c r="CK54" s="647" t="str">
        <f t="array" ref="CK54:CK57">IF(AND(ExistsHKDXCCY,ExistsJPYXCCY),_xll.meLWOCurveCalibrate(CK48,CK49,CK45,CK50,CK51),"LOAD DEPENDENCY")</f>
        <v>HKD_JPYCSA_CURVE@506:2</v>
      </c>
      <c r="CM54" s="332"/>
      <c r="CN54" s="332"/>
      <c r="CO54" s="398"/>
      <c r="CP54" s="408"/>
      <c r="CQ54" s="408"/>
      <c r="CR54" s="408"/>
      <c r="CS54" s="407"/>
      <c r="CT54" s="206"/>
    </row>
    <row r="55" spans="6:98" x14ac:dyDescent="0.25">
      <c r="F55" s="50"/>
      <c r="G55" s="220" t="s">
        <v>677</v>
      </c>
      <c r="H55" s="221" t="e">
        <f>INDEX('STATIC DATA'!C43:AB43,1,MATCH(A1,'STATIC DATA'!$C$4:$AB$4,0))</f>
        <v>#N/A</v>
      </c>
      <c r="I55" s="53"/>
      <c r="K55" t="s">
        <v>455</v>
      </c>
      <c r="L55" t="str">
        <v>HKDYC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HKDYC</v>
      </c>
      <c r="AB55" s="50"/>
      <c r="AC55" s="222" t="s">
        <v>766</v>
      </c>
      <c r="AD55" s="216" t="str">
        <f>INDEX('STATIC DATA'!C55:AF55,1,MATCH($A$1,'STATIC DATA'!C4:AF4,0))</f>
        <v>ACT/365</v>
      </c>
      <c r="AE55" s="53"/>
      <c r="AG55" t="s">
        <v>455</v>
      </c>
      <c r="AH55" t="str">
        <v>HKDYC</v>
      </c>
      <c r="AM55" s="50"/>
      <c r="AN55" s="222" t="s">
        <v>778</v>
      </c>
      <c r="AO55" s="216" t="e">
        <f>INDEX('STATIC DATA'!C39:AB39,1,MATCH($A$1,'STATIC DATA'!$C$4:$AB$4,0))</f>
        <v>#N/A</v>
      </c>
      <c r="AP55" s="53"/>
      <c r="AX55" s="50"/>
      <c r="AY55" s="222" t="s">
        <v>765</v>
      </c>
      <c r="AZ55" s="216" t="str">
        <f>INDEX('STATIC DATA'!C39:AF39,1,MATCH($A$1,'STATIC DATA'!$C$4:$AF$4,0))</f>
        <v>HKB</v>
      </c>
      <c r="BA55" s="53"/>
      <c r="BC55" t="s">
        <v>455</v>
      </c>
      <c r="BD55" t="str">
        <v>HKDYC</v>
      </c>
      <c r="BI55" s="50"/>
      <c r="BJ55" s="222" t="s">
        <v>767</v>
      </c>
      <c r="BK55" s="216" t="s">
        <v>458</v>
      </c>
      <c r="BL55" s="53"/>
      <c r="BN55" t="s">
        <v>455</v>
      </c>
      <c r="BO55" t="str">
        <v>HKDYC</v>
      </c>
      <c r="BT55" s="50"/>
      <c r="BU55" s="55"/>
      <c r="BV55" s="55"/>
      <c r="BW55" s="55"/>
      <c r="BX55" s="332"/>
      <c r="BZ55" s="263" t="str">
        <f>_xll.meLWOFXCurveCreate(BZ54,BV8,BZ45)</f>
        <v>#Error: CurveGenerator DISABLED does not exist</v>
      </c>
      <c r="CA55" s="283"/>
      <c r="CB55" s="299"/>
      <c r="CD55" t="s">
        <v>455</v>
      </c>
      <c r="CE55" t="str">
        <v>HKDYC</v>
      </c>
      <c r="CG55" s="332"/>
      <c r="CH55" s="332"/>
      <c r="CJ55" t="s">
        <v>455</v>
      </c>
      <c r="CK55" t="str">
        <v>HKDYC</v>
      </c>
      <c r="CM55" s="332"/>
      <c r="CN55" s="332"/>
      <c r="CO55" s="398"/>
      <c r="CP55" s="408"/>
      <c r="CQ55" s="408"/>
      <c r="CR55" s="408"/>
      <c r="CS55" s="407"/>
      <c r="CT55" s="206"/>
    </row>
    <row r="56" spans="6:98" x14ac:dyDescent="0.25">
      <c r="F56" s="50"/>
      <c r="G56" s="222" t="s">
        <v>709</v>
      </c>
      <c r="H56" s="223" t="e">
        <f>INDEX('STATIC DATA'!C53:AB53,1,MATCH(A1,'STATIC DATA'!C4:AB4,0))</f>
        <v>#N/A</v>
      </c>
      <c r="I56" s="53"/>
      <c r="K56" t="s">
        <v>456</v>
      </c>
      <c r="L56" t="str">
        <v>OIS:HKDOIS</v>
      </c>
      <c r="Q56" s="50"/>
      <c r="R56" s="222" t="s">
        <v>739</v>
      </c>
      <c r="S56" s="223" t="str">
        <f>INDEX('STATIC DATA'!C7:AF7,1,MATCH($A$1,'STATIC DATA'!C4:AF4,0))</f>
        <v>0D</v>
      </c>
      <c r="T56" s="53"/>
      <c r="V56" t="s">
        <v>456</v>
      </c>
      <c r="W56" s="206" t="str">
        <v>STD:HKD3M</v>
      </c>
      <c r="AB56" s="50"/>
      <c r="AC56" s="222" t="s">
        <v>767</v>
      </c>
      <c r="AD56" s="216" t="s">
        <v>458</v>
      </c>
      <c r="AE56" s="53"/>
      <c r="AG56" t="s">
        <v>456</v>
      </c>
      <c r="AH56" t="str">
        <v>3M6MBasis:HKD6M</v>
      </c>
      <c r="AM56" s="50"/>
      <c r="AN56" s="222" t="s">
        <v>779</v>
      </c>
      <c r="AO56" s="216" t="e">
        <f>INDEX('STATIC DATA'!C7:AB7,1,MATCH($A$1,'STATIC DATA'!C4:AB4,0))</f>
        <v>#N/A</v>
      </c>
      <c r="AP56" s="53"/>
      <c r="AX56" s="50"/>
      <c r="AY56" s="222" t="s">
        <v>766</v>
      </c>
      <c r="AZ56" s="216" t="str">
        <f>INDEX('STATIC DATA'!Y55:AY55,1,MATCH($A$1,'STATIC DATA'!Y4:AV4,0))</f>
        <v>ACT/365</v>
      </c>
      <c r="BA56" s="53"/>
      <c r="BC56" t="s">
        <v>456</v>
      </c>
      <c r="BD56" t="str">
        <v>1M3MBasis:HKD1M</v>
      </c>
      <c r="BI56" s="50"/>
      <c r="BJ56" s="222" t="s">
        <v>769</v>
      </c>
      <c r="BK56" s="239" t="s">
        <v>687</v>
      </c>
      <c r="BL56" s="53"/>
      <c r="BN56" t="s">
        <v>456</v>
      </c>
      <c r="BO56" t="str">
        <v>XccyBasis:HKDDF_USDCSA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FwdFXConstEUR:HKDDF_EURCSA</v>
      </c>
      <c r="CG56" s="332"/>
      <c r="CH56" s="332"/>
      <c r="CJ56" t="s">
        <v>456</v>
      </c>
      <c r="CK56" t="str">
        <v>FwdFXConstJPY:HKDDF_JPYCSA</v>
      </c>
      <c r="CM56" s="332"/>
      <c r="CN56" s="332"/>
      <c r="CO56" s="398"/>
      <c r="CP56" s="408"/>
      <c r="CQ56" s="408"/>
      <c r="CR56" s="408"/>
      <c r="CS56" s="407"/>
      <c r="CT56" s="206"/>
    </row>
    <row r="57" spans="6:98" x14ac:dyDescent="0.25">
      <c r="F57" s="50"/>
      <c r="G57" s="222" t="s">
        <v>710</v>
      </c>
      <c r="H57" s="223" t="e">
        <f>IF(INDEX('STATIC DATA'!C54:AB54,1,MATCH(A1,'STATIC DATA'!C4:AB4,0))="1Y","ANNUAL",(IF(INDEX('STATIC DATA'!C54:AB54,1,MATCH(A1,'STATIC DATA'!C4:AB4,0))="6M","SEMI-ANNUAL", "QUARTERLY")))</f>
        <v>#N/A</v>
      </c>
      <c r="I57" s="53"/>
      <c r="K57" t="s">
        <v>664</v>
      </c>
      <c r="L57" t="str">
        <v>0.024000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0.005000 sec</v>
      </c>
      <c r="AB57" s="50"/>
      <c r="AC57" s="222" t="s">
        <v>769</v>
      </c>
      <c r="AD57" s="216" t="s">
        <v>687</v>
      </c>
      <c r="AE57" s="53"/>
      <c r="AG57" t="s">
        <v>664</v>
      </c>
      <c r="AH57" t="str">
        <v>0.004000 sec</v>
      </c>
      <c r="AM57" s="50"/>
      <c r="AN57" s="222" t="s">
        <v>780</v>
      </c>
      <c r="AO57" s="216" t="s">
        <v>687</v>
      </c>
      <c r="AP57" s="53"/>
      <c r="AX57" s="50"/>
      <c r="AY57" s="222" t="s">
        <v>767</v>
      </c>
      <c r="AZ57" s="216" t="s">
        <v>794</v>
      </c>
      <c r="BA57" s="53"/>
      <c r="BC57" t="s">
        <v>664</v>
      </c>
      <c r="BD57" t="str">
        <v>0.009000 sec</v>
      </c>
      <c r="BI57" s="50"/>
      <c r="BJ57" s="222" t="s">
        <v>770</v>
      </c>
      <c r="BK57" s="216" t="str">
        <f>INDEX('STATIC DATA'!N29:AL29,1,MATCH($A$1,'STATIC DATA'!N4:AL4,0))</f>
        <v>2D</v>
      </c>
      <c r="BL57" s="53"/>
      <c r="BN57" t="s">
        <v>664</v>
      </c>
      <c r="BO57" t="str">
        <v>0.009000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G57" s="332"/>
      <c r="CH57" s="332"/>
      <c r="CJ57" t="s">
        <v>664</v>
      </c>
      <c r="CK57" t="str">
        <v>0.001000 sec</v>
      </c>
      <c r="CM57" s="332"/>
      <c r="CN57" s="332"/>
      <c r="CO57" s="398"/>
      <c r="CP57" s="408"/>
      <c r="CQ57" s="408"/>
      <c r="CR57" s="408"/>
      <c r="CS57" s="407"/>
      <c r="CT57" s="206"/>
    </row>
    <row r="58" spans="6:98" x14ac:dyDescent="0.25">
      <c r="F58" s="50"/>
      <c r="G58" s="225" t="s">
        <v>686</v>
      </c>
      <c r="H58" s="226" t="s">
        <v>687</v>
      </c>
      <c r="I58" s="53"/>
      <c r="Q58" s="50"/>
      <c r="R58" s="222" t="s">
        <v>740</v>
      </c>
      <c r="S58" s="223" t="s">
        <v>718</v>
      </c>
      <c r="T58" s="53"/>
      <c r="AB58" s="50"/>
      <c r="AC58" s="225" t="s">
        <v>770</v>
      </c>
      <c r="AD58" s="219" t="str">
        <f>INDEX('STATIC DATA'!C7:AF7,1,MATCH($A$1,'STATIC DATA'!C4:AF4,0))</f>
        <v>0D</v>
      </c>
      <c r="AE58" s="53"/>
      <c r="AM58" s="50"/>
      <c r="AN58" s="233" t="s">
        <v>781</v>
      </c>
      <c r="AO58" s="241" t="s">
        <v>782</v>
      </c>
      <c r="AP58" s="53"/>
      <c r="AX58" s="50"/>
      <c r="AY58" s="222" t="s">
        <v>768</v>
      </c>
      <c r="AZ58" s="239" t="s">
        <v>794</v>
      </c>
      <c r="BA58" s="53"/>
      <c r="BI58" s="50"/>
      <c r="BJ58" s="234" t="s">
        <v>772</v>
      </c>
      <c r="BK58" s="242" t="s">
        <v>426</v>
      </c>
      <c r="BL58" s="249" t="s">
        <v>801</v>
      </c>
      <c r="BT58" s="50"/>
      <c r="BU58" s="55"/>
      <c r="BV58" s="55"/>
      <c r="BW58" s="55"/>
      <c r="BX58" s="332"/>
      <c r="BY58" s="279"/>
      <c r="BZ58" s="282"/>
      <c r="CA58" s="283"/>
      <c r="CB58" s="299"/>
      <c r="CG58" s="332"/>
      <c r="CH58" s="332"/>
      <c r="CM58" s="332"/>
      <c r="CN58" s="332"/>
      <c r="CO58" s="398"/>
      <c r="CP58" s="408"/>
      <c r="CQ58" s="408"/>
      <c r="CR58" s="408"/>
      <c r="CS58" s="407"/>
      <c r="CT58" s="206"/>
    </row>
    <row r="59" spans="6:98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34" t="s">
        <v>771</v>
      </c>
      <c r="AD59" s="242" t="s">
        <v>714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769</v>
      </c>
      <c r="AZ59" s="216" t="s">
        <v>687</v>
      </c>
      <c r="BA59" s="53"/>
      <c r="BI59" s="50"/>
      <c r="BJ59" s="234" t="s">
        <v>771</v>
      </c>
      <c r="BK59" s="242" t="s">
        <v>714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G59" s="332"/>
      <c r="CH59" s="332"/>
      <c r="CM59" s="332"/>
      <c r="CN59" s="332"/>
      <c r="CO59" s="398"/>
      <c r="CP59" s="408"/>
      <c r="CQ59" s="408"/>
      <c r="CR59" s="408"/>
      <c r="CS59" s="407"/>
      <c r="CT59" s="206"/>
    </row>
    <row r="60" spans="6:98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34" t="s">
        <v>772</v>
      </c>
      <c r="AD60" s="242" t="s">
        <v>426</v>
      </c>
      <c r="AE60" s="53"/>
      <c r="AM60" s="50"/>
      <c r="AN60" s="222" t="s">
        <v>784</v>
      </c>
      <c r="AO60" s="216" t="s">
        <v>675</v>
      </c>
      <c r="AP60" s="53"/>
      <c r="AX60" s="50"/>
      <c r="AY60" s="225" t="s">
        <v>770</v>
      </c>
      <c r="AZ60" s="216" t="str">
        <f>INDEX('STATIC DATA'!C7:AF7,1,MATCH($A$1,'STATIC DATA'!C4:AF4,0))</f>
        <v>0D</v>
      </c>
      <c r="BA60" s="53"/>
      <c r="BI60" s="50"/>
      <c r="BJ60" s="245" t="s">
        <v>774</v>
      </c>
      <c r="BK60" s="244" t="s">
        <v>49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G60" s="332"/>
      <c r="CH60" s="332"/>
      <c r="CM60" s="332"/>
      <c r="CN60" s="332"/>
      <c r="CO60" s="398"/>
      <c r="CP60" s="408"/>
      <c r="CQ60" s="408"/>
      <c r="CR60" s="408"/>
      <c r="CS60" s="407"/>
      <c r="CT60" s="206"/>
    </row>
    <row r="61" spans="6:98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45" t="s">
        <v>774</v>
      </c>
      <c r="AD61" s="244" t="s">
        <v>49</v>
      </c>
      <c r="AE61" s="53"/>
      <c r="AM61" s="50"/>
      <c r="AN61" s="222" t="s">
        <v>785</v>
      </c>
      <c r="AO61" s="216" t="s">
        <v>718</v>
      </c>
      <c r="AP61" s="53"/>
      <c r="AX61" s="50"/>
      <c r="AY61" s="234" t="s">
        <v>771</v>
      </c>
      <c r="AZ61" s="248" t="s">
        <v>714</v>
      </c>
      <c r="BA61" s="249" t="s">
        <v>801</v>
      </c>
      <c r="BI61" s="50"/>
      <c r="BJ61" s="222" t="s">
        <v>775</v>
      </c>
      <c r="BK61" s="216" t="str">
        <f>INDEX('STATIC DATA'!C55:AF55,1,MATCH($A$1,'STATIC DATA'!C4:AF4,0))</f>
        <v>ACT/365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G61" s="299"/>
      <c r="CH61" s="299"/>
      <c r="CM61" s="299"/>
      <c r="CN61" s="299"/>
      <c r="CO61" s="397"/>
      <c r="CP61" s="407"/>
      <c r="CQ61" s="407"/>
      <c r="CR61" s="407"/>
      <c r="CS61" s="407"/>
      <c r="CT61" s="206"/>
    </row>
    <row r="62" spans="6:98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22" t="s">
        <v>775</v>
      </c>
      <c r="AD62" s="216" t="str">
        <f>INDEX('STATIC DATA'!C55:AF55,1,MATCH($A$1,'STATIC DATA'!C4:AF4,0))</f>
        <v>ACT/365</v>
      </c>
      <c r="AE62" s="53"/>
      <c r="AM62" s="50"/>
      <c r="AN62" s="233" t="s">
        <v>786</v>
      </c>
      <c r="AO62" s="246" t="s">
        <v>322</v>
      </c>
      <c r="AP62" s="53"/>
      <c r="AX62" s="50"/>
      <c r="AY62" s="234" t="s">
        <v>772</v>
      </c>
      <c r="AZ62" s="242" t="s">
        <v>426</v>
      </c>
      <c r="BA62" s="53"/>
      <c r="BI62" s="50"/>
      <c r="BJ62" s="222" t="s">
        <v>776</v>
      </c>
      <c r="BK62" s="216" t="str">
        <f>INDEX('STATIC DATA'!C30:AF30,1,MATCH($A$1,'STATIC DATA'!$C$4:$AF$4,0))</f>
        <v>HKB:NYB:LNB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G62" s="299"/>
      <c r="CH62" s="299"/>
      <c r="CM62" s="299"/>
      <c r="CN62" s="299"/>
      <c r="CO62" s="397"/>
      <c r="CP62" s="407"/>
      <c r="CQ62" s="407"/>
      <c r="CR62" s="407"/>
      <c r="CS62" s="407"/>
      <c r="CT62" s="206"/>
    </row>
    <row r="63" spans="6:98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776</v>
      </c>
      <c r="AD63" s="216" t="str">
        <f>INDEX('STATIC DATA'!C39:AF39,1,MATCH($A$1,'STATIC DATA'!$C$4:$AF$4,0))</f>
        <v>HKB</v>
      </c>
      <c r="AE63" s="53"/>
      <c r="AM63" s="50"/>
      <c r="AN63" s="222" t="s">
        <v>787</v>
      </c>
      <c r="AO63" s="216" t="s">
        <v>720</v>
      </c>
      <c r="AP63" s="53"/>
      <c r="AX63" s="50"/>
      <c r="AY63" s="245" t="s">
        <v>774</v>
      </c>
      <c r="AZ63" s="244" t="s">
        <v>300</v>
      </c>
      <c r="BA63" s="53"/>
      <c r="BI63" s="50"/>
      <c r="BJ63" s="222" t="s">
        <v>777</v>
      </c>
      <c r="BK63" s="216" t="s">
        <v>721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G63" s="299"/>
      <c r="CH63" s="299"/>
      <c r="CM63" s="299"/>
      <c r="CN63" s="299"/>
      <c r="CO63" s="397"/>
      <c r="CP63" s="407"/>
      <c r="CQ63" s="407"/>
      <c r="CR63" s="407"/>
      <c r="CS63" s="407"/>
      <c r="CT63" s="206"/>
    </row>
    <row r="64" spans="6:98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2" t="s">
        <v>777</v>
      </c>
      <c r="AD64" s="216" t="s">
        <v>721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2" t="s">
        <v>775</v>
      </c>
      <c r="AZ64" s="216" t="str">
        <f>INDEX('STATIC DATA'!Y55:AY55,1,MATCH($A$1,'STATIC DATA'!Y4:AV4,0))</f>
        <v>ACT/365</v>
      </c>
      <c r="BA64" s="53"/>
      <c r="BI64" s="50"/>
      <c r="BJ64" s="222" t="s">
        <v>778</v>
      </c>
      <c r="BK64" s="216" t="str">
        <f>INDEX('STATIC DATA'!C30:AF30,1,MATCH($A$1,'STATIC DATA'!$C$4:$AF$4,0))</f>
        <v>HKB:NYB:LNB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G64" s="299"/>
      <c r="CH64" s="299"/>
      <c r="CM64" s="299"/>
      <c r="CN64" s="299"/>
      <c r="CO64" s="397"/>
      <c r="CP64" s="407"/>
      <c r="CQ64" s="407"/>
      <c r="CR64" s="407"/>
      <c r="CS64" s="407"/>
      <c r="CT64" s="206"/>
    </row>
    <row r="65" spans="6:98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2" t="s">
        <v>778</v>
      </c>
      <c r="AD65" s="216" t="str">
        <f>INDEX('STATIC DATA'!C39:AF39,1,MATCH($A$1,'STATIC DATA'!$C$4:$AF$4,0))</f>
        <v>HKB</v>
      </c>
      <c r="AE65" s="53"/>
      <c r="AM65" s="50"/>
      <c r="AN65" s="225" t="s">
        <v>698</v>
      </c>
      <c r="AO65" s="219">
        <v>1000</v>
      </c>
      <c r="AP65" s="53"/>
      <c r="AX65" s="50"/>
      <c r="AY65" s="222" t="s">
        <v>776</v>
      </c>
      <c r="AZ65" s="216" t="str">
        <f>INDEX('STATIC DATA'!C39:AF39,1,MATCH($A$1,'STATIC DATA'!$C$4:$AF$4,0))</f>
        <v>HKB</v>
      </c>
      <c r="BA65" s="53"/>
      <c r="BI65" s="50"/>
      <c r="BJ65" s="222" t="s">
        <v>779</v>
      </c>
      <c r="BK65" s="216" t="str">
        <f>INDEX('STATIC DATA'!N29:AL29,1,MATCH($A$1,'STATIC DATA'!N4:AL4,0))</f>
        <v>2D</v>
      </c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G65" s="299"/>
      <c r="CH65" s="299"/>
      <c r="CM65" s="299"/>
      <c r="CN65" s="299"/>
      <c r="CO65" s="397"/>
      <c r="CP65" s="407"/>
      <c r="CQ65" s="407"/>
      <c r="CR65" s="407"/>
      <c r="CS65" s="407"/>
      <c r="CT65" s="206"/>
    </row>
    <row r="66" spans="6:98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2" t="s">
        <v>779</v>
      </c>
      <c r="AD66" s="216" t="str">
        <f>INDEX('STATIC DATA'!C7:AF7,1,MATCH($A$1,'STATIC DATA'!C4:AF4,0))</f>
        <v>0D</v>
      </c>
      <c r="AE66" s="53"/>
      <c r="AM66" s="50"/>
      <c r="AN66" s="225" t="s">
        <v>788</v>
      </c>
      <c r="AO66" s="219" t="s">
        <v>720</v>
      </c>
      <c r="AP66" s="53"/>
      <c r="AX66" s="50"/>
      <c r="AY66" s="222" t="s">
        <v>777</v>
      </c>
      <c r="AZ66" s="216" t="s">
        <v>721</v>
      </c>
      <c r="BA66" s="53"/>
      <c r="BI66" s="50"/>
      <c r="BJ66" s="222" t="s">
        <v>780</v>
      </c>
      <c r="BK66" s="216" t="s">
        <v>687</v>
      </c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G66" s="299"/>
      <c r="CH66" s="299"/>
      <c r="CM66" s="299"/>
      <c r="CN66" s="299"/>
      <c r="CO66" s="397"/>
      <c r="CP66" s="407"/>
      <c r="CQ66" s="407"/>
      <c r="CR66" s="407"/>
      <c r="CS66" s="407"/>
      <c r="CT66" s="206"/>
    </row>
    <row r="67" spans="6:98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2" t="s">
        <v>780</v>
      </c>
      <c r="AD67" s="216" t="s">
        <v>687</v>
      </c>
      <c r="AE67" s="53"/>
      <c r="AM67" s="50"/>
      <c r="AN67" s="225" t="s">
        <v>789</v>
      </c>
      <c r="AO67" s="219" t="s">
        <v>718</v>
      </c>
      <c r="AP67" s="53"/>
      <c r="AX67" s="50"/>
      <c r="AY67" s="222" t="s">
        <v>778</v>
      </c>
      <c r="AZ67" s="216" t="str">
        <f>INDEX('STATIC DATA'!C39:AF39,1,MATCH($A$1,'STATIC DATA'!$C$4:$AF$4,0))</f>
        <v>HKB</v>
      </c>
      <c r="BA67" s="53"/>
      <c r="BI67" s="50"/>
      <c r="BJ67" s="233" t="s">
        <v>781</v>
      </c>
      <c r="BK67" s="241" t="s">
        <v>810</v>
      </c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G67" s="299"/>
      <c r="CH67" s="299"/>
      <c r="CM67" s="299"/>
      <c r="CN67" s="299"/>
      <c r="CO67" s="397"/>
      <c r="CP67" s="407"/>
      <c r="CQ67" s="407"/>
      <c r="CR67" s="407"/>
      <c r="CS67" s="407"/>
      <c r="CT67" s="206"/>
    </row>
    <row r="68" spans="6:98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33" t="s">
        <v>781</v>
      </c>
      <c r="AD68" s="241" t="s">
        <v>782</v>
      </c>
      <c r="AE68" s="53"/>
      <c r="AM68" s="50"/>
      <c r="AN68" s="225" t="s">
        <v>688</v>
      </c>
      <c r="AO68" s="219">
        <v>31</v>
      </c>
      <c r="AP68" s="53"/>
      <c r="AX68" s="50"/>
      <c r="AY68" s="222" t="s">
        <v>779</v>
      </c>
      <c r="AZ68" s="216" t="str">
        <f>INDEX('STATIC DATA'!C7:AF7,1,MATCH($A$1,'STATIC DATA'!C4:AF4,0))</f>
        <v>0D</v>
      </c>
      <c r="BA68" s="53"/>
      <c r="BI68" s="50"/>
      <c r="BJ68" s="222" t="s">
        <v>811</v>
      </c>
      <c r="BK68" s="216" t="b">
        <v>0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G68" s="299"/>
      <c r="CH68" s="299"/>
      <c r="CM68" s="299"/>
      <c r="CN68" s="299"/>
      <c r="CO68" s="397"/>
      <c r="CP68" s="407"/>
      <c r="CQ68" s="407"/>
      <c r="CR68" s="407"/>
      <c r="CS68" s="407"/>
      <c r="CT68" s="206"/>
    </row>
    <row r="69" spans="6:98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222" t="s">
        <v>783</v>
      </c>
      <c r="AD69" s="216" t="s">
        <v>718</v>
      </c>
      <c r="AE69" s="53"/>
      <c r="AM69" s="50"/>
      <c r="AN69" s="85"/>
      <c r="AO69" s="85"/>
      <c r="AP69" s="53"/>
      <c r="AX69" s="50"/>
      <c r="AY69" s="222" t="s">
        <v>780</v>
      </c>
      <c r="AZ69" s="216" t="s">
        <v>687</v>
      </c>
      <c r="BA69" s="53"/>
      <c r="BI69" s="50"/>
      <c r="BJ69" s="222" t="s">
        <v>812</v>
      </c>
      <c r="BK69" s="216" t="b">
        <v>1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G69" s="299"/>
      <c r="CH69" s="299"/>
      <c r="CM69" s="299"/>
      <c r="CN69" s="299"/>
      <c r="CO69" s="397"/>
      <c r="CP69" s="407"/>
      <c r="CQ69" s="407"/>
      <c r="CR69" s="407"/>
      <c r="CS69" s="407"/>
      <c r="CT69" s="206"/>
    </row>
    <row r="70" spans="6:98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222" t="s">
        <v>784</v>
      </c>
      <c r="AD70" s="216" t="s">
        <v>675</v>
      </c>
      <c r="AE70" s="53"/>
      <c r="AM70" s="50"/>
      <c r="AN70" s="85"/>
      <c r="AO70" s="85"/>
      <c r="AP70" s="53"/>
      <c r="AX70" s="50"/>
      <c r="AY70" s="233" t="s">
        <v>781</v>
      </c>
      <c r="AZ70" s="241" t="s">
        <v>791</v>
      </c>
      <c r="BA70" s="53"/>
      <c r="BI70" s="50"/>
      <c r="BJ70" s="222" t="s">
        <v>688</v>
      </c>
      <c r="BK70" s="216">
        <v>31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G70" s="299"/>
      <c r="CH70" s="299"/>
      <c r="CM70" s="299"/>
      <c r="CN70" s="299"/>
      <c r="CO70" s="397"/>
      <c r="CP70" s="407"/>
      <c r="CQ70" s="407"/>
      <c r="CR70" s="407"/>
      <c r="CS70" s="407"/>
      <c r="CT70" s="206"/>
    </row>
    <row r="71" spans="6:98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222" t="s">
        <v>785</v>
      </c>
      <c r="AD71" s="216" t="s">
        <v>718</v>
      </c>
      <c r="AE71" s="53"/>
      <c r="AM71" s="50"/>
      <c r="AN71" s="85"/>
      <c r="AO71" s="85"/>
      <c r="AP71" s="53"/>
      <c r="AX71" s="50"/>
      <c r="AY71" s="222" t="s">
        <v>783</v>
      </c>
      <c r="AZ71" s="216" t="s">
        <v>718</v>
      </c>
      <c r="BA71" s="53"/>
      <c r="BI71" s="50"/>
      <c r="BJ71" s="222" t="s">
        <v>689</v>
      </c>
      <c r="BK71" s="216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G71" s="299"/>
      <c r="CH71" s="299"/>
      <c r="CM71" s="299"/>
      <c r="CN71" s="299"/>
      <c r="CO71" s="397"/>
      <c r="CP71" s="407"/>
      <c r="CQ71" s="407"/>
      <c r="CR71" s="407"/>
      <c r="CS71" s="407"/>
      <c r="CT71" s="206"/>
    </row>
    <row r="72" spans="6:98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233" t="s">
        <v>786</v>
      </c>
      <c r="AD72" s="246" t="s">
        <v>46</v>
      </c>
      <c r="AE72" s="53"/>
      <c r="AM72" s="50"/>
      <c r="AN72" s="85"/>
      <c r="AO72" s="85"/>
      <c r="AP72" s="53"/>
      <c r="AX72" s="50"/>
      <c r="AY72" s="222" t="s">
        <v>784</v>
      </c>
      <c r="AZ72" s="216" t="s">
        <v>675</v>
      </c>
      <c r="BA72" s="53"/>
      <c r="BI72" s="50"/>
      <c r="BJ72" s="222" t="s">
        <v>740</v>
      </c>
      <c r="BK72" s="216" t="b">
        <v>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G72" s="299"/>
      <c r="CH72" s="299"/>
      <c r="CM72" s="299"/>
      <c r="CN72" s="299"/>
      <c r="CO72" s="397"/>
      <c r="CP72" s="407"/>
      <c r="CQ72" s="407"/>
      <c r="CR72" s="407"/>
      <c r="CS72" s="407"/>
      <c r="CT72" s="206"/>
    </row>
    <row r="73" spans="6:98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222" t="s">
        <v>787</v>
      </c>
      <c r="AD73" s="216" t="s">
        <v>720</v>
      </c>
      <c r="AE73" s="53"/>
      <c r="AM73" s="50"/>
      <c r="AN73" s="85"/>
      <c r="AO73" s="85"/>
      <c r="AP73" s="53"/>
      <c r="AX73" s="50"/>
      <c r="AY73" s="222" t="s">
        <v>785</v>
      </c>
      <c r="AZ73" s="216" t="s">
        <v>718</v>
      </c>
      <c r="BA73" s="53"/>
      <c r="BI73" s="50"/>
      <c r="BJ73" s="222" t="s">
        <v>813</v>
      </c>
      <c r="BK73" s="216" t="b">
        <v>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G73" s="299"/>
      <c r="CH73" s="299"/>
      <c r="CM73" s="299"/>
      <c r="CN73" s="299"/>
      <c r="CO73" s="397"/>
      <c r="CP73" s="407"/>
      <c r="CQ73" s="407"/>
      <c r="CR73" s="407"/>
      <c r="CS73" s="407"/>
      <c r="CT73" s="206"/>
    </row>
    <row r="74" spans="6:98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225" t="s">
        <v>697</v>
      </c>
      <c r="AD74" s="240">
        <v>1.0000000000000003E-9</v>
      </c>
      <c r="AE74" s="53"/>
      <c r="AM74" s="50"/>
      <c r="AN74" s="85"/>
      <c r="AO74" s="85"/>
      <c r="AP74" s="53"/>
      <c r="AX74" s="50"/>
      <c r="AY74" s="233" t="s">
        <v>786</v>
      </c>
      <c r="AZ74" s="246" t="s">
        <v>300</v>
      </c>
      <c r="BA74" s="53"/>
      <c r="BI74" s="50"/>
      <c r="BJ74" s="233"/>
      <c r="BK74" s="246"/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G74" s="299"/>
      <c r="CH74" s="299"/>
      <c r="CM74" s="299"/>
      <c r="CN74" s="299"/>
      <c r="CO74" s="397"/>
      <c r="CP74" s="407"/>
      <c r="CQ74" s="407"/>
      <c r="CR74" s="407"/>
      <c r="CS74" s="407"/>
      <c r="CT74" s="206"/>
    </row>
    <row r="75" spans="6:98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225" t="s">
        <v>698</v>
      </c>
      <c r="AD75" s="219">
        <v>1000</v>
      </c>
      <c r="AE75" s="53"/>
      <c r="AM75" s="50"/>
      <c r="AN75" s="85"/>
      <c r="AO75" s="85"/>
      <c r="AP75" s="53"/>
      <c r="AX75" s="50"/>
      <c r="AY75" s="222" t="s">
        <v>787</v>
      </c>
      <c r="AZ75" s="216" t="s">
        <v>720</v>
      </c>
      <c r="BA75" s="53"/>
      <c r="BI75" s="50"/>
      <c r="BJ75" s="252"/>
      <c r="BK75" s="253"/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G75" s="299"/>
      <c r="CH75" s="299"/>
      <c r="CM75" s="299"/>
      <c r="CN75" s="299"/>
      <c r="CO75" s="397"/>
      <c r="CP75" s="407"/>
      <c r="CQ75" s="407"/>
      <c r="CR75" s="407"/>
      <c r="CS75" s="407"/>
      <c r="CT75" s="206"/>
    </row>
    <row r="76" spans="6:98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225" t="s">
        <v>788</v>
      </c>
      <c r="AD76" s="219" t="s">
        <v>720</v>
      </c>
      <c r="AE76" s="53"/>
      <c r="AM76" s="50"/>
      <c r="AN76" s="85"/>
      <c r="AO76" s="85"/>
      <c r="AP76" s="53"/>
      <c r="AX76" s="50"/>
      <c r="AY76" s="225" t="s">
        <v>697</v>
      </c>
      <c r="AZ76" s="240">
        <v>1.0000000000000003E-9</v>
      </c>
      <c r="BA76" s="53"/>
      <c r="BI76" s="50"/>
      <c r="BJ76" s="250"/>
      <c r="BK76" s="254"/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G76" s="299"/>
      <c r="CH76" s="299"/>
      <c r="CM76" s="299"/>
      <c r="CN76" s="299"/>
      <c r="CO76" s="397"/>
      <c r="CP76" s="407"/>
      <c r="CQ76" s="407"/>
      <c r="CR76" s="407"/>
      <c r="CS76" s="407"/>
      <c r="CT76" s="206"/>
    </row>
    <row r="77" spans="6:98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225" t="s">
        <v>789</v>
      </c>
      <c r="AD77" s="219" t="s">
        <v>718</v>
      </c>
      <c r="AE77" s="53"/>
      <c r="AM77" s="50"/>
      <c r="AN77" s="85"/>
      <c r="AO77" s="85"/>
      <c r="AP77" s="53"/>
      <c r="AX77" s="50"/>
      <c r="AY77" s="225" t="s">
        <v>698</v>
      </c>
      <c r="AZ77" s="219">
        <v>1000</v>
      </c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G77" s="299"/>
      <c r="CH77" s="299"/>
      <c r="CM77" s="299"/>
      <c r="CN77" s="299"/>
      <c r="CO77" s="397"/>
      <c r="CP77" s="407"/>
      <c r="CQ77" s="407"/>
      <c r="CR77" s="407"/>
      <c r="CS77" s="407"/>
      <c r="CT77" s="206"/>
    </row>
    <row r="78" spans="6:98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225" t="s">
        <v>688</v>
      </c>
      <c r="AD78" s="219">
        <v>31</v>
      </c>
      <c r="AE78" s="53"/>
      <c r="AM78" s="50"/>
      <c r="AN78" s="85"/>
      <c r="AO78" s="85"/>
      <c r="AP78" s="53"/>
      <c r="AX78" s="50"/>
      <c r="AY78" s="225" t="s">
        <v>788</v>
      </c>
      <c r="AZ78" s="219" t="s">
        <v>720</v>
      </c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G78" s="299"/>
      <c r="CH78" s="299"/>
      <c r="CM78" s="299"/>
      <c r="CN78" s="299"/>
      <c r="CO78" s="397"/>
      <c r="CP78" s="407"/>
      <c r="CQ78" s="407"/>
      <c r="CR78" s="407"/>
      <c r="CS78" s="407"/>
      <c r="CT78" s="206"/>
    </row>
    <row r="79" spans="6:98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225" t="s">
        <v>789</v>
      </c>
      <c r="AZ79" s="219" t="s">
        <v>718</v>
      </c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G79" s="299"/>
      <c r="CH79" s="299"/>
      <c r="CM79" s="299"/>
      <c r="CN79" s="299"/>
      <c r="CO79" s="397"/>
      <c r="CP79" s="407"/>
      <c r="CQ79" s="407"/>
      <c r="CR79" s="407"/>
      <c r="CS79" s="407"/>
      <c r="CT79" s="206"/>
    </row>
    <row r="80" spans="6:98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225" t="s">
        <v>688</v>
      </c>
      <c r="AZ80" s="219">
        <v>31</v>
      </c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G80" s="299"/>
      <c r="CH80" s="299"/>
      <c r="CM80" s="299"/>
      <c r="CN80" s="299"/>
      <c r="CO80" s="397"/>
      <c r="CP80" s="407"/>
      <c r="CQ80" s="407"/>
      <c r="CR80" s="407"/>
      <c r="CS80" s="407"/>
      <c r="CT80" s="206"/>
    </row>
    <row r="81" spans="6:98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G81" s="299"/>
      <c r="CH81" s="299"/>
      <c r="CM81" s="299"/>
      <c r="CN81" s="299"/>
      <c r="CO81" s="397"/>
      <c r="CP81" s="407"/>
      <c r="CQ81" s="407"/>
      <c r="CR81" s="407"/>
      <c r="CS81" s="407"/>
      <c r="CT81" s="206"/>
    </row>
    <row r="82" spans="6:98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G82" s="299"/>
      <c r="CH82" s="299"/>
      <c r="CM82" s="299"/>
      <c r="CN82" s="299"/>
      <c r="CO82" s="397"/>
      <c r="CP82" s="407"/>
      <c r="CQ82" s="407"/>
      <c r="CR82" s="407"/>
      <c r="CS82" s="407"/>
      <c r="CT82" s="206"/>
    </row>
    <row r="83" spans="6:98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332"/>
      <c r="CG83" s="299"/>
      <c r="CH83" s="299"/>
      <c r="CM83" s="299"/>
      <c r="CN83" s="299"/>
      <c r="CO83" s="397"/>
      <c r="CP83" s="407"/>
      <c r="CQ83" s="407"/>
      <c r="CR83" s="407"/>
      <c r="CS83" s="407"/>
      <c r="CT83" s="206"/>
    </row>
    <row r="84" spans="6:98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G84" s="299"/>
      <c r="CH84" s="299"/>
      <c r="CM84" s="299"/>
      <c r="CN84" s="299"/>
      <c r="CO84" s="397"/>
      <c r="CP84" s="407"/>
      <c r="CQ84" s="407"/>
      <c r="CR84" s="407"/>
      <c r="CS84" s="407"/>
      <c r="CT84" s="206"/>
    </row>
    <row r="85" spans="6:98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G85" s="299"/>
      <c r="CH85" s="299"/>
      <c r="CM85" s="299"/>
      <c r="CN85" s="299"/>
      <c r="CO85" s="397"/>
      <c r="CP85" s="407"/>
      <c r="CQ85" s="407"/>
      <c r="CR85" s="407"/>
      <c r="CS85" s="407"/>
      <c r="CT85" s="206"/>
    </row>
    <row r="86" spans="6:98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G86" s="299"/>
      <c r="CH86" s="299"/>
      <c r="CM86" s="299"/>
      <c r="CN86" s="299"/>
      <c r="CO86" s="397"/>
      <c r="CP86" s="407"/>
      <c r="CQ86" s="407"/>
      <c r="CR86" s="407"/>
      <c r="CS86" s="407"/>
      <c r="CT86" s="206"/>
    </row>
    <row r="87" spans="6:98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G87" s="299"/>
      <c r="CH87" s="299"/>
      <c r="CM87" s="299"/>
      <c r="CN87" s="299"/>
      <c r="CO87" s="397"/>
      <c r="CP87" s="407"/>
      <c r="CQ87" s="407"/>
      <c r="CR87" s="407"/>
      <c r="CS87" s="407"/>
      <c r="CT87" s="206"/>
    </row>
    <row r="88" spans="6:98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G88" s="299"/>
      <c r="CH88" s="299"/>
      <c r="CM88" s="299"/>
      <c r="CN88" s="299"/>
      <c r="CO88" s="397"/>
      <c r="CP88" s="407"/>
      <c r="CQ88" s="407"/>
      <c r="CR88" s="407"/>
      <c r="CS88" s="407"/>
      <c r="CT88" s="206"/>
    </row>
    <row r="89" spans="6:98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G89" s="299"/>
      <c r="CH89" s="299"/>
      <c r="CM89" s="299"/>
      <c r="CN89" s="299"/>
      <c r="CO89" s="397"/>
      <c r="CP89" s="407"/>
      <c r="CQ89" s="407"/>
      <c r="CR89" s="407"/>
      <c r="CS89" s="407"/>
      <c r="CT89" s="206"/>
    </row>
    <row r="90" spans="6:98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G90" s="299"/>
      <c r="CH90" s="299"/>
      <c r="CM90" s="299"/>
      <c r="CN90" s="299"/>
      <c r="CO90" s="397"/>
      <c r="CP90" s="407"/>
      <c r="CQ90" s="407"/>
      <c r="CR90" s="407"/>
      <c r="CS90" s="407"/>
      <c r="CT90" s="206"/>
    </row>
    <row r="91" spans="6:98" x14ac:dyDescent="0.25">
      <c r="F91" s="50"/>
      <c r="G91" s="52"/>
      <c r="H91" s="52"/>
      <c r="I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299"/>
      <c r="CG91" s="299"/>
      <c r="CH91" s="299"/>
      <c r="CM91" s="299"/>
      <c r="CN91" s="299"/>
      <c r="CO91" s="397"/>
      <c r="CP91" s="407"/>
      <c r="CQ91" s="407"/>
      <c r="CR91" s="407"/>
      <c r="CS91" s="407"/>
      <c r="CT91" s="206"/>
    </row>
    <row r="92" spans="6:98" x14ac:dyDescent="0.25">
      <c r="F92" s="50"/>
      <c r="G92" s="52"/>
      <c r="H92" s="52"/>
      <c r="I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G92" s="299"/>
      <c r="CH92" s="299"/>
      <c r="CM92" s="299"/>
      <c r="CN92" s="299"/>
      <c r="CO92" s="397"/>
      <c r="CP92" s="407"/>
      <c r="CQ92" s="407"/>
      <c r="CR92" s="407"/>
      <c r="CS92" s="407"/>
      <c r="CT92" s="206"/>
    </row>
    <row r="93" spans="6:98" x14ac:dyDescent="0.25">
      <c r="F93" s="50"/>
      <c r="G93" s="52"/>
      <c r="H93" s="52"/>
      <c r="I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G93" s="299"/>
      <c r="CH93" s="299"/>
      <c r="CM93" s="299"/>
      <c r="CN93" s="299"/>
      <c r="CO93" s="397"/>
      <c r="CP93" s="407"/>
      <c r="CQ93" s="407"/>
      <c r="CR93" s="407"/>
      <c r="CS93" s="407"/>
      <c r="CT93" s="206"/>
    </row>
    <row r="94" spans="6:98" x14ac:dyDescent="0.25">
      <c r="F94" s="50"/>
      <c r="G94" s="52"/>
      <c r="H94" s="52"/>
      <c r="I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G94" s="298"/>
      <c r="CH94" s="298"/>
      <c r="CM94" s="299"/>
      <c r="CN94" s="299"/>
      <c r="CO94" s="397"/>
      <c r="CP94" s="407"/>
      <c r="CQ94" s="407"/>
      <c r="CR94" s="407"/>
      <c r="CS94" s="407"/>
      <c r="CT94" s="206"/>
    </row>
    <row r="95" spans="6:98" x14ac:dyDescent="0.25">
      <c r="F95" s="50"/>
      <c r="G95" s="52"/>
      <c r="H95" s="52"/>
      <c r="I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G95" s="206"/>
      <c r="CH95" s="206"/>
      <c r="CM95" s="299"/>
      <c r="CN95" s="299"/>
      <c r="CO95" s="397"/>
      <c r="CP95" s="407"/>
      <c r="CQ95" s="407"/>
      <c r="CR95" s="407"/>
      <c r="CS95" s="407"/>
      <c r="CT95" s="206"/>
    </row>
    <row r="96" spans="6:98" x14ac:dyDescent="0.25">
      <c r="F96" s="50"/>
      <c r="G96" s="52"/>
      <c r="H96" s="52"/>
      <c r="I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G96" s="206"/>
      <c r="CH96" s="206"/>
      <c r="CM96" s="299"/>
      <c r="CN96" s="299"/>
      <c r="CO96" s="397"/>
      <c r="CP96" s="407"/>
      <c r="CQ96" s="407"/>
      <c r="CR96" s="407"/>
      <c r="CS96" s="407"/>
      <c r="CT96" s="206"/>
    </row>
    <row r="97" spans="6:105" x14ac:dyDescent="0.25">
      <c r="F97" s="50"/>
      <c r="G97" s="52"/>
      <c r="H97" s="52"/>
      <c r="I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O97" s="591"/>
    </row>
    <row r="98" spans="6:105" x14ac:dyDescent="0.25">
      <c r="F98" s="75"/>
      <c r="G98" s="76"/>
      <c r="H98" s="76"/>
      <c r="I98" s="77"/>
      <c r="AB98" s="50"/>
      <c r="AC98" s="85"/>
      <c r="AD98" s="85"/>
      <c r="AE98" s="53"/>
      <c r="AM98" s="75"/>
      <c r="AN98" s="76"/>
      <c r="AO98" s="76"/>
      <c r="AP98" s="77"/>
      <c r="AX98" s="50"/>
      <c r="AY98" s="85"/>
      <c r="AZ98" s="85"/>
      <c r="BA98" s="53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O98" s="591"/>
    </row>
    <row r="99" spans="6:105" x14ac:dyDescent="0.25">
      <c r="AB99" s="50"/>
      <c r="AC99" s="85"/>
      <c r="AD99" s="85"/>
      <c r="AE99" s="53"/>
      <c r="AX99" s="50"/>
      <c r="AY99" s="85"/>
      <c r="AZ99" s="85"/>
      <c r="BA99" s="53"/>
      <c r="BT99" s="206"/>
      <c r="BU99" s="298"/>
      <c r="BV99" s="298"/>
      <c r="BW99" s="298"/>
      <c r="BX99" s="299"/>
      <c r="BY99" s="299"/>
      <c r="BZ99" s="299"/>
      <c r="CA99" s="299"/>
      <c r="CB99" s="299"/>
      <c r="CO99" s="591"/>
      <c r="CU99" s="206"/>
      <c r="CV99" s="206"/>
      <c r="CW99" s="206"/>
      <c r="CX99" s="206"/>
      <c r="CY99" s="206"/>
      <c r="CZ99" s="206"/>
      <c r="DA99" s="206"/>
    </row>
    <row r="100" spans="6:105" x14ac:dyDescent="0.25">
      <c r="AB100" s="50"/>
      <c r="AC100" s="85"/>
      <c r="AD100" s="85"/>
      <c r="AE100" s="53"/>
      <c r="AX100" s="50"/>
      <c r="AY100" s="85"/>
      <c r="AZ100" s="85"/>
      <c r="BA100" s="53"/>
      <c r="BT100" s="206"/>
      <c r="BU100" s="206"/>
      <c r="BV100" s="206"/>
      <c r="BW100" s="206"/>
      <c r="BY100" s="299"/>
      <c r="BZ100" s="299"/>
      <c r="CA100" s="299"/>
      <c r="CB100" s="299"/>
      <c r="CO100" s="591"/>
      <c r="CU100" s="206"/>
      <c r="CV100" s="206"/>
      <c r="CW100" s="206"/>
      <c r="CX100" s="206"/>
      <c r="CY100" s="206"/>
      <c r="CZ100" s="206"/>
      <c r="DA100" s="206"/>
    </row>
    <row r="101" spans="6:105" x14ac:dyDescent="0.25">
      <c r="AB101" s="50"/>
      <c r="AC101" s="85"/>
      <c r="AD101" s="85"/>
      <c r="AE101" s="53"/>
      <c r="AX101" s="50"/>
      <c r="AY101" s="85"/>
      <c r="AZ101" s="85"/>
      <c r="BA101" s="53"/>
      <c r="BT101" s="206"/>
      <c r="BU101" s="206"/>
      <c r="BV101" s="206"/>
      <c r="BW101" s="206"/>
      <c r="BY101" s="299"/>
      <c r="BZ101" s="299"/>
      <c r="CA101" s="299"/>
      <c r="CB101" s="299"/>
      <c r="CO101" s="591"/>
      <c r="CU101" s="206"/>
      <c r="CV101" s="206"/>
      <c r="CW101" s="206"/>
      <c r="CX101" s="206"/>
      <c r="CY101" s="206"/>
      <c r="CZ101" s="206"/>
      <c r="DA101" s="206"/>
    </row>
    <row r="102" spans="6:105" x14ac:dyDescent="0.25">
      <c r="AB102" s="50"/>
      <c r="AC102" s="85"/>
      <c r="AD102" s="85"/>
      <c r="AE102" s="53"/>
      <c r="AX102" s="50"/>
      <c r="AY102" s="85"/>
      <c r="AZ102" s="85"/>
      <c r="BA102" s="53"/>
      <c r="BT102" s="206"/>
      <c r="BU102" s="206"/>
      <c r="BV102" s="206"/>
      <c r="BW102" s="206"/>
      <c r="BY102" s="299"/>
      <c r="BZ102" s="299"/>
      <c r="CA102" s="299"/>
      <c r="CB102" s="299"/>
      <c r="CO102" s="591"/>
      <c r="CU102" s="206"/>
      <c r="CV102" s="206"/>
      <c r="CW102" s="206"/>
      <c r="CX102" s="206"/>
      <c r="CY102" s="206"/>
      <c r="CZ102" s="206"/>
      <c r="DA102" s="206"/>
    </row>
    <row r="103" spans="6:105" x14ac:dyDescent="0.25">
      <c r="AB103" s="50"/>
      <c r="AC103" s="85"/>
      <c r="AD103" s="85"/>
      <c r="AE103" s="53"/>
      <c r="AX103" s="50"/>
      <c r="AY103" s="85"/>
      <c r="AZ103" s="85"/>
      <c r="BA103" s="53"/>
      <c r="BT103" s="206"/>
      <c r="BU103" s="206"/>
      <c r="BV103" s="206"/>
      <c r="BW103" s="206"/>
      <c r="BY103" s="299"/>
      <c r="BZ103" s="299"/>
      <c r="CA103" s="299"/>
      <c r="CB103" s="299"/>
      <c r="CO103" s="591"/>
      <c r="CU103" s="206"/>
      <c r="CV103" s="206"/>
      <c r="CW103" s="206"/>
      <c r="CX103" s="206"/>
      <c r="CY103" s="206"/>
      <c r="CZ103" s="206"/>
      <c r="DA103" s="206"/>
    </row>
    <row r="104" spans="6:105" x14ac:dyDescent="0.25">
      <c r="AB104" s="50"/>
      <c r="AC104" s="85"/>
      <c r="AD104" s="85"/>
      <c r="AE104" s="53"/>
      <c r="AX104" s="50"/>
      <c r="AY104" s="85"/>
      <c r="AZ104" s="85"/>
      <c r="BA104" s="53"/>
      <c r="BT104" s="206"/>
      <c r="BU104" s="206"/>
      <c r="BV104" s="206"/>
      <c r="BW104" s="206"/>
      <c r="BY104" s="299"/>
      <c r="BZ104" s="299"/>
      <c r="CA104" s="299"/>
      <c r="CB104" s="299"/>
      <c r="CO104" s="591"/>
      <c r="CU104" s="206"/>
      <c r="CV104" s="206"/>
      <c r="CW104" s="206"/>
      <c r="CX104" s="206"/>
      <c r="CY104" s="206"/>
      <c r="CZ104" s="206"/>
      <c r="DA104" s="206"/>
    </row>
    <row r="105" spans="6:105" x14ac:dyDescent="0.25">
      <c r="AB105" s="50"/>
      <c r="AC105" s="85"/>
      <c r="AD105" s="85"/>
      <c r="AE105" s="53"/>
      <c r="AX105" s="50"/>
      <c r="AY105" s="85"/>
      <c r="AZ105" s="85"/>
      <c r="BA105" s="53"/>
      <c r="BT105" s="206"/>
      <c r="BU105" s="206"/>
      <c r="BV105" s="206"/>
      <c r="BW105" s="206"/>
      <c r="BY105" s="299"/>
      <c r="BZ105" s="299"/>
      <c r="CA105" s="299"/>
      <c r="CB105" s="299"/>
      <c r="CO105" s="591"/>
      <c r="CU105" s="206"/>
      <c r="CV105" s="206"/>
      <c r="CW105" s="206"/>
      <c r="CX105" s="206"/>
      <c r="CY105" s="206"/>
      <c r="CZ105" s="206"/>
      <c r="DA105" s="206"/>
    </row>
    <row r="106" spans="6:105" x14ac:dyDescent="0.25">
      <c r="AB106" s="50"/>
      <c r="AC106" s="85"/>
      <c r="AD106" s="85"/>
      <c r="AE106" s="53"/>
      <c r="AX106" s="50"/>
      <c r="AY106" s="85"/>
      <c r="AZ106" s="85"/>
      <c r="BA106" s="53"/>
      <c r="BT106" s="206"/>
      <c r="BU106" s="206"/>
      <c r="BV106" s="206"/>
      <c r="BW106" s="206"/>
      <c r="BY106" s="299"/>
      <c r="BZ106" s="299"/>
      <c r="CA106" s="299"/>
      <c r="CB106" s="299"/>
      <c r="CO106" s="591"/>
      <c r="CU106" s="206"/>
      <c r="CV106" s="206"/>
      <c r="CW106" s="206"/>
      <c r="CX106" s="206"/>
      <c r="CY106" s="206"/>
      <c r="CZ106" s="206"/>
      <c r="DA106" s="206"/>
    </row>
    <row r="107" spans="6:105" x14ac:dyDescent="0.25">
      <c r="AB107" s="50"/>
      <c r="AC107" s="85"/>
      <c r="AD107" s="85"/>
      <c r="AE107" s="53"/>
      <c r="AX107" s="50"/>
      <c r="AY107" s="85"/>
      <c r="AZ107" s="85"/>
      <c r="BA107" s="53"/>
      <c r="BT107" s="206"/>
      <c r="BU107" s="206"/>
      <c r="BV107" s="206"/>
      <c r="BW107" s="206"/>
      <c r="BY107" s="299"/>
      <c r="BZ107" s="299"/>
      <c r="CA107" s="299"/>
      <c r="CB107" s="299"/>
      <c r="CO107" s="591"/>
      <c r="CU107" s="206"/>
      <c r="CV107" s="206"/>
      <c r="CW107" s="206"/>
      <c r="CX107" s="206"/>
      <c r="CY107" s="206"/>
      <c r="CZ107" s="206"/>
      <c r="DA107" s="206"/>
    </row>
    <row r="108" spans="6:105" x14ac:dyDescent="0.25">
      <c r="AB108" s="75"/>
      <c r="AC108" s="76"/>
      <c r="AD108" s="76"/>
      <c r="AE108" s="77"/>
      <c r="AX108" s="50"/>
      <c r="AY108" s="85"/>
      <c r="AZ108" s="85"/>
      <c r="BA108" s="53"/>
      <c r="BT108" s="206"/>
      <c r="BU108" s="206"/>
      <c r="BV108" s="206"/>
      <c r="BW108" s="206"/>
      <c r="BY108" s="299"/>
      <c r="BZ108" s="299"/>
      <c r="CA108" s="299"/>
      <c r="CB108" s="299"/>
      <c r="CO108" s="591"/>
      <c r="CU108" s="206"/>
      <c r="CV108" s="206"/>
      <c r="CW108" s="206"/>
      <c r="CX108" s="206"/>
      <c r="CY108" s="206"/>
      <c r="CZ108" s="206"/>
      <c r="DA108" s="206"/>
    </row>
    <row r="109" spans="6:105" x14ac:dyDescent="0.25">
      <c r="AX109" s="50"/>
      <c r="AY109" s="85"/>
      <c r="AZ109" s="85"/>
      <c r="BA109" s="53"/>
      <c r="BT109" s="206"/>
      <c r="BU109" s="206"/>
      <c r="BV109" s="206"/>
      <c r="BW109" s="206"/>
      <c r="BY109" s="299"/>
      <c r="BZ109" s="299"/>
      <c r="CA109" s="299"/>
      <c r="CB109" s="299"/>
      <c r="CO109" s="591"/>
      <c r="CU109" s="206"/>
      <c r="CV109" s="206"/>
      <c r="CW109" s="206"/>
      <c r="CX109" s="206"/>
      <c r="CY109" s="206"/>
      <c r="CZ109" s="206"/>
      <c r="DA109" s="206"/>
    </row>
    <row r="110" spans="6:105" x14ac:dyDescent="0.25">
      <c r="AX110" s="75"/>
      <c r="AY110" s="76"/>
      <c r="AZ110" s="76"/>
      <c r="BA110" s="77"/>
      <c r="BT110" s="206"/>
      <c r="BU110" s="206"/>
      <c r="BV110" s="206"/>
      <c r="BW110" s="206"/>
      <c r="BY110" s="299"/>
      <c r="BZ110" s="299"/>
      <c r="CA110" s="299"/>
      <c r="CB110" s="299"/>
      <c r="CO110" s="591"/>
      <c r="CU110" s="206"/>
      <c r="CV110" s="206"/>
      <c r="CW110" s="206"/>
      <c r="CX110" s="206"/>
      <c r="CY110" s="206"/>
      <c r="CZ110" s="206"/>
      <c r="DA110" s="206"/>
    </row>
    <row r="111" spans="6:105" x14ac:dyDescent="0.25">
      <c r="BT111" s="206"/>
      <c r="BU111" s="206"/>
      <c r="BV111" s="206"/>
      <c r="BW111" s="206"/>
      <c r="BY111" s="299"/>
      <c r="BZ111" s="299"/>
      <c r="CA111" s="299"/>
      <c r="CB111" s="299"/>
      <c r="CO111" s="591"/>
      <c r="CU111" s="206"/>
      <c r="CV111" s="206"/>
      <c r="CW111" s="206"/>
      <c r="CX111" s="206"/>
      <c r="CY111" s="206"/>
      <c r="CZ111" s="206"/>
      <c r="DA111" s="206"/>
    </row>
    <row r="112" spans="6:105" x14ac:dyDescent="0.25">
      <c r="BT112" s="206"/>
      <c r="BU112" s="206"/>
      <c r="BV112" s="206"/>
      <c r="BW112" s="206"/>
      <c r="BY112" s="299"/>
      <c r="BZ112" s="299"/>
      <c r="CA112" s="299"/>
      <c r="CB112" s="299"/>
      <c r="CO112" s="591"/>
      <c r="CU112" s="206"/>
      <c r="CV112" s="206"/>
      <c r="CW112" s="206"/>
      <c r="CX112" s="206"/>
      <c r="CY112" s="206"/>
      <c r="CZ112" s="206"/>
      <c r="DA112" s="206"/>
    </row>
    <row r="113" spans="72:105" x14ac:dyDescent="0.25">
      <c r="BT113" s="206"/>
      <c r="BU113" s="206"/>
      <c r="BV113" s="206"/>
      <c r="BW113" s="206"/>
      <c r="BY113" s="299"/>
      <c r="BZ113" s="299"/>
      <c r="CA113" s="299"/>
      <c r="CB113" s="299"/>
      <c r="CO113" s="591"/>
      <c r="CU113" s="206"/>
      <c r="CV113" s="206"/>
      <c r="CW113" s="206"/>
      <c r="CX113" s="206"/>
      <c r="CY113" s="206"/>
      <c r="CZ113" s="206"/>
      <c r="DA113" s="206"/>
    </row>
    <row r="114" spans="72:105" x14ac:dyDescent="0.25">
      <c r="BT114" s="206"/>
      <c r="BU114" s="206"/>
      <c r="BV114" s="206"/>
      <c r="BW114" s="206"/>
      <c r="BY114" s="299"/>
      <c r="BZ114" s="299"/>
      <c r="CA114" s="299"/>
      <c r="CB114" s="299"/>
      <c r="CO114" s="591"/>
      <c r="CU114" s="206"/>
      <c r="CV114" s="206"/>
      <c r="CW114" s="206"/>
      <c r="CX114" s="206"/>
      <c r="CY114" s="206"/>
      <c r="CZ114" s="206"/>
      <c r="DA114" s="206"/>
    </row>
    <row r="115" spans="72:105" x14ac:dyDescent="0.25">
      <c r="BT115" s="206"/>
      <c r="BU115" s="206"/>
      <c r="BV115" s="206"/>
      <c r="BW115" s="206"/>
      <c r="BY115" s="299"/>
      <c r="BZ115" s="299"/>
      <c r="CA115" s="299"/>
      <c r="CB115" s="299"/>
      <c r="CO115" s="591"/>
      <c r="CU115" s="206"/>
      <c r="CV115" s="206"/>
      <c r="CW115" s="206"/>
      <c r="CX115" s="206"/>
      <c r="CY115" s="206"/>
      <c r="CZ115" s="206"/>
      <c r="DA115" s="206"/>
    </row>
    <row r="116" spans="72:105" x14ac:dyDescent="0.25">
      <c r="BT116" s="206"/>
      <c r="BU116" s="206"/>
      <c r="BV116" s="206"/>
      <c r="BW116" s="206"/>
      <c r="BY116" s="299"/>
      <c r="BZ116" s="299"/>
      <c r="CA116" s="299"/>
      <c r="CB116" s="299"/>
      <c r="CO116" s="591"/>
      <c r="CU116" s="206"/>
      <c r="CV116" s="206"/>
      <c r="CW116" s="206"/>
      <c r="CX116" s="206"/>
      <c r="CY116" s="206"/>
      <c r="CZ116" s="206"/>
      <c r="DA116" s="206"/>
    </row>
    <row r="117" spans="72:105" x14ac:dyDescent="0.25">
      <c r="BT117" s="206"/>
      <c r="BU117" s="206"/>
      <c r="BV117" s="206"/>
      <c r="BW117" s="206"/>
      <c r="BY117" s="299"/>
      <c r="BZ117" s="299"/>
      <c r="CA117" s="299"/>
      <c r="CB117" s="299"/>
      <c r="CO117" s="591"/>
      <c r="CU117" s="206"/>
      <c r="CV117" s="206"/>
      <c r="CW117" s="206"/>
      <c r="CX117" s="206"/>
      <c r="CY117" s="206"/>
      <c r="CZ117" s="206"/>
      <c r="DA117" s="206"/>
    </row>
    <row r="118" spans="72:105" x14ac:dyDescent="0.25">
      <c r="BT118" s="206"/>
      <c r="BU118" s="206"/>
      <c r="BV118" s="206"/>
      <c r="BW118" s="206"/>
      <c r="BY118" s="299"/>
      <c r="BZ118" s="299"/>
      <c r="CA118" s="299"/>
      <c r="CB118" s="299"/>
      <c r="CO118" s="591"/>
      <c r="CU118" s="206"/>
      <c r="CV118" s="206"/>
      <c r="CW118" s="206"/>
      <c r="CX118" s="206"/>
      <c r="CY118" s="206"/>
      <c r="CZ118" s="206"/>
      <c r="DA118" s="206"/>
    </row>
    <row r="119" spans="72:105" x14ac:dyDescent="0.25">
      <c r="BT119" s="206"/>
      <c r="BU119" s="206"/>
      <c r="BV119" s="206"/>
      <c r="BW119" s="206"/>
      <c r="BY119" s="299"/>
      <c r="BZ119" s="299"/>
      <c r="CA119" s="299"/>
      <c r="CB119" s="299"/>
      <c r="CO119" s="591"/>
      <c r="CU119" s="206"/>
      <c r="CV119" s="206"/>
      <c r="CW119" s="206"/>
      <c r="CX119" s="206"/>
      <c r="CY119" s="206"/>
      <c r="CZ119" s="206"/>
      <c r="DA119" s="206"/>
    </row>
    <row r="120" spans="72:105" x14ac:dyDescent="0.25">
      <c r="BT120" s="206"/>
      <c r="BU120" s="206"/>
      <c r="BV120" s="206"/>
      <c r="BW120" s="206"/>
      <c r="BY120" s="299"/>
      <c r="BZ120" s="299"/>
      <c r="CA120" s="299"/>
      <c r="CB120" s="299"/>
      <c r="CO120" s="591"/>
      <c r="CU120" s="206"/>
      <c r="CV120" s="206"/>
      <c r="CW120" s="206"/>
      <c r="CX120" s="206"/>
      <c r="CY120" s="206"/>
      <c r="CZ120" s="206"/>
      <c r="DA120" s="206"/>
    </row>
    <row r="121" spans="72:105" x14ac:dyDescent="0.25">
      <c r="BT121" s="206"/>
      <c r="BU121" s="206"/>
      <c r="BV121" s="206"/>
      <c r="BW121" s="206"/>
      <c r="BY121" s="299"/>
      <c r="BZ121" s="299"/>
      <c r="CA121" s="299"/>
      <c r="CB121" s="299"/>
      <c r="CO121" s="591"/>
      <c r="CU121" s="206"/>
      <c r="CV121" s="206"/>
      <c r="CW121" s="206"/>
      <c r="CX121" s="206"/>
      <c r="CY121" s="206"/>
      <c r="CZ121" s="206"/>
      <c r="DA121" s="206"/>
    </row>
    <row r="122" spans="72:105" x14ac:dyDescent="0.25">
      <c r="BT122" s="206"/>
      <c r="BU122" s="206"/>
      <c r="BV122" s="206"/>
      <c r="BW122" s="206"/>
      <c r="BY122" s="299"/>
      <c r="BZ122" s="299"/>
      <c r="CA122" s="299"/>
      <c r="CB122" s="299"/>
      <c r="CO122" s="591"/>
      <c r="CU122" s="206"/>
      <c r="CV122" s="206"/>
      <c r="CW122" s="206"/>
      <c r="CX122" s="206"/>
      <c r="CY122" s="206"/>
      <c r="CZ122" s="206"/>
      <c r="DA122" s="206"/>
    </row>
    <row r="123" spans="72:105" x14ac:dyDescent="0.25">
      <c r="BT123" s="206"/>
      <c r="BU123" s="206"/>
      <c r="BV123" s="206"/>
      <c r="BW123" s="206"/>
      <c r="BY123" s="299"/>
      <c r="BZ123" s="299"/>
      <c r="CA123" s="299"/>
      <c r="CB123" s="299"/>
      <c r="CO123" s="591"/>
      <c r="CU123" s="206"/>
      <c r="CV123" s="206"/>
      <c r="CW123" s="206"/>
      <c r="CX123" s="206"/>
      <c r="CY123" s="206"/>
      <c r="CZ123" s="206"/>
      <c r="DA123" s="206"/>
    </row>
    <row r="124" spans="72:105" x14ac:dyDescent="0.25">
      <c r="BT124" s="206"/>
      <c r="BU124" s="206"/>
      <c r="BV124" s="206"/>
      <c r="BW124" s="206"/>
      <c r="BY124" s="299"/>
      <c r="BZ124" s="299"/>
      <c r="CA124" s="299"/>
      <c r="CB124" s="298"/>
      <c r="CO124" s="591"/>
      <c r="CU124" s="206"/>
      <c r="CV124" s="206"/>
      <c r="CW124" s="206"/>
      <c r="CX124" s="206"/>
      <c r="CY124" s="206"/>
      <c r="CZ124" s="206"/>
      <c r="DA124" s="206"/>
    </row>
    <row r="125" spans="72:105" x14ac:dyDescent="0.25">
      <c r="BT125" s="206"/>
      <c r="BU125" s="206"/>
      <c r="BV125" s="206"/>
      <c r="BW125" s="206"/>
      <c r="BY125" s="298"/>
      <c r="BZ125" s="298"/>
      <c r="CA125" s="298"/>
      <c r="CB125" s="206"/>
      <c r="CO125" s="591"/>
      <c r="CU125" s="206"/>
      <c r="CV125" s="206"/>
      <c r="CW125" s="206"/>
      <c r="CX125" s="206"/>
      <c r="CY125" s="206"/>
      <c r="CZ125" s="206"/>
      <c r="DA125" s="206"/>
    </row>
    <row r="126" spans="72:105" x14ac:dyDescent="0.25">
      <c r="BT126" s="206"/>
      <c r="BU126" s="206"/>
      <c r="BV126" s="206"/>
      <c r="BW126" s="206"/>
      <c r="BY126" s="206"/>
      <c r="BZ126" s="206"/>
      <c r="CA126" s="206"/>
      <c r="CB126" s="206"/>
      <c r="CO126" s="591"/>
      <c r="CU126" s="206"/>
      <c r="CV126" s="206"/>
      <c r="CW126" s="206"/>
      <c r="CX126" s="206"/>
      <c r="CY126" s="206"/>
      <c r="CZ126" s="206"/>
      <c r="DA126" s="206"/>
    </row>
    <row r="127" spans="72:105" x14ac:dyDescent="0.25">
      <c r="BT127" s="206"/>
      <c r="BU127" s="206"/>
      <c r="BV127" s="206"/>
      <c r="BW127" s="206"/>
      <c r="BY127" s="206"/>
      <c r="BZ127" s="206"/>
      <c r="CA127" s="206"/>
      <c r="CO127" s="591"/>
      <c r="CU127" s="206"/>
      <c r="CV127" s="206"/>
      <c r="CW127" s="206"/>
      <c r="CX127" s="206"/>
      <c r="CY127" s="206"/>
      <c r="CZ127" s="206"/>
      <c r="DA127" s="206"/>
    </row>
    <row r="128" spans="72:105" x14ac:dyDescent="0.25">
      <c r="CO128" s="591"/>
    </row>
  </sheetData>
  <dataValidations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K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DD128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10.7109375" customWidth="1" outlineLevel="2"/>
    <col min="7" max="7" width="30.7109375" customWidth="1" outlineLevel="2"/>
    <col min="8" max="8" width="40.7109375" customWidth="1" outlineLevel="2"/>
    <col min="9" max="9" width="10.7109375" customWidth="1" outlineLevel="2"/>
    <col min="10" max="10" width="9.140625" customWidth="1"/>
    <col min="11" max="11" width="15.42578125" customWidth="1"/>
    <col min="12" max="15" width="10.7109375" customWidth="1"/>
    <col min="16" max="16" width="9.140625" customWidth="1"/>
    <col min="17" max="17" width="10.7109375" customWidth="1" outlineLevel="1"/>
    <col min="18" max="18" width="30.7109375" customWidth="1" outlineLevel="1"/>
    <col min="19" max="19" width="40.7109375" style="209" customWidth="1" outlineLevel="1"/>
    <col min="20" max="20" width="10.7109375" customWidth="1" outlineLevel="1"/>
    <col min="21" max="21" width="9.140625" customWidth="1"/>
    <col min="22" max="22" width="25.7109375" bestFit="1" customWidth="1"/>
    <col min="23" max="24" width="10.7109375" customWidth="1"/>
    <col min="25" max="25" width="10.7109375" style="5" customWidth="1"/>
    <col min="26" max="26" width="10.7109375" customWidth="1"/>
    <col min="28" max="28" width="10.7109375" customWidth="1" outlineLevel="1"/>
    <col min="29" max="29" width="30.7109375" customWidth="1" outlineLevel="1"/>
    <col min="30" max="30" width="40.7109375" style="209" customWidth="1" outlineLevel="1"/>
    <col min="31" max="31" width="10.7109375" customWidth="1" outlineLevel="1"/>
    <col min="33" max="33" width="17.1406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8" width="10.7109375" hidden="1" customWidth="1" outlineLevel="2"/>
    <col min="49" max="49" width="9.140625" customWidth="1" collapsed="1"/>
    <col min="50" max="50" width="10.7109375" hidden="1" customWidth="1" outlineLevel="2"/>
    <col min="51" max="51" width="30.7109375" hidden="1" customWidth="1" outlineLevel="2"/>
    <col min="52" max="52" width="40.7109375" hidden="1" customWidth="1" outlineLevel="2"/>
    <col min="53" max="53" width="10.7109375" hidden="1" customWidth="1" outlineLevel="2"/>
    <col min="54" max="54" width="9.140625" collapsed="1"/>
    <col min="55" max="55" width="17.5703125" customWidth="1"/>
    <col min="56" max="56" width="10.7109375" style="203" customWidth="1"/>
    <col min="57" max="59" width="10.7109375" customWidth="1"/>
    <col min="61" max="61" width="10.7109375" customWidth="1" outlineLevel="1"/>
    <col min="62" max="62" width="30.7109375" customWidth="1" outlineLevel="1"/>
    <col min="63" max="63" width="68.7109375" customWidth="1" outlineLevel="1"/>
    <col min="64" max="64" width="10.7109375" customWidth="1" outlineLevel="1"/>
    <col min="66" max="66" width="15" customWidth="1"/>
    <col min="67" max="70" width="10.7109375" customWidth="1"/>
    <col min="72" max="72" width="10.7109375" customWidth="1" outlineLevel="1"/>
    <col min="73" max="73" width="28.5703125" customWidth="1" outlineLevel="1"/>
    <col min="74" max="74" width="20.7109375" customWidth="1" outlineLevel="1"/>
    <col min="75" max="75" width="10.7109375" customWidth="1" outlineLevel="1"/>
    <col min="76" max="76" width="9.140625" style="206" customWidth="1"/>
    <col min="77" max="77" width="20.7109375" customWidth="1"/>
    <col min="78" max="79" width="10.7109375" customWidth="1"/>
    <col min="80" max="80" width="9.140625" customWidth="1"/>
    <col min="81" max="81" width="10.7109375" style="416" customWidth="1"/>
    <col min="82" max="82" width="20.7109375" style="416" customWidth="1"/>
    <col min="83" max="83" width="33.140625" style="416" bestFit="1" customWidth="1"/>
    <col min="84" max="87" width="10.7109375" style="416" customWidth="1"/>
    <col min="88" max="89" width="20.7109375" style="416" customWidth="1"/>
    <col min="90" max="90" width="10.7109375" style="416" customWidth="1"/>
    <col min="91" max="91" width="20.7109375" style="416" customWidth="1"/>
    <col min="92" max="92" width="20.7109375" style="441" customWidth="1"/>
    <col min="93" max="95" width="20.7109375" style="416" customWidth="1"/>
    <col min="96" max="96" width="9.140625" style="416" customWidth="1"/>
    <col min="97" max="97" width="9.140625" style="416"/>
  </cols>
  <sheetData>
    <row r="1" spans="1:100" x14ac:dyDescent="0.25">
      <c r="A1" s="2" t="s">
        <v>160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S1" s="5"/>
      <c r="AT1" s="5"/>
      <c r="AU1" s="5"/>
      <c r="AV1" s="5"/>
      <c r="AX1" s="209"/>
      <c r="AY1" s="209"/>
      <c r="AZ1" s="209"/>
      <c r="BA1" s="209"/>
      <c r="BD1" s="5"/>
      <c r="BE1" s="5"/>
      <c r="BF1" s="5"/>
      <c r="BG1" s="5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Z1" s="5"/>
      <c r="CA1" s="5"/>
      <c r="CB1" s="209"/>
      <c r="CC1"/>
      <c r="CD1"/>
      <c r="CE1"/>
      <c r="CF1"/>
      <c r="CG1"/>
      <c r="CH1"/>
      <c r="CI1"/>
      <c r="CJ1"/>
      <c r="CK1"/>
      <c r="CL1"/>
      <c r="CO1" s="299"/>
      <c r="CP1" s="299"/>
      <c r="CQ1" s="299"/>
      <c r="CR1" s="299"/>
      <c r="CS1" s="299"/>
      <c r="CT1" s="206"/>
      <c r="CU1" s="206"/>
      <c r="CV1" s="206"/>
    </row>
    <row r="2" spans="1:100" x14ac:dyDescent="0.25">
      <c r="F2" s="237" t="s">
        <v>712</v>
      </c>
      <c r="K2" s="2" t="str">
        <f>A1&amp;"_OIS"</f>
        <v>HUF_OIS</v>
      </c>
      <c r="L2" s="5"/>
      <c r="M2" s="5"/>
      <c r="N2" s="5"/>
      <c r="O2" s="5"/>
      <c r="Q2" s="237"/>
      <c r="V2" s="2" t="str">
        <f>A1&amp;"_SWAP_6M"</f>
        <v>HUF_SWAP_6M</v>
      </c>
      <c r="W2" s="5"/>
      <c r="X2" s="5"/>
      <c r="Z2" s="5"/>
      <c r="AB2" s="237"/>
      <c r="AG2" s="2" t="str">
        <f>A1&amp;"_SWAP_3M"</f>
        <v>HUF_SWAP_3M</v>
      </c>
      <c r="AH2" s="5"/>
      <c r="AI2" s="5"/>
      <c r="AJ2" s="5"/>
      <c r="AK2" s="5"/>
      <c r="AR2" s="2" t="str">
        <f>A1&amp;"_BASIS_12M"</f>
        <v>HUF_BASIS_12M</v>
      </c>
      <c r="AS2" s="5"/>
      <c r="AT2" s="5"/>
      <c r="AU2" s="5"/>
      <c r="AV2" s="5"/>
      <c r="BC2" s="2" t="str">
        <f>A1&amp;"_SWAP_1M"</f>
        <v>HUF_SWAP_1M</v>
      </c>
      <c r="BD2" s="5"/>
      <c r="BE2" s="5"/>
      <c r="BF2" s="5"/>
      <c r="BG2" s="5"/>
      <c r="BN2" s="2" t="str">
        <f>A1&amp;"_XCCYBASIS"</f>
        <v>HUF_XCCYBASIS</v>
      </c>
      <c r="BO2" s="5"/>
      <c r="BP2" s="5"/>
      <c r="BQ2" s="5"/>
      <c r="BR2" s="5"/>
      <c r="BY2" s="2" t="s">
        <v>932</v>
      </c>
      <c r="BZ2" s="5"/>
      <c r="CA2" s="5"/>
      <c r="CC2"/>
      <c r="CD2" t="s">
        <v>1454</v>
      </c>
      <c r="CE2"/>
      <c r="CF2"/>
      <c r="CG2"/>
      <c r="CH2"/>
      <c r="CI2"/>
      <c r="CJ2"/>
      <c r="CK2"/>
      <c r="CL2"/>
      <c r="CO2" s="332"/>
      <c r="CP2" s="332"/>
      <c r="CQ2" s="332"/>
      <c r="CR2" s="299"/>
      <c r="CS2" s="299"/>
      <c r="CT2" s="206"/>
      <c r="CU2" s="206"/>
      <c r="CV2" s="206"/>
    </row>
    <row r="3" spans="1:100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S3" s="5"/>
      <c r="AT3" s="5"/>
      <c r="AU3" s="5"/>
      <c r="AV3" s="5"/>
      <c r="AX3" s="45"/>
      <c r="AY3" s="48"/>
      <c r="AZ3" s="48"/>
      <c r="BA3" s="49"/>
      <c r="BD3" s="5"/>
      <c r="BE3" s="5"/>
      <c r="BF3" s="5"/>
      <c r="BG3" s="5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BZ3" s="5"/>
      <c r="CA3" s="5"/>
      <c r="CC3" s="45"/>
      <c r="CD3" s="48"/>
      <c r="CE3" s="48"/>
      <c r="CF3" s="49"/>
      <c r="CG3"/>
      <c r="CH3"/>
      <c r="CI3" s="45"/>
      <c r="CJ3" s="48"/>
      <c r="CK3" s="48"/>
      <c r="CL3" s="49"/>
      <c r="CO3" s="513"/>
      <c r="CP3" s="316"/>
      <c r="CQ3" s="316"/>
      <c r="CR3" s="299"/>
      <c r="CS3" s="299"/>
      <c r="CT3" s="206"/>
      <c r="CU3" s="206"/>
      <c r="CV3" s="206"/>
    </row>
    <row r="4" spans="1:100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S4" s="5"/>
      <c r="AT4" s="5"/>
      <c r="AU4" s="5"/>
      <c r="AV4" s="5"/>
      <c r="AX4" s="50"/>
      <c r="AY4" s="81"/>
      <c r="AZ4" s="228"/>
      <c r="BA4" s="53"/>
      <c r="BD4" s="5"/>
      <c r="BE4" s="5"/>
      <c r="BF4" s="5">
        <v>0</v>
      </c>
      <c r="BG4" s="5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BZ4" s="5"/>
      <c r="CA4" s="5"/>
      <c r="CC4" s="50"/>
      <c r="CD4" s="81"/>
      <c r="CE4" s="228"/>
      <c r="CF4" s="53"/>
      <c r="CG4"/>
      <c r="CH4"/>
      <c r="CI4" s="50"/>
      <c r="CJ4" s="81"/>
      <c r="CK4" s="228"/>
      <c r="CL4" s="53"/>
      <c r="CO4" s="513"/>
      <c r="CP4" s="316"/>
      <c r="CQ4" s="316"/>
      <c r="CR4" s="299"/>
      <c r="CS4" s="299"/>
      <c r="CT4" s="206"/>
      <c r="CU4" s="206"/>
      <c r="CV4" s="206"/>
    </row>
    <row r="5" spans="1:100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V5" s="294"/>
      <c r="W5" s="5"/>
      <c r="X5" s="5"/>
      <c r="Z5" s="5"/>
      <c r="AB5" s="50"/>
      <c r="AC5" s="54" t="s">
        <v>744</v>
      </c>
      <c r="AD5" s="228"/>
      <c r="AE5" s="53"/>
      <c r="AG5" s="294"/>
      <c r="AH5" s="5"/>
      <c r="AI5" s="5"/>
      <c r="AJ5" s="5"/>
      <c r="AK5" s="5"/>
      <c r="AM5" s="50"/>
      <c r="AN5" s="54" t="s">
        <v>744</v>
      </c>
      <c r="AO5" s="228"/>
      <c r="AP5" s="53"/>
      <c r="AR5" s="294"/>
      <c r="AS5" s="5"/>
      <c r="AT5" s="5"/>
      <c r="AU5" s="5"/>
      <c r="AV5" s="5"/>
      <c r="AX5" s="50"/>
      <c r="AY5" s="54" t="s">
        <v>744</v>
      </c>
      <c r="AZ5" s="228"/>
      <c r="BA5" s="53"/>
      <c r="BC5" s="294"/>
      <c r="BD5" s="5"/>
      <c r="BE5" s="5"/>
      <c r="BF5" s="5"/>
      <c r="BG5" s="5"/>
      <c r="BI5" s="50"/>
      <c r="BJ5" s="54" t="s">
        <v>802</v>
      </c>
      <c r="BK5" s="228"/>
      <c r="BL5" s="53"/>
      <c r="BN5" s="294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294" t="s">
        <v>822</v>
      </c>
      <c r="BZ5" s="5"/>
      <c r="CA5" s="5"/>
      <c r="CC5" s="50"/>
      <c r="CD5" s="54" t="s">
        <v>1452</v>
      </c>
      <c r="CE5" s="228"/>
      <c r="CF5" s="53"/>
      <c r="CG5"/>
      <c r="CH5"/>
      <c r="CI5" s="50"/>
      <c r="CJ5" s="54" t="s">
        <v>1453</v>
      </c>
      <c r="CK5" s="228"/>
      <c r="CL5" s="53"/>
      <c r="CO5" s="513"/>
      <c r="CP5" s="316"/>
      <c r="CQ5" s="316"/>
      <c r="CR5" s="299"/>
      <c r="CS5" s="299"/>
      <c r="CT5" s="206"/>
      <c r="CU5" s="206"/>
      <c r="CV5" s="206"/>
    </row>
    <row r="6" spans="1:100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s="5" t="s">
        <v>430</v>
      </c>
      <c r="AT6" s="5" t="s">
        <v>433</v>
      </c>
      <c r="AU6" s="5" t="s">
        <v>665</v>
      </c>
      <c r="AV6" s="5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s="5" t="s">
        <v>430</v>
      </c>
      <c r="BE6" s="5" t="s">
        <v>433</v>
      </c>
      <c r="BF6" s="5" t="s">
        <v>665</v>
      </c>
      <c r="BG6" s="5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5" t="s">
        <v>502</v>
      </c>
      <c r="CA6" s="5" t="s">
        <v>503</v>
      </c>
      <c r="CC6" s="50"/>
      <c r="CD6" s="51" t="s">
        <v>743</v>
      </c>
      <c r="CE6" s="210" t="b">
        <v>1</v>
      </c>
      <c r="CF6" s="53"/>
      <c r="CG6"/>
      <c r="CH6"/>
      <c r="CI6" s="50"/>
      <c r="CJ6" s="51" t="s">
        <v>743</v>
      </c>
      <c r="CK6" s="210" t="b">
        <v>1</v>
      </c>
      <c r="CL6" s="53"/>
      <c r="CO6" s="513"/>
      <c r="CP6" s="316"/>
      <c r="CQ6" s="316"/>
      <c r="CR6" s="299"/>
      <c r="CS6" s="299"/>
      <c r="CT6" s="206"/>
      <c r="CU6" s="206"/>
      <c r="CV6" s="206"/>
    </row>
    <row r="7" spans="1:100" x14ac:dyDescent="0.25">
      <c r="F7" s="50"/>
      <c r="G7" s="59" t="s">
        <v>711</v>
      </c>
      <c r="H7" s="211" t="str">
        <f>$A$1&amp;"_OIS"</f>
        <v>HUF_OIS</v>
      </c>
      <c r="I7" s="53"/>
      <c r="K7" t="s">
        <v>298</v>
      </c>
      <c r="L7" s="357">
        <f t="shared" ref="L7:L31" si="0">O7+N7/10000</f>
        <v>1.6900000000000001E-3</v>
      </c>
      <c r="M7" s="5" t="b">
        <v>1</v>
      </c>
      <c r="N7" s="5">
        <f t="shared" ref="N7:N31" si="1">$N$4</f>
        <v>0</v>
      </c>
      <c r="O7" s="358">
        <f>HUF_DATA!M7</f>
        <v>1.6900000000000001E-3</v>
      </c>
      <c r="Q7" s="50"/>
      <c r="R7" s="59" t="s">
        <v>711</v>
      </c>
      <c r="S7" s="211" t="s">
        <v>1078</v>
      </c>
      <c r="T7" s="53"/>
      <c r="V7" t="s">
        <v>298</v>
      </c>
      <c r="W7" s="358">
        <f t="shared" ref="W7:W42" si="2">Z7+Y7/10000</f>
        <v>3.8E-3</v>
      </c>
      <c r="X7" s="5" t="b">
        <v>1</v>
      </c>
      <c r="Y7" s="5">
        <f t="shared" ref="Y7:Y42" si="3">$Y$4</f>
        <v>0</v>
      </c>
      <c r="Z7" s="358">
        <f>HUF_DATA!U7</f>
        <v>3.8E-3</v>
      </c>
      <c r="AA7" s="203"/>
      <c r="AB7" s="50"/>
      <c r="AC7" s="59" t="s">
        <v>711</v>
      </c>
      <c r="AD7" s="211" t="str">
        <f>$A$1&amp;"_BASIS_3M6M"</f>
        <v>HUF_BASIS_3M6M</v>
      </c>
      <c r="AE7" s="53"/>
      <c r="AG7" t="s">
        <v>298</v>
      </c>
      <c r="AH7" s="357">
        <f>AK7</f>
        <v>3.8E-3</v>
      </c>
      <c r="AI7" s="5"/>
      <c r="AJ7" s="5"/>
      <c r="AK7" s="357">
        <f>HUF_DATA!Z7</f>
        <v>3.8E-3</v>
      </c>
      <c r="AL7" s="207"/>
      <c r="AM7" s="50"/>
      <c r="AN7" s="59" t="s">
        <v>711</v>
      </c>
      <c r="AO7" s="211" t="str">
        <f>A1&amp;"_BASIS_3X12"</f>
        <v>HUF_BASIS_3X12</v>
      </c>
      <c r="AP7" s="53"/>
      <c r="AR7" t="s">
        <v>47</v>
      </c>
      <c r="AS7" s="357"/>
      <c r="AT7" s="5" t="b">
        <v>1</v>
      </c>
      <c r="AU7" s="5"/>
      <c r="AV7" s="358"/>
      <c r="AX7" s="50"/>
      <c r="AY7" s="59" t="s">
        <v>711</v>
      </c>
      <c r="AZ7" s="211" t="str">
        <f>A1&amp;"_BASIS_1M3M"</f>
        <v>HUF_BASIS_1M3M</v>
      </c>
      <c r="BA7" s="53"/>
      <c r="BC7" t="s">
        <v>298</v>
      </c>
      <c r="BD7" s="358">
        <f>BG7</f>
        <v>3.8E-3</v>
      </c>
      <c r="BE7" s="5" t="b">
        <v>1</v>
      </c>
      <c r="BF7" s="5"/>
      <c r="BG7" s="358">
        <f>HUF_DATA!AE7</f>
        <v>3.8E-3</v>
      </c>
      <c r="BI7" s="50"/>
      <c r="BJ7" s="59" t="s">
        <v>711</v>
      </c>
      <c r="BK7" s="211" t="str">
        <f>$A$1&amp;"_XCCY"</f>
        <v>HUF_XCCY</v>
      </c>
      <c r="BL7" s="53"/>
      <c r="BN7" t="s">
        <v>2</v>
      </c>
      <c r="BO7" s="359" t="s">
        <v>160</v>
      </c>
      <c r="BP7" s="359">
        <f>BR7</f>
        <v>304.2</v>
      </c>
      <c r="BQ7" s="359"/>
      <c r="BR7" s="359">
        <f>FX!N2</f>
        <v>304.2</v>
      </c>
      <c r="BT7" s="50"/>
      <c r="BU7" s="270" t="s">
        <v>830</v>
      </c>
      <c r="BV7" s="271" t="str">
        <f>"FX_CURVE_"&amp;$A$1&amp;"USD"</f>
        <v>FX_CURVE_HUFUSD</v>
      </c>
      <c r="BW7" s="52"/>
      <c r="BX7" s="299"/>
      <c r="BY7" t="s">
        <v>836</v>
      </c>
      <c r="BZ7" s="359">
        <f>HUF_DATA!AW7</f>
        <v>304.14</v>
      </c>
      <c r="CA7" s="5">
        <f>HUF_DATA!AX7</f>
        <v>304.26</v>
      </c>
      <c r="CC7" s="50"/>
      <c r="CD7" s="59" t="s">
        <v>711</v>
      </c>
      <c r="CE7" s="211" t="str">
        <f>$A$1&amp;"_EURCSA"</f>
        <v>HUF_EURCSA</v>
      </c>
      <c r="CF7" s="53"/>
      <c r="CG7"/>
      <c r="CH7"/>
      <c r="CI7" s="50"/>
      <c r="CJ7" s="59" t="s">
        <v>711</v>
      </c>
      <c r="CK7" s="211" t="str">
        <f>$A$1&amp;"_JPYCSA"</f>
        <v>HUF_JPYCSA</v>
      </c>
      <c r="CL7" s="53"/>
      <c r="CO7" s="513"/>
      <c r="CP7" s="316"/>
      <c r="CQ7" s="316"/>
      <c r="CR7" s="299"/>
      <c r="CS7" s="299"/>
      <c r="CT7" s="206"/>
      <c r="CU7" s="206"/>
      <c r="CV7" s="206"/>
    </row>
    <row r="8" spans="1:100" x14ac:dyDescent="0.25">
      <c r="F8" s="50"/>
      <c r="G8" s="72" t="s">
        <v>670</v>
      </c>
      <c r="H8" s="35" t="str">
        <f>IF(H$6,_xll.meLWOCurveGeneratorCreate(H$7,"CURVEPROPERTIES",G12:H18,"OIS",G23:H37),"Disabled")</f>
        <v>HUF_OIS@382:6</v>
      </c>
      <c r="I8" s="53" t="s">
        <v>424</v>
      </c>
      <c r="K8" t="s">
        <v>305</v>
      </c>
      <c r="L8" s="357">
        <f t="shared" si="0"/>
        <v>4.5999999999999999E-3</v>
      </c>
      <c r="M8" s="5" t="b">
        <v>1</v>
      </c>
      <c r="N8" s="5">
        <f t="shared" si="1"/>
        <v>0</v>
      </c>
      <c r="O8" s="358">
        <f>HUF_DATA!M8</f>
        <v>4.5999999999999999E-3</v>
      </c>
      <c r="Q8" s="50"/>
      <c r="R8" s="72" t="s">
        <v>670</v>
      </c>
      <c r="S8" s="35" t="str">
        <f>IF(S$6,_xll.meLWOCurveGeneratorCreate(S$7,"CURVEPROPERTIES",R12:S27,"MONEYMARKET",R30:S32,"LIBORFIXINGS",R35:S39,"FRAS",R42:S47,"SWAPS",R50:S67,"BASISSWAPS",R71:S102),"Disabled")</f>
        <v>HUF_SWAP_6M@377:6</v>
      </c>
      <c r="T8" s="53" t="s">
        <v>424</v>
      </c>
      <c r="V8" t="s">
        <v>300</v>
      </c>
      <c r="W8" s="358">
        <f t="shared" si="2"/>
        <v>6.0000000000000001E-3</v>
      </c>
      <c r="X8" s="5" t="b">
        <v>1</v>
      </c>
      <c r="Y8" s="5">
        <f t="shared" si="3"/>
        <v>0</v>
      </c>
      <c r="Z8" s="358">
        <f>HUF_DATA!U8</f>
        <v>6.0000000000000001E-3</v>
      </c>
      <c r="AA8" s="203"/>
      <c r="AB8" s="50"/>
      <c r="AC8" s="72" t="s">
        <v>670</v>
      </c>
      <c r="AD8" s="35" t="str">
        <f>IF(AD$6,_xll.meLWOCurveGeneratorCreate(AD$7,"CURVEPROPERTIES",AC12:AD21,"MONEYMARKET",AC26:AD28,"LIBORFIXINGS",AC31:AD35,"FRAS",AC38:AD43,"BASISSWAPS",AC46:AD87),"Disabled")</f>
        <v>HUF_BASIS_3M6M@385:6</v>
      </c>
      <c r="AE8" s="53" t="s">
        <v>424</v>
      </c>
      <c r="AG8" t="s">
        <v>300</v>
      </c>
      <c r="AH8" s="357">
        <f>AK8</f>
        <v>6.0000000000000001E-3</v>
      </c>
      <c r="AI8" s="5"/>
      <c r="AJ8" s="5"/>
      <c r="AK8" s="357">
        <f>HUF_DATA!Z8</f>
        <v>6.0000000000000001E-3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HUF_BASIS_3X12@380:6</v>
      </c>
      <c r="AP8" s="53" t="s">
        <v>424</v>
      </c>
      <c r="AR8" t="s">
        <v>308</v>
      </c>
      <c r="AS8" s="357"/>
      <c r="AT8" s="5" t="b">
        <v>1</v>
      </c>
      <c r="AU8" s="5"/>
      <c r="AV8" s="358"/>
      <c r="AX8" s="50"/>
      <c r="AY8" s="72" t="s">
        <v>670</v>
      </c>
      <c r="AZ8" s="35" t="str">
        <f>IF(AZ$6,_xll.meLWOCurveGeneratorCreate(AZ$7,"CURVEPROPERTIES",AY12:AZ21,"MONEYMARKET",AY26:AZ28,"LIBORFIXINGS",AY31:AZ35,"BASISSWAPS",AY38:AZ79),"Disabled")</f>
        <v>HUF_BASIS_1M3M@379:6</v>
      </c>
      <c r="BA8" s="53" t="s">
        <v>424</v>
      </c>
      <c r="BC8" t="s">
        <v>300</v>
      </c>
      <c r="BD8" s="358">
        <f>BG8</f>
        <v>6.0000000000000001E-3</v>
      </c>
      <c r="BE8" s="5" t="b">
        <v>1</v>
      </c>
      <c r="BF8" s="5"/>
      <c r="BG8" s="358">
        <f>HUF_DATA!AE8</f>
        <v>6.0000000000000001E-3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HUF_XCCY@378:6</v>
      </c>
      <c r="BL8" s="53" t="s">
        <v>424</v>
      </c>
      <c r="BN8" t="s">
        <v>298</v>
      </c>
      <c r="BO8" s="359">
        <f t="shared" ref="BO8:BO16" si="4">BR8</f>
        <v>0.13</v>
      </c>
      <c r="BP8" s="359" t="b">
        <v>1</v>
      </c>
      <c r="BQ8" s="359"/>
      <c r="BR8" s="359">
        <f>HUF_DATA!AZ8</f>
        <v>0.13</v>
      </c>
      <c r="BT8" s="50"/>
      <c r="BU8" t="s">
        <v>670</v>
      </c>
      <c r="BV8" s="263" t="str">
        <f>IF(BV6,_xll.meLWOCurveGeneratorCreate(BV7,"CURVEPROPERTIES",BU12:BV15,"FXFWDS",BU20:BV25),"DISABLED")</f>
        <v>FX_CURVE_HUFUSD@384:6</v>
      </c>
      <c r="BW8" s="52"/>
      <c r="BX8" s="299"/>
      <c r="BY8" t="s">
        <v>298</v>
      </c>
      <c r="BZ8" s="359">
        <f>HUF_DATA!AW8</f>
        <v>-0.05</v>
      </c>
      <c r="CA8" s="359">
        <f>HUF_DATA!AX8</f>
        <v>0.3</v>
      </c>
      <c r="CC8" s="50"/>
      <c r="CD8" s="72" t="s">
        <v>670</v>
      </c>
      <c r="CE8" s="35" t="str">
        <f>IF(CE$6,_xll.meLWOCurveGeneratorCreate(CE$7,"CURVEPROPERTIES",CD12:CE20,"FWDFXCONST",CD27:CE31),"Disabled")</f>
        <v>HUF_EURCSA@383:6</v>
      </c>
      <c r="CF8" s="53" t="s">
        <v>424</v>
      </c>
      <c r="CG8"/>
      <c r="CH8"/>
      <c r="CI8" s="50"/>
      <c r="CJ8" s="72" t="s">
        <v>670</v>
      </c>
      <c r="CK8" s="35" t="str">
        <f>IF(CK$6,_xll.meLWOCurveGeneratorCreate(CK$7,"CURVEPROPERTIES",CJ12:CK20,"FWDFXCONST",CJ27:CK31),"Disabled")</f>
        <v>HUF_JPYCSA@381:6</v>
      </c>
      <c r="CL8" s="53" t="s">
        <v>424</v>
      </c>
      <c r="CO8" s="513"/>
      <c r="CP8" s="316"/>
      <c r="CQ8" s="316"/>
      <c r="CR8" s="299"/>
      <c r="CS8" s="299"/>
      <c r="CT8" s="206"/>
      <c r="CU8" s="206"/>
      <c r="CV8" s="206"/>
    </row>
    <row r="9" spans="1:100" x14ac:dyDescent="0.25">
      <c r="F9" s="50"/>
      <c r="G9" s="289"/>
      <c r="H9" s="289" t="str">
        <f>IF(H6,_xll.meLWOSave(H8,"Curve_Generator","C:\Temp\"&amp;H7&amp;".JSON"),"Disabled")</f>
        <v>Saved: Object 'HUF_OIS@382' saved to file C:\TEMP\HUF_OIS.JSON</v>
      </c>
      <c r="I9" s="53" t="s">
        <v>424</v>
      </c>
      <c r="K9" t="s">
        <v>313</v>
      </c>
      <c r="L9" s="357">
        <f t="shared" si="0"/>
        <v>4.5999999999999999E-3</v>
      </c>
      <c r="M9" s="5" t="b">
        <v>1</v>
      </c>
      <c r="N9" s="5">
        <f t="shared" si="1"/>
        <v>0</v>
      </c>
      <c r="O9" s="358">
        <f>HUF_DATA!M9</f>
        <v>4.5999999999999999E-3</v>
      </c>
      <c r="Q9" s="50"/>
      <c r="R9" s="52"/>
      <c r="S9" s="289" t="str">
        <f>IF(S6,_xll.meLWOSave(S8,"Curve_Generator","C:\Temp\"&amp;S7&amp;".JSON"),"Disabled")</f>
        <v>Saved: Object 'HUF_SWAP_6M@377' saved to file C:\TEMP\HUF_SWAP_6M.JSON</v>
      </c>
      <c r="T9" s="53"/>
      <c r="V9" t="s">
        <v>49</v>
      </c>
      <c r="W9" s="358">
        <f t="shared" si="2"/>
        <v>6.3E-3</v>
      </c>
      <c r="X9" s="5" t="b">
        <v>1</v>
      </c>
      <c r="Y9" s="5">
        <f t="shared" si="3"/>
        <v>0</v>
      </c>
      <c r="Z9" s="358">
        <f>HUF_DATA!U9</f>
        <v>6.3E-3</v>
      </c>
      <c r="AA9" s="203"/>
      <c r="AB9" s="50"/>
      <c r="AC9" s="52"/>
      <c r="AD9" s="289" t="str">
        <f>IF(AD6,_xll.meLWOSave(AD8,"Curve_Generator","C:\Temp\"&amp;AD7&amp;".JSON"),"Disabled")</f>
        <v>Saved: Object 'HUF_BASIS_3M6M@385' saved to file C:\TEMP\HUF_BASIS_3M6M.JSON</v>
      </c>
      <c r="AE9" s="53"/>
      <c r="AG9" t="s">
        <v>49</v>
      </c>
      <c r="AH9" s="357">
        <f>AK9</f>
        <v>6.3E-3</v>
      </c>
      <c r="AI9" s="5"/>
      <c r="AJ9" s="5"/>
      <c r="AK9" s="357">
        <f>HUF_DATA!Z9</f>
        <v>6.3E-3</v>
      </c>
      <c r="AL9" s="207"/>
      <c r="AM9" s="50"/>
      <c r="AN9" s="52"/>
      <c r="AO9" s="52"/>
      <c r="AP9" s="53"/>
      <c r="AR9" t="s">
        <v>316</v>
      </c>
      <c r="AS9" s="357"/>
      <c r="AT9" s="5" t="b">
        <v>1</v>
      </c>
      <c r="AU9" s="5"/>
      <c r="AV9" s="358"/>
      <c r="AX9" s="50"/>
      <c r="AY9" s="52"/>
      <c r="AZ9" s="289" t="str">
        <f>IF(AZ6,_xll.meLWOSave(AZ8,"Curve_Generator","C:\Temp\"&amp;AZ7&amp;".JSON"),"Disabled")</f>
        <v>Saved: Object 'HUF_BASIS_1M3M@379' saved to file C:\TEMP\HUF_BASIS_1M3M.JSON</v>
      </c>
      <c r="BA9" s="53"/>
      <c r="BC9" t="s">
        <v>47</v>
      </c>
      <c r="BD9" s="357">
        <f t="shared" ref="BD9:BD18" si="5">BG9+BF9/10000</f>
        <v>2.9999999999999997E-4</v>
      </c>
      <c r="BE9" s="5" t="b">
        <v>1</v>
      </c>
      <c r="BF9" s="5">
        <f t="shared" ref="BF9:BF18" si="6">$BF$4</f>
        <v>0</v>
      </c>
      <c r="BG9" s="358">
        <f>HUF_DATA!AE9</f>
        <v>2.9999999999999997E-4</v>
      </c>
      <c r="BI9" s="50"/>
      <c r="BJ9" s="52"/>
      <c r="BK9" s="289" t="str">
        <f>IF(BK6,_xll.meLWOSave(BK8,"Curve_Generator","C:\Temp\"&amp;BK7&amp;".JSON"),"Disabled")</f>
        <v>Saved: Object 'HUF_XCCY@378' saved to file C:\TEMP\HUF_XCCY.JSON</v>
      </c>
      <c r="BL9" s="53"/>
      <c r="BN9" t="s">
        <v>506</v>
      </c>
      <c r="BO9" s="359">
        <f t="shared" si="4"/>
        <v>0.15</v>
      </c>
      <c r="BP9" s="359" t="b">
        <v>1</v>
      </c>
      <c r="BQ9" s="359"/>
      <c r="BR9" s="359">
        <f>HUF_DATA!AZ9</f>
        <v>0.15</v>
      </c>
      <c r="BT9" s="50"/>
      <c r="BU9" s="57"/>
      <c r="BV9" s="57"/>
      <c r="BW9" s="52"/>
      <c r="BX9" s="299"/>
      <c r="BY9" t="s">
        <v>506</v>
      </c>
      <c r="BZ9" s="359">
        <f>HUF_DATA!AW9</f>
        <v>0.1</v>
      </c>
      <c r="CA9" s="359">
        <f>HUF_DATA!AX9</f>
        <v>0.2</v>
      </c>
      <c r="CC9" s="50"/>
      <c r="CD9" s="52"/>
      <c r="CE9" s="52"/>
      <c r="CF9" s="53"/>
      <c r="CG9"/>
      <c r="CH9"/>
      <c r="CI9" s="50"/>
      <c r="CJ9" s="52"/>
      <c r="CK9" s="52"/>
      <c r="CL9" s="53"/>
      <c r="CO9" s="513"/>
      <c r="CP9" s="316"/>
      <c r="CQ9" s="316"/>
      <c r="CR9" s="299"/>
      <c r="CS9" s="299"/>
      <c r="CT9" s="206"/>
      <c r="CU9" s="206"/>
      <c r="CV9" s="206"/>
    </row>
    <row r="10" spans="1:100" x14ac:dyDescent="0.25">
      <c r="F10" s="50"/>
      <c r="G10" s="289"/>
      <c r="H10" s="289"/>
      <c r="I10" s="53"/>
      <c r="K10" t="s">
        <v>300</v>
      </c>
      <c r="L10" s="357">
        <f t="shared" si="0"/>
        <v>4.5999999999999999E-3</v>
      </c>
      <c r="M10" s="5" t="b">
        <v>1</v>
      </c>
      <c r="N10" s="5">
        <f t="shared" si="1"/>
        <v>0</v>
      </c>
      <c r="O10" s="358">
        <f>HUF_DATA!M10</f>
        <v>4.5999999999999999E-3</v>
      </c>
      <c r="Q10" s="50"/>
      <c r="R10" s="52"/>
      <c r="S10" s="52"/>
      <c r="T10" s="53"/>
      <c r="V10" t="s">
        <v>46</v>
      </c>
      <c r="W10" s="358">
        <f t="shared" si="2"/>
        <v>6.4000000000000003E-3</v>
      </c>
      <c r="X10" s="5" t="b">
        <v>1</v>
      </c>
      <c r="Y10" s="5">
        <f t="shared" si="3"/>
        <v>0</v>
      </c>
      <c r="Z10" s="358">
        <f>HUF_DATA!U10</f>
        <v>6.4000000000000003E-3</v>
      </c>
      <c r="AA10" s="203"/>
      <c r="AB10" s="50"/>
      <c r="AC10" s="52"/>
      <c r="AD10" s="52"/>
      <c r="AE10" s="53"/>
      <c r="AG10" t="s">
        <v>494</v>
      </c>
      <c r="AH10" s="357">
        <f t="shared" ref="AH10:AH27" si="7">AK10+AJ10/10000</f>
        <v>6.7000000000000002E-3</v>
      </c>
      <c r="AI10" s="5" t="b">
        <v>1</v>
      </c>
      <c r="AJ10" s="5">
        <f t="shared" ref="AJ10:AJ27" si="8">$AJ$4</f>
        <v>0</v>
      </c>
      <c r="AK10" s="357">
        <f>HUF_DATA!Z10</f>
        <v>6.7000000000000002E-3</v>
      </c>
      <c r="AL10" s="207"/>
      <c r="AM10" s="50"/>
      <c r="AN10" s="52"/>
      <c r="AO10" s="52"/>
      <c r="AP10" s="53"/>
      <c r="AR10" t="s">
        <v>324</v>
      </c>
      <c r="AS10" s="357"/>
      <c r="AT10" s="5" t="b">
        <v>1</v>
      </c>
      <c r="AU10" s="5"/>
      <c r="AV10" s="358"/>
      <c r="AX10" s="50"/>
      <c r="AY10" s="52"/>
      <c r="AZ10" s="52"/>
      <c r="BA10" s="53"/>
      <c r="BC10" t="s">
        <v>308</v>
      </c>
      <c r="BD10" s="357">
        <f t="shared" si="5"/>
        <v>2.9999999999999997E-4</v>
      </c>
      <c r="BE10" s="5" t="b">
        <v>1</v>
      </c>
      <c r="BF10" s="5">
        <f t="shared" si="6"/>
        <v>0</v>
      </c>
      <c r="BG10" s="358">
        <f>HUF_DATA!AE10</f>
        <v>2.9999999999999997E-4</v>
      </c>
      <c r="BI10" s="50"/>
      <c r="BJ10" s="52"/>
      <c r="BK10" s="52"/>
      <c r="BL10" s="53"/>
      <c r="BN10" t="s">
        <v>305</v>
      </c>
      <c r="BO10" s="359">
        <f t="shared" si="4"/>
        <v>1.18</v>
      </c>
      <c r="BP10" s="359" t="b">
        <v>1</v>
      </c>
      <c r="BQ10" s="359"/>
      <c r="BR10" s="359">
        <f>HUF_DATA!AZ10</f>
        <v>1.18</v>
      </c>
      <c r="BT10" s="50"/>
      <c r="BU10" s="57"/>
      <c r="BV10" s="57"/>
      <c r="BW10" s="52"/>
      <c r="BX10" s="299"/>
      <c r="BY10" t="s">
        <v>305</v>
      </c>
      <c r="BZ10" s="359">
        <f>HUF_DATA!AW10</f>
        <v>0.2</v>
      </c>
      <c r="CA10" s="359">
        <f>HUF_DATA!AX10</f>
        <v>2.14</v>
      </c>
      <c r="CC10" s="50"/>
      <c r="CD10" s="52"/>
      <c r="CE10" s="52"/>
      <c r="CF10" s="53"/>
      <c r="CG10"/>
      <c r="CH10"/>
      <c r="CI10" s="50"/>
      <c r="CJ10" s="52"/>
      <c r="CK10" s="52"/>
      <c r="CL10" s="53"/>
      <c r="CO10" s="513"/>
      <c r="CP10" s="316"/>
      <c r="CQ10" s="316"/>
      <c r="CR10" s="299"/>
      <c r="CS10" s="299"/>
      <c r="CT10" s="206"/>
      <c r="CU10" s="206"/>
      <c r="CV10" s="206"/>
    </row>
    <row r="11" spans="1:100" x14ac:dyDescent="0.25">
      <c r="F11" s="50"/>
      <c r="G11" s="54" t="s">
        <v>671</v>
      </c>
      <c r="H11" s="52"/>
      <c r="I11" s="53"/>
      <c r="K11" t="s">
        <v>335</v>
      </c>
      <c r="L11" s="357">
        <f t="shared" si="0"/>
        <v>4.6999999999999993E-3</v>
      </c>
      <c r="M11" s="5" t="b">
        <v>1</v>
      </c>
      <c r="N11" s="5">
        <f t="shared" si="1"/>
        <v>0</v>
      </c>
      <c r="O11" s="358">
        <f>HUF_DATA!M11</f>
        <v>4.6999999999999993E-3</v>
      </c>
      <c r="Q11" s="50"/>
      <c r="R11" s="54" t="s">
        <v>671</v>
      </c>
      <c r="S11" s="52" t="s">
        <v>713</v>
      </c>
      <c r="T11" s="53"/>
      <c r="V11" t="s">
        <v>1070</v>
      </c>
      <c r="W11" s="358">
        <f t="shared" si="2"/>
        <v>7.0499999999999998E-3</v>
      </c>
      <c r="X11" s="5" t="b">
        <v>1</v>
      </c>
      <c r="Y11" s="5">
        <f t="shared" si="3"/>
        <v>0</v>
      </c>
      <c r="Z11" s="358">
        <f>HUF_DATA!U11</f>
        <v>7.0499999999999998E-3</v>
      </c>
      <c r="AA11" s="203"/>
      <c r="AB11" s="50"/>
      <c r="AC11" s="54" t="s">
        <v>671</v>
      </c>
      <c r="AD11" s="85" t="s">
        <v>713</v>
      </c>
      <c r="AE11" s="53"/>
      <c r="AG11" t="s">
        <v>495</v>
      </c>
      <c r="AH11" s="357">
        <f t="shared" si="7"/>
        <v>7.3000000000000001E-3</v>
      </c>
      <c r="AI11" s="5" t="b">
        <v>1</v>
      </c>
      <c r="AJ11" s="5">
        <f t="shared" si="8"/>
        <v>0</v>
      </c>
      <c r="AK11" s="357">
        <f>HUF_DATA!Z11</f>
        <v>7.3000000000000001E-3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S11" s="357"/>
      <c r="AT11" s="5" t="b">
        <v>1</v>
      </c>
      <c r="AU11" s="5"/>
      <c r="AV11" s="358"/>
      <c r="AX11" s="50"/>
      <c r="AY11" s="54" t="s">
        <v>671</v>
      </c>
      <c r="AZ11" s="85" t="s">
        <v>713</v>
      </c>
      <c r="BA11" s="53"/>
      <c r="BC11" t="s">
        <v>316</v>
      </c>
      <c r="BD11" s="357">
        <f t="shared" si="5"/>
        <v>2.9999999999999997E-4</v>
      </c>
      <c r="BE11" s="5" t="b">
        <v>1</v>
      </c>
      <c r="BF11" s="5">
        <f t="shared" si="6"/>
        <v>0</v>
      </c>
      <c r="BG11" s="358">
        <f>HUF_DATA!AE11</f>
        <v>2.9999999999999997E-4</v>
      </c>
      <c r="BI11" s="50"/>
      <c r="BJ11" s="54" t="s">
        <v>671</v>
      </c>
      <c r="BK11" s="85"/>
      <c r="BL11" s="53"/>
      <c r="BN11" t="s">
        <v>313</v>
      </c>
      <c r="BO11" s="359">
        <f t="shared" si="4"/>
        <v>2.5</v>
      </c>
      <c r="BP11" s="359" t="b">
        <v>1</v>
      </c>
      <c r="BQ11" s="359"/>
      <c r="BR11" s="359">
        <f>HUF_DATA!AZ11</f>
        <v>2.5</v>
      </c>
      <c r="BT11" s="50"/>
      <c r="BU11" s="56" t="s">
        <v>671</v>
      </c>
      <c r="BV11" s="272" t="s">
        <v>825</v>
      </c>
      <c r="BW11" s="52"/>
      <c r="BX11" s="299"/>
      <c r="BY11" t="s">
        <v>313</v>
      </c>
      <c r="BZ11" s="359">
        <f>HUF_DATA!AW11</f>
        <v>1.76</v>
      </c>
      <c r="CA11" s="359">
        <f>HUF_DATA!AX11</f>
        <v>3.61</v>
      </c>
      <c r="CC11" s="50"/>
      <c r="CD11" s="54" t="s">
        <v>671</v>
      </c>
      <c r="CE11" s="85"/>
      <c r="CF11" s="53"/>
      <c r="CG11"/>
      <c r="CH11"/>
      <c r="CI11" s="50"/>
      <c r="CJ11" s="54" t="s">
        <v>671</v>
      </c>
      <c r="CK11" s="85"/>
      <c r="CL11" s="53"/>
      <c r="CO11" s="513"/>
      <c r="CP11" s="316"/>
      <c r="CQ11" s="316"/>
      <c r="CR11" s="299"/>
      <c r="CS11" s="299"/>
      <c r="CT11" s="206"/>
      <c r="CU11" s="206"/>
      <c r="CV11" s="206"/>
    </row>
    <row r="12" spans="1:100" x14ac:dyDescent="0.25">
      <c r="F12" s="50"/>
      <c r="G12" s="212" t="s">
        <v>435</v>
      </c>
      <c r="H12" s="213" t="s">
        <v>426</v>
      </c>
      <c r="I12" s="53"/>
      <c r="K12" t="s">
        <v>49</v>
      </c>
      <c r="L12" s="357">
        <f t="shared" si="0"/>
        <v>4.7999999999999996E-3</v>
      </c>
      <c r="M12" s="5" t="b">
        <v>1</v>
      </c>
      <c r="N12" s="5">
        <f t="shared" si="1"/>
        <v>0</v>
      </c>
      <c r="O12" s="358">
        <f>HUF_DATA!M12</f>
        <v>4.7999999999999996E-3</v>
      </c>
      <c r="Q12" s="50"/>
      <c r="R12" s="220" t="s">
        <v>435</v>
      </c>
      <c r="S12" s="221" t="s">
        <v>463</v>
      </c>
      <c r="T12" s="53"/>
      <c r="V12" t="s">
        <v>1071</v>
      </c>
      <c r="W12" s="358">
        <f t="shared" si="2"/>
        <v>7.8000000000000005E-3</v>
      </c>
      <c r="X12" s="5" t="b">
        <v>1</v>
      </c>
      <c r="Y12" s="5">
        <f t="shared" si="3"/>
        <v>0</v>
      </c>
      <c r="Z12" s="358">
        <f>HUF_DATA!U12</f>
        <v>7.8000000000000005E-3</v>
      </c>
      <c r="AA12" s="203"/>
      <c r="AB12" s="50"/>
      <c r="AC12" s="220" t="s">
        <v>434</v>
      </c>
      <c r="AD12" s="238" t="str">
        <f>$A$1</f>
        <v>HUF</v>
      </c>
      <c r="AE12" s="53"/>
      <c r="AG12" t="s">
        <v>496</v>
      </c>
      <c r="AH12" s="357">
        <f t="shared" si="7"/>
        <v>7.9000000000000008E-3</v>
      </c>
      <c r="AI12" s="5" t="b">
        <v>1</v>
      </c>
      <c r="AJ12" s="5">
        <f t="shared" si="8"/>
        <v>0</v>
      </c>
      <c r="AK12" s="357">
        <f>HUF_DATA!Z12</f>
        <v>7.9000000000000008E-3</v>
      </c>
      <c r="AL12" s="207"/>
      <c r="AM12" s="50"/>
      <c r="AN12" s="220" t="s">
        <v>434</v>
      </c>
      <c r="AO12" s="238" t="str">
        <f>$A$1</f>
        <v>HUF</v>
      </c>
      <c r="AP12" s="53"/>
      <c r="AR12" t="s">
        <v>339</v>
      </c>
      <c r="AS12" s="357"/>
      <c r="AT12" s="5" t="b">
        <v>1</v>
      </c>
      <c r="AU12" s="5"/>
      <c r="AV12" s="358"/>
      <c r="AX12" s="50"/>
      <c r="AY12" s="220" t="s">
        <v>434</v>
      </c>
      <c r="AZ12" s="238" t="str">
        <f>$A$1</f>
        <v>HUF</v>
      </c>
      <c r="BA12" s="53"/>
      <c r="BC12" t="s">
        <v>324</v>
      </c>
      <c r="BD12" s="357">
        <f t="shared" si="5"/>
        <v>2.9999999999999997E-4</v>
      </c>
      <c r="BE12" s="5" t="b">
        <v>1</v>
      </c>
      <c r="BF12" s="5">
        <f t="shared" si="6"/>
        <v>0</v>
      </c>
      <c r="BG12" s="358">
        <f>HUF_DATA!AE12</f>
        <v>2.9999999999999997E-4</v>
      </c>
      <c r="BI12" s="50"/>
      <c r="BJ12" s="220" t="s">
        <v>435</v>
      </c>
      <c r="BK12" s="238" t="s">
        <v>669</v>
      </c>
      <c r="BL12" s="53"/>
      <c r="BN12" t="s">
        <v>300</v>
      </c>
      <c r="BO12" s="359">
        <f t="shared" si="4"/>
        <v>7</v>
      </c>
      <c r="BP12" s="359" t="b">
        <v>1</v>
      </c>
      <c r="BQ12" s="359"/>
      <c r="BR12" s="359">
        <f>HUF_DATA!AZ12</f>
        <v>7</v>
      </c>
      <c r="BT12" s="50"/>
      <c r="BU12" s="238" t="s">
        <v>434</v>
      </c>
      <c r="BV12" s="238" t="str">
        <f>$A$1&amp;"/"&amp;"USD"</f>
        <v>HUF/USD</v>
      </c>
      <c r="BW12" s="52"/>
      <c r="BX12" s="299"/>
      <c r="BY12" t="s">
        <v>300</v>
      </c>
      <c r="BZ12" s="359">
        <f>HUF_DATA!AW12</f>
        <v>4.99</v>
      </c>
      <c r="CA12" s="359">
        <f>HUF_DATA!AX12</f>
        <v>9.01</v>
      </c>
      <c r="CC12" s="50"/>
      <c r="CD12" s="220" t="s">
        <v>435</v>
      </c>
      <c r="CE12" s="238" t="s">
        <v>1084</v>
      </c>
      <c r="CF12" s="53"/>
      <c r="CG12"/>
      <c r="CH12"/>
      <c r="CI12" s="50"/>
      <c r="CJ12" s="220" t="s">
        <v>435</v>
      </c>
      <c r="CK12" s="238" t="s">
        <v>1084</v>
      </c>
      <c r="CL12" s="53"/>
      <c r="CO12" s="513"/>
      <c r="CP12" s="316"/>
      <c r="CQ12" s="316"/>
      <c r="CR12" s="299"/>
      <c r="CS12" s="299"/>
      <c r="CT12" s="206"/>
      <c r="CU12" s="206"/>
      <c r="CV12" s="206"/>
    </row>
    <row r="13" spans="1:100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357">
        <f t="shared" si="0"/>
        <v>5.1999999999999998E-3</v>
      </c>
      <c r="M13" s="5" t="b">
        <v>1</v>
      </c>
      <c r="N13" s="5">
        <f t="shared" si="1"/>
        <v>0</v>
      </c>
      <c r="O13" s="358">
        <f>HUF_DATA!M13</f>
        <v>5.1999999999999998E-3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SEMI-ANNUAL</v>
      </c>
      <c r="T13" s="53"/>
      <c r="V13" t="s">
        <v>1072</v>
      </c>
      <c r="W13" s="358">
        <f t="shared" si="2"/>
        <v>8.4499999999999992E-3</v>
      </c>
      <c r="X13" s="5" t="b">
        <v>1</v>
      </c>
      <c r="Y13" s="5">
        <f t="shared" si="3"/>
        <v>0</v>
      </c>
      <c r="Z13" s="358">
        <f>HUF_DATA!U13</f>
        <v>8.4499999999999992E-3</v>
      </c>
      <c r="AA13" s="203"/>
      <c r="AB13" s="50"/>
      <c r="AC13" s="222" t="s">
        <v>435</v>
      </c>
      <c r="AD13" s="216" t="s">
        <v>468</v>
      </c>
      <c r="AE13" s="53"/>
      <c r="AG13" t="s">
        <v>497</v>
      </c>
      <c r="AH13" s="357">
        <f t="shared" si="7"/>
        <v>8.9499999999999996E-3</v>
      </c>
      <c r="AI13" s="5" t="b">
        <v>1</v>
      </c>
      <c r="AJ13" s="5">
        <f t="shared" si="8"/>
        <v>0</v>
      </c>
      <c r="AK13" s="357">
        <f>HUF_DATA!Z13</f>
        <v>8.9499999999999996E-3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S13" s="357"/>
      <c r="AT13" s="5" t="b">
        <v>1</v>
      </c>
      <c r="AU13" s="5"/>
      <c r="AV13" s="358"/>
      <c r="AX13" s="50"/>
      <c r="AY13" s="222" t="s">
        <v>435</v>
      </c>
      <c r="AZ13" s="216" t="s">
        <v>468</v>
      </c>
      <c r="BA13" s="53"/>
      <c r="BC13" t="s">
        <v>331</v>
      </c>
      <c r="BD13" s="357">
        <f t="shared" si="5"/>
        <v>2.9999999999999997E-4</v>
      </c>
      <c r="BE13" s="5" t="b">
        <v>1</v>
      </c>
      <c r="BF13" s="5">
        <f t="shared" si="6"/>
        <v>0</v>
      </c>
      <c r="BG13" s="358">
        <f>HUF_DATA!AE13</f>
        <v>2.9999999999999997E-4</v>
      </c>
      <c r="BI13" s="50"/>
      <c r="BJ13" s="222" t="s">
        <v>438</v>
      </c>
      <c r="BK13" s="216" t="s">
        <v>458</v>
      </c>
      <c r="BL13" s="53"/>
      <c r="BN13" t="s">
        <v>335</v>
      </c>
      <c r="BO13" s="359">
        <f t="shared" si="4"/>
        <v>15.89</v>
      </c>
      <c r="BP13" s="359" t="b">
        <v>1</v>
      </c>
      <c r="BQ13" s="359"/>
      <c r="BR13" s="359">
        <f>HUF_DATA!AZ13</f>
        <v>15.89</v>
      </c>
      <c r="BT13" s="50"/>
      <c r="BU13" s="216" t="s">
        <v>724</v>
      </c>
      <c r="BV13" s="216" t="s">
        <v>1450</v>
      </c>
      <c r="BW13" s="52"/>
      <c r="BX13" s="299"/>
      <c r="BY13" t="s">
        <v>335</v>
      </c>
      <c r="BZ13" s="359">
        <f>HUF_DATA!AW13</f>
        <v>12.6</v>
      </c>
      <c r="CA13" s="359">
        <f>HUF_DATA!AX13</f>
        <v>19.170000000000002</v>
      </c>
      <c r="CC13" s="50"/>
      <c r="CD13" s="222" t="s">
        <v>438</v>
      </c>
      <c r="CE13" s="216" t="s">
        <v>439</v>
      </c>
      <c r="CF13" s="53"/>
      <c r="CG13"/>
      <c r="CH13"/>
      <c r="CI13" s="50"/>
      <c r="CJ13" s="222" t="s">
        <v>438</v>
      </c>
      <c r="CK13" s="216" t="s">
        <v>439</v>
      </c>
      <c r="CL13" s="53"/>
      <c r="CO13" s="513"/>
      <c r="CP13" s="316"/>
      <c r="CQ13" s="316"/>
      <c r="CR13" s="299"/>
      <c r="CS13" s="299"/>
      <c r="CT13" s="206"/>
      <c r="CU13" s="206"/>
      <c r="CV13" s="206"/>
    </row>
    <row r="14" spans="1:100" x14ac:dyDescent="0.25">
      <c r="F14" s="50"/>
      <c r="G14" s="214" t="s">
        <v>672</v>
      </c>
      <c r="H14" s="215" t="s">
        <v>426</v>
      </c>
      <c r="I14" s="53"/>
      <c r="K14" t="s">
        <v>376</v>
      </c>
      <c r="L14" s="357">
        <f t="shared" si="0"/>
        <v>5.6999999999999993E-3</v>
      </c>
      <c r="M14" s="5" t="b">
        <v>1</v>
      </c>
      <c r="N14" s="5">
        <f t="shared" si="1"/>
        <v>0</v>
      </c>
      <c r="O14" s="358">
        <f>HUF_DATA!M14</f>
        <v>5.6999999999999993E-3</v>
      </c>
      <c r="Q14" s="50"/>
      <c r="R14" s="222" t="s">
        <v>672</v>
      </c>
      <c r="S14" s="223" t="s">
        <v>714</v>
      </c>
      <c r="T14" s="53"/>
      <c r="V14" t="s">
        <v>1073</v>
      </c>
      <c r="W14" s="358">
        <f t="shared" si="2"/>
        <v>8.8999999999999999E-3</v>
      </c>
      <c r="X14" s="5" t="b">
        <v>1</v>
      </c>
      <c r="Y14" s="5">
        <f t="shared" si="3"/>
        <v>0</v>
      </c>
      <c r="Z14" s="358">
        <f>HUF_DATA!U14</f>
        <v>8.8999999999999999E-3</v>
      </c>
      <c r="AA14" s="203"/>
      <c r="AB14" s="50"/>
      <c r="AC14" s="222" t="s">
        <v>438</v>
      </c>
      <c r="AD14" s="216" t="s">
        <v>458</v>
      </c>
      <c r="AE14" s="53"/>
      <c r="AG14" t="s">
        <v>498</v>
      </c>
      <c r="AH14" s="357">
        <f t="shared" si="7"/>
        <v>9.5999999999999992E-3</v>
      </c>
      <c r="AI14" s="5" t="b">
        <v>1</v>
      </c>
      <c r="AJ14" s="5">
        <f t="shared" si="8"/>
        <v>0</v>
      </c>
      <c r="AK14" s="357">
        <f>HUF_DATA!Z14</f>
        <v>9.5999999999999992E-3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S14" s="357"/>
      <c r="AT14" s="5" t="b">
        <v>1</v>
      </c>
      <c r="AU14" s="5"/>
      <c r="AV14" s="358"/>
      <c r="AX14" s="50"/>
      <c r="AY14" s="222" t="s">
        <v>438</v>
      </c>
      <c r="AZ14" s="216" t="s">
        <v>794</v>
      </c>
      <c r="BA14" s="53"/>
      <c r="BC14" t="s">
        <v>339</v>
      </c>
      <c r="BD14" s="357">
        <f t="shared" si="5"/>
        <v>2.9999999999999997E-4</v>
      </c>
      <c r="BE14" s="5" t="b">
        <v>1</v>
      </c>
      <c r="BF14" s="5">
        <f t="shared" si="6"/>
        <v>0</v>
      </c>
      <c r="BG14" s="358">
        <f>HUF_DATA!AE14</f>
        <v>2.9999999999999997E-4</v>
      </c>
      <c r="BI14" s="50"/>
      <c r="BJ14" s="222" t="s">
        <v>672</v>
      </c>
      <c r="BK14" s="216" t="s">
        <v>803</v>
      </c>
      <c r="BL14" s="53"/>
      <c r="BN14" t="s">
        <v>49</v>
      </c>
      <c r="BO14" s="359">
        <f t="shared" si="4"/>
        <v>31.79</v>
      </c>
      <c r="BP14" s="359" t="b">
        <v>1</v>
      </c>
      <c r="BQ14" s="359"/>
      <c r="BR14" s="359">
        <f>HUF_DATA!AZ14</f>
        <v>31.79</v>
      </c>
      <c r="BT14" s="50"/>
      <c r="BU14" s="216" t="s">
        <v>435</v>
      </c>
      <c r="BV14" s="216" t="s">
        <v>820</v>
      </c>
      <c r="BW14" s="52"/>
      <c r="BX14" s="299"/>
      <c r="BY14" t="s">
        <v>49</v>
      </c>
      <c r="BZ14" s="359">
        <f>HUF_DATA!AW14</f>
        <v>26.01</v>
      </c>
      <c r="CA14" s="359">
        <f>HUF_DATA!AX14</f>
        <v>37.56</v>
      </c>
      <c r="CC14" s="50"/>
      <c r="CD14" s="222" t="s">
        <v>672</v>
      </c>
      <c r="CE14" s="216" t="s">
        <v>1092</v>
      </c>
      <c r="CF14" s="53"/>
      <c r="CG14"/>
      <c r="CH14"/>
      <c r="CI14" s="50"/>
      <c r="CJ14" s="222" t="s">
        <v>672</v>
      </c>
      <c r="CK14" s="216" t="s">
        <v>1127</v>
      </c>
      <c r="CL14" s="53"/>
      <c r="CO14" s="513"/>
      <c r="CP14" s="316"/>
      <c r="CQ14" s="316"/>
      <c r="CR14" s="299"/>
      <c r="CS14" s="299"/>
      <c r="CT14" s="206"/>
      <c r="CU14" s="206"/>
      <c r="CV14" s="206"/>
    </row>
    <row r="15" spans="1:100" x14ac:dyDescent="0.25">
      <c r="F15" s="50"/>
      <c r="G15" s="235" t="s">
        <v>673</v>
      </c>
      <c r="H15" s="236" t="str">
        <f>H14&amp;":"&amp;$A$1&amp;H12</f>
        <v>OIS:HUFOIS</v>
      </c>
      <c r="I15" s="53" t="s">
        <v>424</v>
      </c>
      <c r="K15" t="s">
        <v>47</v>
      </c>
      <c r="L15" s="357">
        <f t="shared" si="0"/>
        <v>5.7999999999999996E-3</v>
      </c>
      <c r="M15" s="5" t="b">
        <v>1</v>
      </c>
      <c r="N15" s="5">
        <f t="shared" si="1"/>
        <v>0</v>
      </c>
      <c r="O15" s="358">
        <f>HUF_DATA!M15</f>
        <v>5.7999999999999996E-3</v>
      </c>
      <c r="Q15" s="50"/>
      <c r="R15" s="233" t="s">
        <v>673</v>
      </c>
      <c r="S15" s="230" t="str">
        <f>"STD:"&amp;"BUB6M"</f>
        <v>STD:BUB6M</v>
      </c>
      <c r="T15" s="53"/>
      <c r="V15" t="s">
        <v>1074</v>
      </c>
      <c r="W15" s="358">
        <f t="shared" si="2"/>
        <v>9.300000000000001E-3</v>
      </c>
      <c r="X15" s="5" t="b">
        <v>1</v>
      </c>
      <c r="Y15" s="5">
        <f t="shared" si="3"/>
        <v>0</v>
      </c>
      <c r="Z15" s="358">
        <f>HUF_DATA!U15</f>
        <v>9.300000000000001E-3</v>
      </c>
      <c r="AA15" s="203"/>
      <c r="AB15" s="50"/>
      <c r="AC15" s="222" t="s">
        <v>672</v>
      </c>
      <c r="AD15" s="216" t="s">
        <v>745</v>
      </c>
      <c r="AE15" s="53"/>
      <c r="AG15" t="s">
        <v>47</v>
      </c>
      <c r="AH15" s="357">
        <f t="shared" si="7"/>
        <v>0</v>
      </c>
      <c r="AI15" s="5" t="b">
        <v>1</v>
      </c>
      <c r="AJ15" s="5">
        <f t="shared" si="8"/>
        <v>0</v>
      </c>
      <c r="AK15" s="358">
        <f>HUF_DATA!Z15</f>
        <v>0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S15" s="357"/>
      <c r="AT15" s="5" t="b">
        <v>1</v>
      </c>
      <c r="AU15" s="5"/>
      <c r="AV15" s="358"/>
      <c r="AX15" s="50"/>
      <c r="AY15" s="222" t="s">
        <v>672</v>
      </c>
      <c r="AZ15" s="216" t="s">
        <v>795</v>
      </c>
      <c r="BA15" s="53"/>
      <c r="BC15" t="s">
        <v>342</v>
      </c>
      <c r="BD15" s="357">
        <f t="shared" si="5"/>
        <v>2.9999999999999997E-4</v>
      </c>
      <c r="BE15" s="5" t="b">
        <v>1</v>
      </c>
      <c r="BF15" s="5">
        <f t="shared" si="6"/>
        <v>0</v>
      </c>
      <c r="BG15" s="358">
        <f>HUF_DATA!AE15</f>
        <v>2.9999999999999997E-4</v>
      </c>
      <c r="BI15" s="50"/>
      <c r="BJ15" s="222" t="s">
        <v>673</v>
      </c>
      <c r="BK15" s="216" t="str">
        <f>"XccyBasis:"&amp;$A$1&amp;"DF_USDCSA"</f>
        <v>XccyBasis:HUFDF_USDCSA</v>
      </c>
      <c r="BL15" s="53"/>
      <c r="BN15" t="s">
        <v>46</v>
      </c>
      <c r="BO15" s="359">
        <f t="shared" si="4"/>
        <v>58.76</v>
      </c>
      <c r="BP15" s="359" t="b">
        <v>1</v>
      </c>
      <c r="BQ15" s="359"/>
      <c r="BR15" s="359">
        <f>HUF_DATA!AZ15</f>
        <v>58.76</v>
      </c>
      <c r="BT15" s="50"/>
      <c r="BU15" s="219" t="s">
        <v>826</v>
      </c>
      <c r="BV15" s="219" t="s">
        <v>828</v>
      </c>
      <c r="BW15" s="52"/>
      <c r="BX15" s="299"/>
      <c r="BY15" t="s">
        <v>46</v>
      </c>
      <c r="BZ15" s="359">
        <f>HUF_DATA!AW15</f>
        <v>35.14</v>
      </c>
      <c r="CA15" s="359">
        <f>HUF_DATA!AX15</f>
        <v>82.39</v>
      </c>
      <c r="CC15" s="50"/>
      <c r="CD15" s="222" t="s">
        <v>673</v>
      </c>
      <c r="CE15" s="216" t="s">
        <v>931</v>
      </c>
      <c r="CF15" s="53"/>
      <c r="CG15"/>
      <c r="CH15"/>
      <c r="CI15" s="50"/>
      <c r="CJ15" s="222" t="s">
        <v>673</v>
      </c>
      <c r="CK15" s="216" t="s">
        <v>1457</v>
      </c>
      <c r="CL15" s="53"/>
      <c r="CO15" s="513"/>
      <c r="CP15" s="316"/>
      <c r="CQ15" s="316"/>
      <c r="CR15" s="299"/>
      <c r="CS15" s="299"/>
      <c r="CT15" s="206"/>
      <c r="CU15" s="206"/>
      <c r="CV15" s="206"/>
    </row>
    <row r="16" spans="1:100" x14ac:dyDescent="0.25">
      <c r="F16" s="50"/>
      <c r="G16" s="214" t="s">
        <v>434</v>
      </c>
      <c r="H16" s="216" t="str">
        <f>$A$1</f>
        <v>HUF</v>
      </c>
      <c r="I16" s="53"/>
      <c r="K16" t="s">
        <v>308</v>
      </c>
      <c r="L16" s="357">
        <f t="shared" si="0"/>
        <v>-7.0000000000000617E-5</v>
      </c>
      <c r="M16" s="5" t="b">
        <v>1</v>
      </c>
      <c r="N16" s="5">
        <f t="shared" si="1"/>
        <v>0</v>
      </c>
      <c r="O16" s="358">
        <f>PLN_DATA!M17</f>
        <v>-7.0000000000000617E-5</v>
      </c>
      <c r="Q16" s="50"/>
      <c r="R16" s="222" t="s">
        <v>434</v>
      </c>
      <c r="S16" s="223" t="str">
        <f>$A$1</f>
        <v>HUF</v>
      </c>
      <c r="T16" s="53"/>
      <c r="V16" t="s">
        <v>1075</v>
      </c>
      <c r="W16" s="358">
        <f t="shared" si="2"/>
        <v>9.5999999999999992E-3</v>
      </c>
      <c r="X16" s="5" t="b">
        <v>1</v>
      </c>
      <c r="Y16" s="5">
        <f t="shared" si="3"/>
        <v>0</v>
      </c>
      <c r="Z16" s="358">
        <f>HUF_DATA!U16</f>
        <v>9.5999999999999992E-3</v>
      </c>
      <c r="AA16" s="203"/>
      <c r="AB16" s="50"/>
      <c r="AC16" s="233" t="s">
        <v>673</v>
      </c>
      <c r="AD16" s="230" t="s">
        <v>953</v>
      </c>
      <c r="AE16" s="53"/>
      <c r="AG16" t="s">
        <v>308</v>
      </c>
      <c r="AH16" s="357">
        <f t="shared" si="7"/>
        <v>1.4999999999999999E-4</v>
      </c>
      <c r="AI16" s="5" t="b">
        <v>1</v>
      </c>
      <c r="AJ16" s="5">
        <f t="shared" si="8"/>
        <v>0</v>
      </c>
      <c r="AK16" s="358">
        <f>HUF_DATA!Z16</f>
        <v>1.4999999999999999E-4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S16" s="357"/>
      <c r="AT16" s="5" t="b">
        <v>1</v>
      </c>
      <c r="AU16" s="5"/>
      <c r="AV16" s="358"/>
      <c r="AX16" s="50"/>
      <c r="AY16" s="233" t="s">
        <v>673</v>
      </c>
      <c r="AZ16" s="230" t="str">
        <f>$AZ$15&amp;":BUB1M"</f>
        <v>1M3MBasis:BUB1M</v>
      </c>
      <c r="BA16" s="53"/>
      <c r="BC16" t="s">
        <v>355</v>
      </c>
      <c r="BD16" s="357">
        <f t="shared" si="5"/>
        <v>2.9999999999999997E-4</v>
      </c>
      <c r="BE16" s="5" t="b">
        <v>1</v>
      </c>
      <c r="BF16" s="5">
        <f t="shared" si="6"/>
        <v>0</v>
      </c>
      <c r="BG16" s="358">
        <f>HUF_DATA!AE16</f>
        <v>2.9999999999999997E-4</v>
      </c>
      <c r="BI16" s="50"/>
      <c r="BJ16" s="233" t="s">
        <v>434</v>
      </c>
      <c r="BK16" s="230" t="str">
        <f>$A$1</f>
        <v>HUF</v>
      </c>
      <c r="BL16" s="53"/>
      <c r="BN16" t="s">
        <v>376</v>
      </c>
      <c r="BO16" s="359">
        <f t="shared" si="4"/>
        <v>103.85</v>
      </c>
      <c r="BP16" s="359" t="b">
        <v>1</v>
      </c>
      <c r="BQ16" s="359"/>
      <c r="BR16" s="359">
        <f>HUF_DATA!AZ16</f>
        <v>103.85</v>
      </c>
      <c r="BT16" s="50"/>
      <c r="BU16" s="57"/>
      <c r="BV16" s="57"/>
      <c r="BW16" s="52"/>
      <c r="BX16" s="299"/>
      <c r="BY16" t="s">
        <v>376</v>
      </c>
      <c r="BZ16" s="359">
        <f>HUF_DATA!AW16</f>
        <v>83.74</v>
      </c>
      <c r="CA16" s="359">
        <f>HUF_DATA!AX16</f>
        <v>123.97</v>
      </c>
      <c r="CC16" s="50"/>
      <c r="CD16" s="233" t="s">
        <v>434</v>
      </c>
      <c r="CE16" s="230" t="s">
        <v>160</v>
      </c>
      <c r="CF16" s="53"/>
      <c r="CG16"/>
      <c r="CH16"/>
      <c r="CI16" s="50"/>
      <c r="CJ16" s="233" t="s">
        <v>434</v>
      </c>
      <c r="CK16" s="230" t="s">
        <v>160</v>
      </c>
      <c r="CL16" s="53"/>
      <c r="CO16" s="513"/>
      <c r="CP16" s="316"/>
      <c r="CQ16" s="316"/>
      <c r="CR16" s="299"/>
      <c r="CS16" s="299"/>
      <c r="CT16" s="206"/>
      <c r="CU16" s="206"/>
      <c r="CV16" s="206"/>
    </row>
    <row r="17" spans="6:100" x14ac:dyDescent="0.25">
      <c r="F17" s="50"/>
      <c r="G17" s="217" t="s">
        <v>674</v>
      </c>
      <c r="H17" s="216" t="s">
        <v>675</v>
      </c>
      <c r="I17" s="53"/>
      <c r="K17" t="s">
        <v>316</v>
      </c>
      <c r="L17" s="357">
        <f t="shared" si="0"/>
        <v>-1.6000000000000042E-4</v>
      </c>
      <c r="M17" s="5" t="b">
        <v>1</v>
      </c>
      <c r="N17" s="5">
        <f t="shared" si="1"/>
        <v>0</v>
      </c>
      <c r="O17" s="358">
        <f>PLN_DATA!M18</f>
        <v>-1.6000000000000042E-4</v>
      </c>
      <c r="Q17" s="50"/>
      <c r="R17" s="222" t="s">
        <v>674</v>
      </c>
      <c r="S17" s="223" t="s">
        <v>1655</v>
      </c>
      <c r="T17" s="53"/>
      <c r="V17" t="s">
        <v>47</v>
      </c>
      <c r="W17" s="358">
        <f t="shared" si="2"/>
        <v>0</v>
      </c>
      <c r="X17" s="5" t="b">
        <v>1</v>
      </c>
      <c r="Y17" s="5">
        <f t="shared" si="3"/>
        <v>0</v>
      </c>
      <c r="Z17" s="358">
        <f>HUF_DATA!Z15</f>
        <v>0</v>
      </c>
      <c r="AA17" s="203"/>
      <c r="AB17" s="50"/>
      <c r="AC17" s="222" t="s">
        <v>674</v>
      </c>
      <c r="AD17" s="216" t="s">
        <v>675</v>
      </c>
      <c r="AE17" s="53"/>
      <c r="AG17" t="s">
        <v>316</v>
      </c>
      <c r="AH17" s="357">
        <f t="shared" si="7"/>
        <v>1E-4</v>
      </c>
      <c r="AI17" s="5" t="b">
        <v>1</v>
      </c>
      <c r="AJ17" s="5">
        <f t="shared" si="8"/>
        <v>0</v>
      </c>
      <c r="AK17" s="358">
        <f>HUF_DATA!Z17</f>
        <v>1E-4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S17" s="357"/>
      <c r="AT17" s="5" t="b">
        <v>1</v>
      </c>
      <c r="AU17" s="5"/>
      <c r="AV17" s="358"/>
      <c r="AX17" s="50"/>
      <c r="AY17" s="222" t="s">
        <v>674</v>
      </c>
      <c r="AZ17" s="216" t="s">
        <v>675</v>
      </c>
      <c r="BA17" s="53"/>
      <c r="BC17" t="s">
        <v>364</v>
      </c>
      <c r="BD17" s="357">
        <f t="shared" si="5"/>
        <v>2.9999999999999997E-4</v>
      </c>
      <c r="BE17" s="5" t="b">
        <v>1</v>
      </c>
      <c r="BF17" s="5">
        <f t="shared" si="6"/>
        <v>0</v>
      </c>
      <c r="BG17" s="358">
        <f>HUF_DATA!AE17</f>
        <v>2.9999999999999997E-4</v>
      </c>
      <c r="BI17" s="50"/>
      <c r="BJ17" s="222" t="s">
        <v>674</v>
      </c>
      <c r="BK17" s="216" t="s">
        <v>675</v>
      </c>
      <c r="BL17" s="53"/>
      <c r="BN17" t="s">
        <v>47</v>
      </c>
      <c r="BO17" s="357">
        <f t="shared" ref="BO17:BO29" si="9">BR17+BQ17/10000</f>
        <v>-2.6461940220659557E-4</v>
      </c>
      <c r="BP17" s="359" t="b">
        <v>1</v>
      </c>
      <c r="BQ17" s="5">
        <f t="shared" ref="BQ17:BQ29" si="10">$BQ$4</f>
        <v>0</v>
      </c>
      <c r="BR17" s="358">
        <f>HUF_DATA!AR21</f>
        <v>-2.6461940220659557E-4</v>
      </c>
      <c r="BT17" s="50"/>
      <c r="BU17" s="57"/>
      <c r="BV17" s="57"/>
      <c r="BW17" s="52"/>
      <c r="BX17" s="299"/>
      <c r="BY17" t="s">
        <v>322</v>
      </c>
      <c r="BZ17" s="359">
        <f>HUF_DATA!AW17</f>
        <v>144</v>
      </c>
      <c r="CA17" s="359">
        <f>HUF_DATA!AX17</f>
        <v>192.78</v>
      </c>
      <c r="CC17" s="50"/>
      <c r="CD17" s="222" t="s">
        <v>674</v>
      </c>
      <c r="CE17" s="216" t="s">
        <v>675</v>
      </c>
      <c r="CF17" s="53"/>
      <c r="CG17"/>
      <c r="CH17"/>
      <c r="CI17" s="50"/>
      <c r="CJ17" s="222" t="s">
        <v>674</v>
      </c>
      <c r="CK17" s="216" t="s">
        <v>675</v>
      </c>
      <c r="CL17" s="53"/>
      <c r="CO17" s="513"/>
      <c r="CP17" s="316"/>
      <c r="CQ17" s="316"/>
      <c r="CR17" s="299"/>
      <c r="CS17" s="299"/>
      <c r="CT17" s="206"/>
      <c r="CU17" s="206"/>
      <c r="CV17" s="206"/>
    </row>
    <row r="18" spans="6:100" x14ac:dyDescent="0.25">
      <c r="F18" s="50"/>
      <c r="G18" s="214" t="s">
        <v>676</v>
      </c>
      <c r="H18" s="216" t="s">
        <v>675</v>
      </c>
      <c r="I18" s="53"/>
      <c r="K18" t="s">
        <v>324</v>
      </c>
      <c r="L18" s="357">
        <f t="shared" si="0"/>
        <v>-9.000000000000067E-5</v>
      </c>
      <c r="M18" s="5" t="b">
        <v>1</v>
      </c>
      <c r="N18" s="5">
        <f t="shared" si="1"/>
        <v>0</v>
      </c>
      <c r="O18" s="358">
        <f>PLN_DATA!M19</f>
        <v>-9.000000000000067E-5</v>
      </c>
      <c r="Q18" s="50"/>
      <c r="R18" s="222" t="s">
        <v>676</v>
      </c>
      <c r="S18" s="223" t="s">
        <v>1655</v>
      </c>
      <c r="T18" s="53"/>
      <c r="V18" s="620" t="s">
        <v>308</v>
      </c>
      <c r="W18" s="658">
        <f>Z18</f>
        <v>0</v>
      </c>
      <c r="X18" s="5" t="b">
        <v>1</v>
      </c>
      <c r="Z18" s="658">
        <v>0</v>
      </c>
      <c r="AA18" s="203"/>
      <c r="AB18" s="50"/>
      <c r="AC18" s="222" t="s">
        <v>676</v>
      </c>
      <c r="AD18" s="216" t="s">
        <v>675</v>
      </c>
      <c r="AE18" s="53"/>
      <c r="AG18" t="s">
        <v>324</v>
      </c>
      <c r="AH18" s="357">
        <f t="shared" si="7"/>
        <v>1E-4</v>
      </c>
      <c r="AI18" s="5" t="b">
        <v>1</v>
      </c>
      <c r="AJ18" s="5">
        <f t="shared" si="8"/>
        <v>0</v>
      </c>
      <c r="AK18" s="358">
        <f>HUF_DATA!Z18</f>
        <v>1E-4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S18" s="357"/>
      <c r="AT18" s="5" t="b">
        <v>1</v>
      </c>
      <c r="AU18" s="5"/>
      <c r="AV18" s="358"/>
      <c r="AX18" s="50"/>
      <c r="AY18" s="222" t="s">
        <v>676</v>
      </c>
      <c r="AZ18" s="216" t="s">
        <v>675</v>
      </c>
      <c r="BA18" s="53"/>
      <c r="BC18" t="s">
        <v>349</v>
      </c>
      <c r="BD18" s="357">
        <f t="shared" si="5"/>
        <v>2.9999999999999997E-4</v>
      </c>
      <c r="BE18" s="5" t="b">
        <v>1</v>
      </c>
      <c r="BF18" s="5">
        <f t="shared" si="6"/>
        <v>0</v>
      </c>
      <c r="BG18" s="358">
        <f>HUF_DATA!AE18</f>
        <v>2.9999999999999997E-4</v>
      </c>
      <c r="BI18" s="50"/>
      <c r="BJ18" s="222" t="s">
        <v>676</v>
      </c>
      <c r="BK18" s="216" t="s">
        <v>675</v>
      </c>
      <c r="BL18" s="53"/>
      <c r="BN18" t="s">
        <v>308</v>
      </c>
      <c r="BO18" s="357">
        <f t="shared" si="9"/>
        <v>-2.8501633547005698E-4</v>
      </c>
      <c r="BP18" s="5" t="b">
        <v>1</v>
      </c>
      <c r="BQ18" s="5">
        <f t="shared" si="10"/>
        <v>0</v>
      </c>
      <c r="BR18" s="358">
        <f>HUF_DATA!AR22</f>
        <v>-2.8501633547005698E-4</v>
      </c>
      <c r="BT18" s="50"/>
      <c r="BU18" s="57"/>
      <c r="BV18" s="57"/>
      <c r="BW18" s="52"/>
      <c r="BX18" s="299"/>
      <c r="BY18" t="s">
        <v>308</v>
      </c>
      <c r="BZ18" s="359">
        <f>HUF_DATA!AW18</f>
        <v>317.17</v>
      </c>
      <c r="CA18" s="359">
        <f>HUF_DATA!AX18</f>
        <v>465.54</v>
      </c>
      <c r="CC18" s="50"/>
      <c r="CD18" s="222" t="s">
        <v>676</v>
      </c>
      <c r="CE18" s="216" t="s">
        <v>675</v>
      </c>
      <c r="CF18" s="53"/>
      <c r="CG18"/>
      <c r="CH18"/>
      <c r="CI18" s="50"/>
      <c r="CJ18" s="222" t="s">
        <v>676</v>
      </c>
      <c r="CK18" s="216" t="s">
        <v>675</v>
      </c>
      <c r="CL18" s="53"/>
      <c r="CO18" s="513"/>
      <c r="CP18" s="316"/>
      <c r="CQ18" s="316"/>
      <c r="CR18" s="299"/>
      <c r="CS18" s="299"/>
      <c r="CT18" s="206"/>
      <c r="CU18" s="206"/>
      <c r="CV18" s="206"/>
    </row>
    <row r="19" spans="6:100" x14ac:dyDescent="0.25">
      <c r="F19" s="50"/>
      <c r="G19" s="214"/>
      <c r="H19" s="216"/>
      <c r="I19" s="53"/>
      <c r="K19" t="s">
        <v>331</v>
      </c>
      <c r="L19" s="357">
        <f t="shared" si="0"/>
        <v>1.0000000000000026E-4</v>
      </c>
      <c r="M19" s="5" t="b">
        <v>1</v>
      </c>
      <c r="N19" s="5">
        <f t="shared" si="1"/>
        <v>0</v>
      </c>
      <c r="O19" s="358">
        <f>PLN_DATA!M20</f>
        <v>1.0000000000000026E-4</v>
      </c>
      <c r="Q19" s="50"/>
      <c r="R19" s="222" t="s">
        <v>716</v>
      </c>
      <c r="S19" s="223" t="s">
        <v>1655</v>
      </c>
      <c r="T19" s="53"/>
      <c r="V19" s="620" t="s">
        <v>316</v>
      </c>
      <c r="W19" s="658">
        <f t="shared" ref="W19:W29" si="11">Z19</f>
        <v>0</v>
      </c>
      <c r="X19" s="5" t="b">
        <v>1</v>
      </c>
      <c r="Z19" s="658">
        <v>0</v>
      </c>
      <c r="AA19" s="203"/>
      <c r="AB19" s="50"/>
      <c r="AC19" s="222" t="s">
        <v>746</v>
      </c>
      <c r="AD19" s="216" t="s">
        <v>675</v>
      </c>
      <c r="AE19" s="53"/>
      <c r="AG19" t="s">
        <v>331</v>
      </c>
      <c r="AH19" s="357">
        <f t="shared" si="7"/>
        <v>1E-4</v>
      </c>
      <c r="AI19" s="5" t="b">
        <v>1</v>
      </c>
      <c r="AJ19" s="5">
        <f t="shared" si="8"/>
        <v>0</v>
      </c>
      <c r="AK19" s="358">
        <f>HUF_DATA!Z19</f>
        <v>1E-4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S19" s="357"/>
      <c r="AT19" s="5" t="b">
        <v>1</v>
      </c>
      <c r="AU19" s="5"/>
      <c r="AV19" s="358"/>
      <c r="AX19" s="50"/>
      <c r="AY19" s="222" t="s">
        <v>746</v>
      </c>
      <c r="AZ19" s="216" t="s">
        <v>675</v>
      </c>
      <c r="BA19" s="53"/>
      <c r="BD19" s="357"/>
      <c r="BE19" s="5"/>
      <c r="BF19" s="5"/>
      <c r="BG19" s="358"/>
      <c r="BI19" s="50"/>
      <c r="BJ19" s="222" t="s">
        <v>746</v>
      </c>
      <c r="BK19" s="216" t="s">
        <v>675</v>
      </c>
      <c r="BL19" s="53"/>
      <c r="BN19" t="s">
        <v>316</v>
      </c>
      <c r="BO19" s="357">
        <f t="shared" si="9"/>
        <v>-3.5725782211713038E-4</v>
      </c>
      <c r="BP19" s="5" t="b">
        <v>1</v>
      </c>
      <c r="BQ19" s="5">
        <f t="shared" si="10"/>
        <v>0</v>
      </c>
      <c r="BR19" s="358">
        <f>HUF_DATA!AR23</f>
        <v>-3.5725782211713038E-4</v>
      </c>
      <c r="BT19" s="50"/>
      <c r="BU19" s="56" t="s">
        <v>814</v>
      </c>
      <c r="BV19" s="57"/>
      <c r="BW19" s="262"/>
      <c r="BX19" s="303"/>
      <c r="BY19" t="s">
        <v>316</v>
      </c>
      <c r="BZ19" s="359">
        <f>HUF_DATA!AW19</f>
        <v>717.57</v>
      </c>
      <c r="CA19" s="359">
        <f>HUF_DATA!AX19</f>
        <v>815.81</v>
      </c>
      <c r="CC19" s="50"/>
      <c r="CD19" s="222" t="s">
        <v>746</v>
      </c>
      <c r="CE19" s="216" t="s">
        <v>675</v>
      </c>
      <c r="CF19" s="53"/>
      <c r="CG19"/>
      <c r="CH19"/>
      <c r="CI19" s="50"/>
      <c r="CJ19" s="222" t="s">
        <v>746</v>
      </c>
      <c r="CK19" s="216" t="s">
        <v>675</v>
      </c>
      <c r="CL19" s="53"/>
      <c r="CO19" s="513"/>
      <c r="CP19" s="316"/>
      <c r="CQ19" s="316"/>
      <c r="CR19" s="299"/>
      <c r="CS19" s="299"/>
      <c r="CT19" s="206"/>
      <c r="CU19" s="206"/>
      <c r="CV19" s="206"/>
    </row>
    <row r="20" spans="6:100" x14ac:dyDescent="0.25">
      <c r="F20" s="50"/>
      <c r="G20" s="218"/>
      <c r="H20" s="219"/>
      <c r="I20" s="53"/>
      <c r="K20" t="s">
        <v>339</v>
      </c>
      <c r="L20" s="357">
        <f t="shared" si="0"/>
        <v>4.0000000000000018E-4</v>
      </c>
      <c r="M20" s="5" t="b">
        <v>1</v>
      </c>
      <c r="N20" s="5">
        <f t="shared" si="1"/>
        <v>0</v>
      </c>
      <c r="O20" s="358">
        <f>PLN_DATA!M21</f>
        <v>4.0000000000000018E-4</v>
      </c>
      <c r="Q20" s="50"/>
      <c r="R20" s="233" t="s">
        <v>717</v>
      </c>
      <c r="S20" s="230" t="s">
        <v>718</v>
      </c>
      <c r="T20" s="53"/>
      <c r="V20" s="620" t="s">
        <v>324</v>
      </c>
      <c r="W20" s="658">
        <f t="shared" si="11"/>
        <v>0</v>
      </c>
      <c r="X20" s="5" t="b">
        <v>1</v>
      </c>
      <c r="Z20" s="658">
        <v>0</v>
      </c>
      <c r="AA20" s="203"/>
      <c r="AB20" s="50"/>
      <c r="AC20" s="222" t="s">
        <v>747</v>
      </c>
      <c r="AD20" s="216" t="s">
        <v>720</v>
      </c>
      <c r="AE20" s="53"/>
      <c r="AG20" t="s">
        <v>339</v>
      </c>
      <c r="AH20" s="357">
        <f t="shared" si="7"/>
        <v>1E-4</v>
      </c>
      <c r="AI20" s="5" t="b">
        <v>1</v>
      </c>
      <c r="AJ20" s="5">
        <f t="shared" si="8"/>
        <v>0</v>
      </c>
      <c r="AK20" s="358">
        <f>HUF_DATA!Z20</f>
        <v>1E-4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S20" s="357"/>
      <c r="AT20" s="5" t="b">
        <v>1</v>
      </c>
      <c r="AU20" s="5"/>
      <c r="AV20" s="358"/>
      <c r="AX20" s="50"/>
      <c r="AY20" s="222" t="s">
        <v>747</v>
      </c>
      <c r="AZ20" s="216" t="s">
        <v>720</v>
      </c>
      <c r="BA20" s="53"/>
      <c r="BD20" s="357"/>
      <c r="BE20" s="5"/>
      <c r="BF20" s="5"/>
      <c r="BG20" s="358"/>
      <c r="BI20" s="50"/>
      <c r="BJ20" s="222" t="s">
        <v>747</v>
      </c>
      <c r="BK20" s="216" t="b">
        <v>0</v>
      </c>
      <c r="BL20" s="53"/>
      <c r="BN20" t="s">
        <v>324</v>
      </c>
      <c r="BO20" s="357">
        <f t="shared" si="9"/>
        <v>-4.6034056137900058E-4</v>
      </c>
      <c r="BP20" s="5" t="b">
        <v>1</v>
      </c>
      <c r="BQ20" s="5">
        <f t="shared" si="10"/>
        <v>0</v>
      </c>
      <c r="BR20" s="358">
        <f>HUF_DATA!AR24</f>
        <v>-4.6034056137900058E-4</v>
      </c>
      <c r="BT20" s="50"/>
      <c r="BU20" s="147" t="s">
        <v>704</v>
      </c>
      <c r="BV20" s="221" t="str">
        <f>INDEX('STATIC DATA'!C30:AB30,1,MATCH($A$1,'STATIC DATA'!$C$4:$AB$4,0))</f>
        <v>BDB:TGT:LNB</v>
      </c>
      <c r="BW20" s="52"/>
      <c r="BX20" s="299"/>
      <c r="BY20" t="s">
        <v>324</v>
      </c>
      <c r="BZ20" s="359" t="str">
        <f>HUF_DATA!AW20</f>
        <v>#N/A N/A</v>
      </c>
      <c r="CA20" s="359" t="str">
        <f>HUF_DATA!AX20</f>
        <v>#N/A N/A</v>
      </c>
      <c r="CC20" s="50"/>
      <c r="CD20" s="222" t="s">
        <v>748</v>
      </c>
      <c r="CE20" s="216" t="s">
        <v>426</v>
      </c>
      <c r="CF20" s="53"/>
      <c r="CG20"/>
      <c r="CH20"/>
      <c r="CI20" s="50"/>
      <c r="CJ20" s="222" t="s">
        <v>748</v>
      </c>
      <c r="CK20" s="216" t="s">
        <v>426</v>
      </c>
      <c r="CL20" s="53"/>
      <c r="CO20" s="513"/>
      <c r="CP20" s="316"/>
      <c r="CQ20" s="316"/>
      <c r="CR20" s="299"/>
      <c r="CS20" s="299"/>
      <c r="CT20" s="206"/>
      <c r="CU20" s="206"/>
      <c r="CV20" s="206"/>
    </row>
    <row r="21" spans="6:100" x14ac:dyDescent="0.25">
      <c r="F21" s="50"/>
      <c r="G21" s="52"/>
      <c r="H21" s="52"/>
      <c r="I21" s="53"/>
      <c r="K21" t="s">
        <v>342</v>
      </c>
      <c r="L21" s="357">
        <f t="shared" si="0"/>
        <v>7.6000000000000026E-4</v>
      </c>
      <c r="M21" s="5" t="b">
        <v>1</v>
      </c>
      <c r="N21" s="5">
        <f t="shared" si="1"/>
        <v>0</v>
      </c>
      <c r="O21" s="358">
        <f>PLN_DATA!M22</f>
        <v>7.6000000000000026E-4</v>
      </c>
      <c r="Q21" s="50"/>
      <c r="R21" s="233" t="s">
        <v>719</v>
      </c>
      <c r="S21" s="230" t="s">
        <v>720</v>
      </c>
      <c r="T21" s="53"/>
      <c r="V21" s="620" t="s">
        <v>331</v>
      </c>
      <c r="W21" s="658">
        <f t="shared" si="11"/>
        <v>0</v>
      </c>
      <c r="X21" s="5" t="b">
        <v>1</v>
      </c>
      <c r="Z21" s="658">
        <v>0</v>
      </c>
      <c r="AA21" s="203"/>
      <c r="AB21" s="50"/>
      <c r="AC21" s="234" t="s">
        <v>748</v>
      </c>
      <c r="AD21" s="232" t="s">
        <v>426</v>
      </c>
      <c r="AE21" s="53"/>
      <c r="AG21" t="s">
        <v>342</v>
      </c>
      <c r="AH21" s="357">
        <f t="shared" si="7"/>
        <v>1E-4</v>
      </c>
      <c r="AI21" s="5" t="b">
        <v>1</v>
      </c>
      <c r="AJ21" s="5">
        <f t="shared" si="8"/>
        <v>0</v>
      </c>
      <c r="AK21" s="358">
        <f>HUF_DATA!Z21</f>
        <v>1E-4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S21" s="357"/>
      <c r="AT21" s="5" t="b">
        <v>1</v>
      </c>
      <c r="AU21" s="5"/>
      <c r="AV21" s="358"/>
      <c r="AX21" s="50"/>
      <c r="AY21" s="234" t="s">
        <v>748</v>
      </c>
      <c r="AZ21" s="232" t="s">
        <v>426</v>
      </c>
      <c r="BA21" s="53"/>
      <c r="BD21" s="357"/>
      <c r="BE21" s="5"/>
      <c r="BF21" s="5"/>
      <c r="BG21" s="358"/>
      <c r="BI21" s="50"/>
      <c r="BJ21" s="234" t="s">
        <v>717</v>
      </c>
      <c r="BK21" s="232" t="b">
        <v>0</v>
      </c>
      <c r="BL21" s="53"/>
      <c r="BN21" t="s">
        <v>331</v>
      </c>
      <c r="BO21" s="357">
        <f t="shared" si="9"/>
        <v>-5.7947328541044934E-4</v>
      </c>
      <c r="BP21" s="5" t="b">
        <v>1</v>
      </c>
      <c r="BQ21" s="5">
        <f t="shared" si="10"/>
        <v>0</v>
      </c>
      <c r="BR21" s="358">
        <f>HUF_DATA!AR25</f>
        <v>-5.7947328541044934E-4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t="s">
        <v>331</v>
      </c>
      <c r="BZ21" s="359" t="str">
        <f>HUF_DATA!AW21</f>
        <v>#N/A N/A</v>
      </c>
      <c r="CA21" s="359" t="str">
        <f>HUF_DATA!AX21</f>
        <v>#N/A N/A</v>
      </c>
      <c r="CC21"/>
      <c r="CD21"/>
      <c r="CE21"/>
      <c r="CF21"/>
      <c r="CG21"/>
      <c r="CH21"/>
      <c r="CI21"/>
      <c r="CJ21"/>
      <c r="CK21"/>
      <c r="CL21"/>
      <c r="CO21" s="513"/>
      <c r="CP21" s="316"/>
      <c r="CQ21" s="316"/>
      <c r="CR21" s="299"/>
      <c r="CS21" s="299"/>
      <c r="CT21" s="206"/>
      <c r="CU21" s="206"/>
      <c r="CV21" s="206"/>
    </row>
    <row r="22" spans="6:100" x14ac:dyDescent="0.25">
      <c r="F22" s="50"/>
      <c r="G22" s="54" t="s">
        <v>426</v>
      </c>
      <c r="H22" s="52"/>
      <c r="I22" s="53"/>
      <c r="K22" t="s">
        <v>355</v>
      </c>
      <c r="L22" s="357">
        <f t="shared" si="0"/>
        <v>1.1800000000000005E-3</v>
      </c>
      <c r="M22" s="5" t="b">
        <v>1</v>
      </c>
      <c r="N22" s="5">
        <f t="shared" si="1"/>
        <v>0</v>
      </c>
      <c r="O22" s="358">
        <f>PLN_DATA!M23</f>
        <v>1.1800000000000005E-3</v>
      </c>
      <c r="Q22" s="50"/>
      <c r="R22" s="222" t="s">
        <v>706</v>
      </c>
      <c r="S22" s="223" t="s">
        <v>721</v>
      </c>
      <c r="T22" s="53"/>
      <c r="V22" s="620" t="s">
        <v>339</v>
      </c>
      <c r="W22" s="658">
        <f t="shared" si="11"/>
        <v>0</v>
      </c>
      <c r="X22" s="5" t="b">
        <v>1</v>
      </c>
      <c r="Z22" s="658">
        <v>0</v>
      </c>
      <c r="AA22" s="203"/>
      <c r="AB22" s="50"/>
      <c r="AC22" s="222" t="s">
        <v>713</v>
      </c>
      <c r="AD22" s="216" t="s">
        <v>713</v>
      </c>
      <c r="AE22" s="53"/>
      <c r="AG22" t="s">
        <v>355</v>
      </c>
      <c r="AH22" s="357">
        <f t="shared" si="7"/>
        <v>1E-4</v>
      </c>
      <c r="AI22" s="5" t="b">
        <v>1</v>
      </c>
      <c r="AJ22" s="5">
        <f t="shared" si="8"/>
        <v>0</v>
      </c>
      <c r="AK22" s="358">
        <f>HUF_DATA!Z22</f>
        <v>1E-4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S22" s="357"/>
      <c r="AT22" s="5" t="b">
        <v>1</v>
      </c>
      <c r="AU22" s="5"/>
      <c r="AV22" s="358"/>
      <c r="AX22" s="50"/>
      <c r="AY22" s="222" t="s">
        <v>713</v>
      </c>
      <c r="AZ22" s="216" t="s">
        <v>713</v>
      </c>
      <c r="BA22" s="53"/>
      <c r="BD22" s="357"/>
      <c r="BE22" s="5"/>
      <c r="BF22" s="5"/>
      <c r="BG22" s="358"/>
      <c r="BI22" s="50"/>
      <c r="BJ22" s="222" t="s">
        <v>805</v>
      </c>
      <c r="BK22" s="216" t="b">
        <v>1</v>
      </c>
      <c r="BL22" s="53"/>
      <c r="BN22" t="s">
        <v>339</v>
      </c>
      <c r="BO22" s="357">
        <f t="shared" si="9"/>
        <v>-7.6510346184322734E-4</v>
      </c>
      <c r="BP22" s="5" t="b">
        <v>1</v>
      </c>
      <c r="BQ22" s="5">
        <f t="shared" si="10"/>
        <v>0</v>
      </c>
      <c r="BR22" s="358">
        <f>HUF_DATA!AR26</f>
        <v>-7.6510346184322734E-4</v>
      </c>
      <c r="BT22" s="50"/>
      <c r="BU22" s="149" t="s">
        <v>707</v>
      </c>
      <c r="BV22" s="223" t="s">
        <v>687</v>
      </c>
      <c r="BW22" s="52"/>
      <c r="BX22" s="299"/>
      <c r="BZ22" s="357"/>
      <c r="CA22" s="5"/>
      <c r="CC22"/>
      <c r="CD22"/>
      <c r="CE22"/>
      <c r="CF22"/>
      <c r="CG22"/>
      <c r="CH22"/>
      <c r="CI22"/>
      <c r="CJ22"/>
      <c r="CK22"/>
      <c r="CL22"/>
      <c r="CO22" s="513"/>
      <c r="CP22" s="316"/>
      <c r="CQ22" s="316"/>
      <c r="CR22" s="299"/>
      <c r="CS22" s="299"/>
      <c r="CT22" s="206"/>
      <c r="CU22" s="206"/>
      <c r="CV22" s="206"/>
    </row>
    <row r="23" spans="6:100" x14ac:dyDescent="0.25">
      <c r="F23" s="50"/>
      <c r="G23" s="220" t="s">
        <v>677</v>
      </c>
      <c r="H23" s="221" t="str">
        <f>INDEX('STATIC DATA'!C43:AB43,1,MATCH($A$1,'STATIC DATA'!$C$4:$AB$4,0))</f>
        <v>BDB</v>
      </c>
      <c r="I23" s="53"/>
      <c r="K23" t="s">
        <v>364</v>
      </c>
      <c r="L23" s="357">
        <f t="shared" si="0"/>
        <v>1.6199999999999999E-3</v>
      </c>
      <c r="M23" s="5" t="b">
        <v>1</v>
      </c>
      <c r="N23" s="5">
        <f t="shared" si="1"/>
        <v>0</v>
      </c>
      <c r="O23" s="358">
        <f>PLN_DATA!M24</f>
        <v>1.6199999999999999E-3</v>
      </c>
      <c r="Q23" s="50"/>
      <c r="R23" s="222" t="s">
        <v>722</v>
      </c>
      <c r="S23" s="223" t="b">
        <v>0</v>
      </c>
      <c r="T23" s="53"/>
      <c r="V23" s="620" t="s">
        <v>342</v>
      </c>
      <c r="W23" s="658">
        <f t="shared" si="11"/>
        <v>0</v>
      </c>
      <c r="X23" s="5" t="b">
        <v>1</v>
      </c>
      <c r="Z23" s="658">
        <v>0</v>
      </c>
      <c r="AA23" s="203"/>
      <c r="AB23" s="50"/>
      <c r="AC23" s="234" t="s">
        <v>713</v>
      </c>
      <c r="AD23" s="232" t="s">
        <v>713</v>
      </c>
      <c r="AE23" s="53"/>
      <c r="AG23" t="s">
        <v>364</v>
      </c>
      <c r="AH23" s="357">
        <f t="shared" si="7"/>
        <v>1E-4</v>
      </c>
      <c r="AI23" s="5" t="b">
        <v>1</v>
      </c>
      <c r="AJ23" s="5">
        <f t="shared" si="8"/>
        <v>0</v>
      </c>
      <c r="AK23" s="358">
        <f>HUF_DATA!Z23</f>
        <v>1E-4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S23" s="357"/>
      <c r="AT23" s="5" t="b">
        <v>1</v>
      </c>
      <c r="AU23" s="5"/>
      <c r="AV23" s="358"/>
      <c r="AX23" s="50"/>
      <c r="AY23" s="234" t="s">
        <v>713</v>
      </c>
      <c r="AZ23" s="232" t="s">
        <v>713</v>
      </c>
      <c r="BA23" s="53"/>
      <c r="BD23" s="357"/>
      <c r="BE23" s="5"/>
      <c r="BF23" s="5"/>
      <c r="BG23" s="358"/>
      <c r="BI23" s="50"/>
      <c r="BJ23" s="234" t="s">
        <v>806</v>
      </c>
      <c r="BK23" s="232" t="b">
        <v>1</v>
      </c>
      <c r="BL23" s="53"/>
      <c r="BN23" t="s">
        <v>342</v>
      </c>
      <c r="BO23" s="357">
        <f t="shared" si="9"/>
        <v>-9.2246220618274674E-4</v>
      </c>
      <c r="BP23" s="5" t="b">
        <v>1</v>
      </c>
      <c r="BQ23" s="5">
        <f t="shared" si="10"/>
        <v>0</v>
      </c>
      <c r="BR23" s="358">
        <f>HUF_DATA!AR27</f>
        <v>-9.2246220618274674E-4</v>
      </c>
      <c r="BT23" s="50"/>
      <c r="BU23" s="149" t="s">
        <v>689</v>
      </c>
      <c r="BV23" s="223" t="b">
        <v>1</v>
      </c>
      <c r="BW23" s="52"/>
      <c r="BX23" s="299"/>
      <c r="BZ23" s="357"/>
      <c r="CA23" s="5"/>
      <c r="CC23"/>
      <c r="CD23"/>
      <c r="CE23"/>
      <c r="CF23"/>
      <c r="CG23"/>
      <c r="CH23"/>
      <c r="CI23"/>
      <c r="CJ23"/>
      <c r="CK23"/>
      <c r="CL23"/>
      <c r="CO23" s="513"/>
      <c r="CP23" s="316"/>
      <c r="CQ23" s="316"/>
      <c r="CR23" s="299"/>
      <c r="CS23" s="299"/>
      <c r="CT23" s="206"/>
      <c r="CU23" s="206"/>
      <c r="CV23" s="206"/>
    </row>
    <row r="24" spans="6:100" x14ac:dyDescent="0.25">
      <c r="F24" s="50"/>
      <c r="G24" s="222" t="s">
        <v>678</v>
      </c>
      <c r="H24" s="223" t="str">
        <f>INDEX('STATIC DATA'!C59:AB59,1,MATCH($A$1,'STATIC DATA'!C4:AB4,0))</f>
        <v>ACT/360</v>
      </c>
      <c r="I24" s="53"/>
      <c r="K24" t="s">
        <v>349</v>
      </c>
      <c r="L24" s="357">
        <f t="shared" si="0"/>
        <v>2.1099999999999999E-3</v>
      </c>
      <c r="M24" s="5" t="b">
        <v>1</v>
      </c>
      <c r="N24" s="5">
        <f t="shared" si="1"/>
        <v>0</v>
      </c>
      <c r="O24" s="358">
        <f>PLN_DATA!M25</f>
        <v>2.1099999999999999E-3</v>
      </c>
      <c r="Q24" s="50"/>
      <c r="R24" s="222" t="s">
        <v>723</v>
      </c>
      <c r="S24" s="223" t="s">
        <v>718</v>
      </c>
      <c r="T24" s="53"/>
      <c r="V24" s="620" t="s">
        <v>355</v>
      </c>
      <c r="W24" s="658">
        <f t="shared" si="11"/>
        <v>0</v>
      </c>
      <c r="X24" s="5" t="b">
        <v>1</v>
      </c>
      <c r="Z24" s="658">
        <v>0</v>
      </c>
      <c r="AA24" s="203"/>
      <c r="AB24" s="50"/>
      <c r="AC24" s="455"/>
      <c r="AD24" s="456"/>
      <c r="AE24" s="53"/>
      <c r="AG24" t="s">
        <v>349</v>
      </c>
      <c r="AH24" s="357">
        <f t="shared" si="7"/>
        <v>1E-4</v>
      </c>
      <c r="AI24" s="5" t="b">
        <v>1</v>
      </c>
      <c r="AJ24" s="5">
        <f t="shared" si="8"/>
        <v>0</v>
      </c>
      <c r="AK24" s="358">
        <f>HUF_DATA!Z24</f>
        <v>1E-4</v>
      </c>
      <c r="AM24" s="50"/>
      <c r="AN24" s="85" t="s">
        <v>713</v>
      </c>
      <c r="AO24" s="85" t="s">
        <v>713</v>
      </c>
      <c r="AP24" s="53"/>
      <c r="AS24" s="357"/>
      <c r="AT24" s="5"/>
      <c r="AU24" s="5"/>
      <c r="AV24" s="358"/>
      <c r="AX24" s="50"/>
      <c r="AY24" s="455"/>
      <c r="AZ24" s="456"/>
      <c r="BA24" s="53"/>
      <c r="BD24" s="357"/>
      <c r="BE24" s="5"/>
      <c r="BF24" s="5"/>
      <c r="BG24" s="358"/>
      <c r="BI24" s="50"/>
      <c r="BJ24" s="85"/>
      <c r="BK24" s="85"/>
      <c r="BL24" s="53"/>
      <c r="BN24" t="s">
        <v>355</v>
      </c>
      <c r="BO24" s="357">
        <f t="shared" si="9"/>
        <v>-1.0257769879873507E-3</v>
      </c>
      <c r="BP24" s="5" t="b">
        <v>1</v>
      </c>
      <c r="BQ24" s="5">
        <f t="shared" si="10"/>
        <v>0</v>
      </c>
      <c r="BR24" s="358">
        <f>HUF_DATA!AR28</f>
        <v>-1.0257769879873507E-3</v>
      </c>
      <c r="BT24" s="50"/>
      <c r="BU24" s="149" t="s">
        <v>688</v>
      </c>
      <c r="BV24" s="223">
        <v>31</v>
      </c>
      <c r="BW24" s="52"/>
      <c r="BX24" s="299"/>
      <c r="BZ24" s="357"/>
      <c r="CA24" s="5"/>
      <c r="CC24"/>
      <c r="CD24"/>
      <c r="CE24"/>
      <c r="CF24"/>
      <c r="CG24"/>
      <c r="CH24"/>
      <c r="CI24"/>
      <c r="CJ24"/>
      <c r="CK24"/>
      <c r="CL24"/>
      <c r="CO24" s="513"/>
      <c r="CP24" s="316"/>
      <c r="CQ24" s="316"/>
      <c r="CR24" s="299"/>
      <c r="CS24" s="299"/>
      <c r="CT24" s="206"/>
      <c r="CU24" s="206"/>
      <c r="CV24" s="206"/>
    </row>
    <row r="25" spans="6:100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358</v>
      </c>
      <c r="L25" s="357">
        <f t="shared" si="0"/>
        <v>3.0299999999999997E-3</v>
      </c>
      <c r="M25" s="5" t="b">
        <v>1</v>
      </c>
      <c r="N25" s="5">
        <f t="shared" si="1"/>
        <v>0</v>
      </c>
      <c r="O25" s="358">
        <f>PLN_DATA!M26</f>
        <v>3.0299999999999997E-3</v>
      </c>
      <c r="Q25" s="50"/>
      <c r="R25" s="234" t="s">
        <v>724</v>
      </c>
      <c r="S25" s="232" t="s">
        <v>426</v>
      </c>
      <c r="T25" s="53"/>
      <c r="V25" s="620" t="s">
        <v>364</v>
      </c>
      <c r="W25" s="658">
        <f t="shared" si="11"/>
        <v>0</v>
      </c>
      <c r="X25" s="5" t="b">
        <v>1</v>
      </c>
      <c r="Z25" s="658">
        <v>0</v>
      </c>
      <c r="AA25" s="203"/>
      <c r="AB25" s="50"/>
      <c r="AC25" s="54" t="s">
        <v>726</v>
      </c>
      <c r="AD25" s="52" t="s">
        <v>713</v>
      </c>
      <c r="AE25" s="53"/>
      <c r="AG25" t="s">
        <v>358</v>
      </c>
      <c r="AH25" s="357">
        <f t="shared" si="7"/>
        <v>1E-4</v>
      </c>
      <c r="AI25" s="5" t="b">
        <v>1</v>
      </c>
      <c r="AJ25" s="5">
        <f t="shared" si="8"/>
        <v>0</v>
      </c>
      <c r="AK25" s="358">
        <f>HUF_DATA!Z25</f>
        <v>1E-4</v>
      </c>
      <c r="AM25" s="50"/>
      <c r="AN25" s="85" t="s">
        <v>713</v>
      </c>
      <c r="AO25" s="85" t="s">
        <v>713</v>
      </c>
      <c r="AP25" s="53"/>
      <c r="AS25" s="357"/>
      <c r="AT25" s="5"/>
      <c r="AU25" s="5"/>
      <c r="AV25" s="358"/>
      <c r="AX25" s="50"/>
      <c r="AY25" s="54" t="s">
        <v>726</v>
      </c>
      <c r="AZ25" s="52" t="s">
        <v>713</v>
      </c>
      <c r="BA25" s="53"/>
      <c r="BD25" s="357"/>
      <c r="BE25" s="5"/>
      <c r="BF25" s="5"/>
      <c r="BG25" s="358"/>
      <c r="BI25" s="50"/>
      <c r="BJ25" s="85"/>
      <c r="BK25" s="85"/>
      <c r="BL25" s="53"/>
      <c r="BN25" t="s">
        <v>364</v>
      </c>
      <c r="BO25" s="357">
        <f t="shared" si="9"/>
        <v>-1.1118298645860715E-3</v>
      </c>
      <c r="BP25" s="5" t="b">
        <v>1</v>
      </c>
      <c r="BQ25" s="5">
        <f t="shared" si="10"/>
        <v>0</v>
      </c>
      <c r="BR25" s="358">
        <f>HUF_DATA!AR29</f>
        <v>-1.1118298645860715E-3</v>
      </c>
      <c r="BT25" s="50"/>
      <c r="BU25" s="151" t="s">
        <v>819</v>
      </c>
      <c r="BV25" s="226" t="b">
        <v>0</v>
      </c>
      <c r="BW25" s="52"/>
      <c r="BX25" s="299"/>
      <c r="BZ25" s="357"/>
      <c r="CA25" s="5"/>
      <c r="CC25"/>
      <c r="CD25"/>
      <c r="CE25"/>
      <c r="CF25"/>
      <c r="CG25"/>
      <c r="CH25"/>
      <c r="CI25"/>
      <c r="CJ25"/>
      <c r="CK25"/>
      <c r="CL25"/>
      <c r="CO25" s="513"/>
      <c r="CP25" s="316"/>
      <c r="CQ25" s="316"/>
      <c r="CR25" s="299"/>
      <c r="CS25" s="299"/>
      <c r="CT25" s="206"/>
      <c r="CU25" s="206"/>
      <c r="CV25" s="206"/>
    </row>
    <row r="26" spans="6:100" x14ac:dyDescent="0.25">
      <c r="F26" s="50"/>
      <c r="G26" s="222" t="s">
        <v>681</v>
      </c>
      <c r="H26" s="223" t="s">
        <v>682</v>
      </c>
      <c r="I26" s="53"/>
      <c r="K26" t="s">
        <v>367</v>
      </c>
      <c r="L26" s="357">
        <f t="shared" si="0"/>
        <v>4.15E-3</v>
      </c>
      <c r="M26" s="5" t="b">
        <v>1</v>
      </c>
      <c r="N26" s="5">
        <f t="shared" si="1"/>
        <v>0</v>
      </c>
      <c r="O26" s="358">
        <f>PLN_DATA!M27</f>
        <v>4.15E-3</v>
      </c>
      <c r="Q26" s="50"/>
      <c r="R26" s="222" t="s">
        <v>1146</v>
      </c>
      <c r="S26" s="223" t="b">
        <v>1</v>
      </c>
      <c r="T26" s="53"/>
      <c r="V26" s="620" t="s">
        <v>349</v>
      </c>
      <c r="W26" s="658">
        <f t="shared" si="11"/>
        <v>0</v>
      </c>
      <c r="X26" s="5" t="b">
        <v>1</v>
      </c>
      <c r="Z26" s="658">
        <v>0</v>
      </c>
      <c r="AA26" s="203"/>
      <c r="AB26" s="50"/>
      <c r="AC26" s="220" t="s">
        <v>677</v>
      </c>
      <c r="AD26" s="221" t="str">
        <f>INDEX('STATIC DATA'!C43:AB43,1,MATCH($A$1,'STATIC DATA'!$C$4:$AB$4,0))</f>
        <v>BDB</v>
      </c>
      <c r="AE26" s="53"/>
      <c r="AG26" t="s">
        <v>367</v>
      </c>
      <c r="AH26" s="357">
        <f t="shared" si="7"/>
        <v>1E-4</v>
      </c>
      <c r="AI26" s="5" t="b">
        <v>1</v>
      </c>
      <c r="AJ26" s="5">
        <f t="shared" si="8"/>
        <v>0</v>
      </c>
      <c r="AK26" s="358">
        <f>HUF_DATA!Z26</f>
        <v>1E-4</v>
      </c>
      <c r="AM26" s="50"/>
      <c r="AN26" s="54" t="s">
        <v>467</v>
      </c>
      <c r="AO26" s="85" t="s">
        <v>713</v>
      </c>
      <c r="AP26" s="53"/>
      <c r="AS26" s="357"/>
      <c r="AT26" s="5"/>
      <c r="AU26" s="5"/>
      <c r="AV26" s="358"/>
      <c r="AX26" s="50"/>
      <c r="AY26" s="220" t="s">
        <v>677</v>
      </c>
      <c r="AZ26" s="221" t="str">
        <f>INDEX('STATIC DATA'!C43:AB43,1,MATCH($A$1,'STATIC DATA'!$C$4:$AB$4,0))</f>
        <v>BDB</v>
      </c>
      <c r="BA26" s="53"/>
      <c r="BD26" s="357"/>
      <c r="BE26" s="5"/>
      <c r="BF26" s="5"/>
      <c r="BG26" s="358"/>
      <c r="BI26" s="50"/>
      <c r="BJ26" s="54" t="s">
        <v>807</v>
      </c>
      <c r="BK26" s="85"/>
      <c r="BL26" s="53"/>
      <c r="BN26" t="s">
        <v>349</v>
      </c>
      <c r="BO26" s="357">
        <f t="shared" si="9"/>
        <v>-1.1852676763448476E-3</v>
      </c>
      <c r="BP26" s="5" t="b">
        <v>1</v>
      </c>
      <c r="BQ26" s="5">
        <f t="shared" si="10"/>
        <v>0</v>
      </c>
      <c r="BR26" s="358">
        <f>HUF_DATA!AR30</f>
        <v>-1.1852676763448476E-3</v>
      </c>
      <c r="BT26" s="50"/>
      <c r="BU26" s="52"/>
      <c r="BV26" s="52"/>
      <c r="BW26" s="52"/>
      <c r="BX26" s="299"/>
      <c r="BZ26" s="357"/>
      <c r="CA26" s="5"/>
      <c r="CC26"/>
      <c r="CD26" s="442" t="s">
        <v>1084</v>
      </c>
      <c r="CE26" t="s">
        <v>713</v>
      </c>
      <c r="CF26"/>
      <c r="CG26"/>
      <c r="CH26"/>
      <c r="CI26"/>
      <c r="CJ26" s="442" t="s">
        <v>1084</v>
      </c>
      <c r="CK26" t="s">
        <v>713</v>
      </c>
      <c r="CL26"/>
      <c r="CO26" s="513"/>
      <c r="CP26" s="316"/>
      <c r="CQ26" s="316"/>
      <c r="CR26" s="299"/>
      <c r="CS26" s="299"/>
      <c r="CT26" s="206"/>
      <c r="CU26" s="206"/>
      <c r="CV26" s="206"/>
    </row>
    <row r="27" spans="6:100" x14ac:dyDescent="0.25">
      <c r="F27" s="50"/>
      <c r="G27" s="222" t="s">
        <v>683</v>
      </c>
      <c r="H27" s="223" t="str">
        <f>INDEX('STATIC DATA'!C15:AB15,1,MATCH($A$1,'STATIC DATA'!$C$4:$AB$4,0))</f>
        <v>1d</v>
      </c>
      <c r="I27" s="53"/>
      <c r="K27" t="s">
        <v>374</v>
      </c>
      <c r="L27" s="357">
        <f t="shared" si="0"/>
        <v>5.0400000000000002E-3</v>
      </c>
      <c r="M27" s="5" t="b">
        <v>1</v>
      </c>
      <c r="N27" s="5">
        <f t="shared" si="1"/>
        <v>0</v>
      </c>
      <c r="O27" s="358">
        <f>PLN_DATA!M28</f>
        <v>5.0400000000000002E-3</v>
      </c>
      <c r="Q27" s="50"/>
      <c r="R27" s="453" t="s">
        <v>1147</v>
      </c>
      <c r="S27" s="219" t="s">
        <v>745</v>
      </c>
      <c r="T27" s="53"/>
      <c r="V27" s="620" t="s">
        <v>358</v>
      </c>
      <c r="W27" s="658">
        <f t="shared" si="11"/>
        <v>0</v>
      </c>
      <c r="X27" s="5" t="b">
        <v>1</v>
      </c>
      <c r="Z27" s="658">
        <v>0</v>
      </c>
      <c r="AA27" s="203"/>
      <c r="AB27" s="50"/>
      <c r="AC27" s="222" t="s">
        <v>678</v>
      </c>
      <c r="AD27" s="223" t="str">
        <f>INDEX('STATIC DATA'!C55:AB55,1,MATCH($A$1,'STATIC DATA'!C4:AB4,0))</f>
        <v>ACT/360</v>
      </c>
      <c r="AE27" s="53"/>
      <c r="AG27" t="s">
        <v>374</v>
      </c>
      <c r="AH27" s="357">
        <f t="shared" si="7"/>
        <v>1E-4</v>
      </c>
      <c r="AI27" s="5" t="b">
        <v>1</v>
      </c>
      <c r="AJ27" s="5">
        <f t="shared" si="8"/>
        <v>0</v>
      </c>
      <c r="AK27" s="358">
        <f>HUF_DATA!Z27</f>
        <v>1E-4</v>
      </c>
      <c r="AM27" s="50"/>
      <c r="AN27" s="245" t="s">
        <v>749</v>
      </c>
      <c r="AO27" s="243" t="s">
        <v>798</v>
      </c>
      <c r="AP27" s="53"/>
      <c r="AS27" s="357"/>
      <c r="AT27" s="5"/>
      <c r="AU27" s="5"/>
      <c r="AV27" s="358"/>
      <c r="AX27" s="50"/>
      <c r="AY27" s="222" t="s">
        <v>678</v>
      </c>
      <c r="AZ27" s="223" t="str">
        <f>INDEX('STATIC DATA'!C55:AB55,1,MATCH($A$1,'STATIC DATA'!C4:AB4,0))</f>
        <v>ACT/360</v>
      </c>
      <c r="BA27" s="53"/>
      <c r="BD27" s="357"/>
      <c r="BE27" s="5"/>
      <c r="BF27" s="5"/>
      <c r="BG27" s="358"/>
      <c r="BI27" s="50"/>
      <c r="BJ27" s="245" t="s">
        <v>749</v>
      </c>
      <c r="BK27" s="243" t="s">
        <v>803</v>
      </c>
      <c r="BL27" s="53"/>
      <c r="BN27" t="s">
        <v>358</v>
      </c>
      <c r="BO27" s="357">
        <f t="shared" si="9"/>
        <v>-1.3205759054769652E-3</v>
      </c>
      <c r="BP27" s="5" t="b">
        <v>1</v>
      </c>
      <c r="BQ27" s="5">
        <f t="shared" si="10"/>
        <v>0</v>
      </c>
      <c r="BR27" s="358">
        <f>HUF_DATA!AR31</f>
        <v>-1.3205759054769652E-3</v>
      </c>
      <c r="BT27" s="50"/>
      <c r="BU27" s="52"/>
      <c r="BV27" s="52"/>
      <c r="BW27" s="52"/>
      <c r="BX27" s="299"/>
      <c r="BZ27" s="357"/>
      <c r="CA27" s="5"/>
      <c r="CC27"/>
      <c r="CD27" s="57" t="s">
        <v>1085</v>
      </c>
      <c r="CE27" s="57" t="s">
        <v>1093</v>
      </c>
      <c r="CF27"/>
      <c r="CG27"/>
      <c r="CH27"/>
      <c r="CI27"/>
      <c r="CJ27" s="57" t="s">
        <v>1085</v>
      </c>
      <c r="CK27" s="57" t="s">
        <v>1128</v>
      </c>
      <c r="CL27"/>
      <c r="CO27" s="513"/>
      <c r="CP27" s="316"/>
      <c r="CQ27" s="316"/>
      <c r="CR27" s="299"/>
      <c r="CS27" s="299"/>
      <c r="CT27" s="206"/>
      <c r="CU27" s="206"/>
      <c r="CV27" s="206"/>
    </row>
    <row r="28" spans="6:100" x14ac:dyDescent="0.25">
      <c r="F28" s="50"/>
      <c r="G28" s="222" t="s">
        <v>684</v>
      </c>
      <c r="H28" s="223" t="s">
        <v>685</v>
      </c>
      <c r="I28" s="53"/>
      <c r="K28" t="s">
        <v>382</v>
      </c>
      <c r="L28" s="357">
        <f t="shared" si="0"/>
        <v>5.1199999999999996E-3</v>
      </c>
      <c r="M28" s="5" t="b">
        <v>1</v>
      </c>
      <c r="N28" s="5">
        <f t="shared" si="1"/>
        <v>0</v>
      </c>
      <c r="O28" s="358">
        <f>PLN_DATA!M29</f>
        <v>5.1199999999999996E-3</v>
      </c>
      <c r="Q28" s="50"/>
      <c r="R28" s="52" t="s">
        <v>713</v>
      </c>
      <c r="S28" s="52" t="s">
        <v>713</v>
      </c>
      <c r="T28" s="53"/>
      <c r="V28" s="620" t="s">
        <v>367</v>
      </c>
      <c r="W28" s="658">
        <f t="shared" si="11"/>
        <v>0</v>
      </c>
      <c r="X28" s="5" t="b">
        <v>1</v>
      </c>
      <c r="Z28" s="658">
        <v>0</v>
      </c>
      <c r="AA28" s="203"/>
      <c r="AB28" s="50"/>
      <c r="AC28" s="225" t="s">
        <v>686</v>
      </c>
      <c r="AD28" s="226" t="s">
        <v>728</v>
      </c>
      <c r="AE28" s="53"/>
      <c r="AH28" s="357"/>
      <c r="AI28" s="5"/>
      <c r="AJ28" s="5"/>
      <c r="AK28" s="358"/>
      <c r="AM28" s="50"/>
      <c r="AN28" s="233" t="s">
        <v>750</v>
      </c>
      <c r="AO28" s="230" t="s">
        <v>720</v>
      </c>
      <c r="AP28" s="53"/>
      <c r="AS28" s="357"/>
      <c r="AT28" s="5"/>
      <c r="AU28" s="5"/>
      <c r="AV28" s="358"/>
      <c r="AX28" s="50"/>
      <c r="AY28" s="225" t="s">
        <v>686</v>
      </c>
      <c r="AZ28" s="226" t="s">
        <v>728</v>
      </c>
      <c r="BA28" s="53"/>
      <c r="BD28" s="357"/>
      <c r="BE28" s="5"/>
      <c r="BF28" s="5"/>
      <c r="BG28" s="358"/>
      <c r="BI28" s="50"/>
      <c r="BJ28" s="233" t="s">
        <v>750</v>
      </c>
      <c r="BK28" s="230" t="b">
        <v>0</v>
      </c>
      <c r="BL28" s="53"/>
      <c r="BN28" t="s">
        <v>367</v>
      </c>
      <c r="BO28" s="357">
        <f t="shared" si="9"/>
        <v>-1.4051887840667973E-3</v>
      </c>
      <c r="BP28" s="5" t="b">
        <v>1</v>
      </c>
      <c r="BQ28" s="5">
        <f t="shared" si="10"/>
        <v>0</v>
      </c>
      <c r="BR28" s="358">
        <f>HUF_DATA!AR32</f>
        <v>-1.4051887840667973E-3</v>
      </c>
      <c r="BT28" s="50"/>
      <c r="BU28" s="52"/>
      <c r="BV28" s="52"/>
      <c r="BW28" s="52"/>
      <c r="BX28" s="299"/>
      <c r="BZ28" s="357"/>
      <c r="CA28" s="5"/>
      <c r="CC28"/>
      <c r="CD28" s="57" t="s">
        <v>1086</v>
      </c>
      <c r="CE28" s="57" t="s">
        <v>1089</v>
      </c>
      <c r="CF28"/>
      <c r="CG28"/>
      <c r="CH28"/>
      <c r="CI28"/>
      <c r="CJ28" s="57" t="s">
        <v>1086</v>
      </c>
      <c r="CK28" s="57" t="s">
        <v>1129</v>
      </c>
      <c r="CL28"/>
      <c r="CO28" s="513"/>
      <c r="CP28" s="316"/>
      <c r="CQ28" s="316"/>
      <c r="CR28" s="299"/>
      <c r="CS28" s="299"/>
      <c r="CT28" s="206"/>
      <c r="CU28" s="206"/>
      <c r="CV28" s="206"/>
    </row>
    <row r="29" spans="6:100" x14ac:dyDescent="0.25">
      <c r="F29" s="50"/>
      <c r="G29" s="222" t="s">
        <v>686</v>
      </c>
      <c r="H29" s="223" t="s">
        <v>687</v>
      </c>
      <c r="I29" s="53"/>
      <c r="K29" t="s">
        <v>389</v>
      </c>
      <c r="L29" s="357">
        <f t="shared" si="0"/>
        <v>4.9100000000000003E-3</v>
      </c>
      <c r="M29" s="5" t="b">
        <v>1</v>
      </c>
      <c r="N29" s="5">
        <f t="shared" si="1"/>
        <v>0</v>
      </c>
      <c r="O29" s="358">
        <f>PLN_DATA!M30</f>
        <v>4.9100000000000003E-3</v>
      </c>
      <c r="Q29" s="50"/>
      <c r="R29" s="54" t="s">
        <v>726</v>
      </c>
      <c r="S29" s="52" t="s">
        <v>713</v>
      </c>
      <c r="T29" s="53"/>
      <c r="V29" s="620" t="s">
        <v>374</v>
      </c>
      <c r="W29" s="658">
        <f t="shared" si="11"/>
        <v>0</v>
      </c>
      <c r="X29" s="5" t="b">
        <v>1</v>
      </c>
      <c r="Z29" s="658">
        <v>0</v>
      </c>
      <c r="AA29" s="203"/>
      <c r="AB29" s="50"/>
      <c r="AC29" s="52" t="s">
        <v>713</v>
      </c>
      <c r="AD29" s="52" t="s">
        <v>713</v>
      </c>
      <c r="AE29" s="53"/>
      <c r="AH29" s="357"/>
      <c r="AI29" s="5"/>
      <c r="AJ29" s="5"/>
      <c r="AK29" s="358"/>
      <c r="AM29" s="50"/>
      <c r="AN29" s="222" t="s">
        <v>751</v>
      </c>
      <c r="AO29" s="216" t="s">
        <v>608</v>
      </c>
      <c r="AP29" s="53"/>
      <c r="AS29" s="357"/>
      <c r="AT29" s="5"/>
      <c r="AU29" s="5"/>
      <c r="AV29" s="358"/>
      <c r="AX29" s="50"/>
      <c r="AY29" s="52" t="s">
        <v>713</v>
      </c>
      <c r="AZ29" s="52" t="s">
        <v>713</v>
      </c>
      <c r="BA29" s="53"/>
      <c r="BD29" s="357"/>
      <c r="BE29" s="5"/>
      <c r="BF29" s="5"/>
      <c r="BG29" s="358"/>
      <c r="BI29" s="50"/>
      <c r="BJ29" s="222" t="s">
        <v>751</v>
      </c>
      <c r="BK29" s="216" t="str">
        <f>INDEX('STATIC DATA'!C30:AB30,1,MATCH($A$1,'STATIC DATA'!$C$4:$AB$4,0))</f>
        <v>BDB:TGT:LNB</v>
      </c>
      <c r="BL29" s="53"/>
      <c r="BN29" t="s">
        <v>374</v>
      </c>
      <c r="BO29" s="357">
        <f t="shared" si="9"/>
        <v>-1.2556631656404015E-3</v>
      </c>
      <c r="BP29" s="5" t="b">
        <v>1</v>
      </c>
      <c r="BQ29" s="5">
        <f t="shared" si="10"/>
        <v>0</v>
      </c>
      <c r="BR29" s="358">
        <f>HUF_DATA!AR33</f>
        <v>-1.2556631656404015E-3</v>
      </c>
      <c r="BT29" s="50"/>
      <c r="BU29" s="52"/>
      <c r="BV29" s="52"/>
      <c r="BW29" s="55"/>
      <c r="BX29" s="332"/>
      <c r="BY29" s="302"/>
      <c r="BZ29" s="302"/>
      <c r="CA29" s="302"/>
      <c r="CC29"/>
      <c r="CD29" s="57" t="s">
        <v>1087</v>
      </c>
      <c r="CE29" s="57" t="s">
        <v>1456</v>
      </c>
      <c r="CF29"/>
      <c r="CG29"/>
      <c r="CH29"/>
      <c r="CI29"/>
      <c r="CJ29" s="57" t="s">
        <v>1087</v>
      </c>
      <c r="CK29" s="57" t="s">
        <v>1456</v>
      </c>
      <c r="CL29"/>
      <c r="CO29" s="513"/>
      <c r="CP29" s="316"/>
      <c r="CQ29" s="316"/>
      <c r="CR29" s="299"/>
      <c r="CS29" s="299"/>
      <c r="CT29" s="206"/>
      <c r="CU29" s="206"/>
      <c r="CV29" s="206"/>
    </row>
    <row r="30" spans="6:100" x14ac:dyDescent="0.25">
      <c r="F30" s="50"/>
      <c r="G30" s="222" t="s">
        <v>688</v>
      </c>
      <c r="H30" s="216">
        <v>31</v>
      </c>
      <c r="I30" s="53"/>
      <c r="K30" t="s">
        <v>445</v>
      </c>
      <c r="L30" s="357">
        <f t="shared" si="0"/>
        <v>4.5199999999999997E-3</v>
      </c>
      <c r="M30" s="5" t="b">
        <v>1</v>
      </c>
      <c r="N30" s="5">
        <f t="shared" si="1"/>
        <v>0</v>
      </c>
      <c r="O30" s="358">
        <f>PLN_DATA!M31</f>
        <v>4.5199999999999997E-3</v>
      </c>
      <c r="Q30" s="50"/>
      <c r="R30" s="220" t="s">
        <v>677</v>
      </c>
      <c r="S30" s="221" t="str">
        <f>INDEX('STATIC DATA'!C43:AB43,1,MATCH($A$1,'STATIC DATA'!$C$4:$AB$4,0))</f>
        <v>BDB</v>
      </c>
      <c r="T30" s="53"/>
      <c r="V30" t="s">
        <v>47</v>
      </c>
      <c r="W30" s="358">
        <f t="shared" si="2"/>
        <v>7.9000000000000008E-3</v>
      </c>
      <c r="X30" s="5" t="b">
        <v>1</v>
      </c>
      <c r="Y30" s="5">
        <f t="shared" si="3"/>
        <v>0</v>
      </c>
      <c r="Z30" s="358">
        <f>HUF_DATA!U17</f>
        <v>7.9000000000000008E-3</v>
      </c>
      <c r="AA30" s="203"/>
      <c r="AB30" s="50"/>
      <c r="AC30" s="54" t="s">
        <v>460</v>
      </c>
      <c r="AD30" s="52" t="s">
        <v>713</v>
      </c>
      <c r="AE30" s="53"/>
      <c r="AH30" s="357"/>
      <c r="AI30" s="5"/>
      <c r="AJ30" s="5"/>
      <c r="AK30" s="358"/>
      <c r="AM30" s="50"/>
      <c r="AN30" s="222" t="s">
        <v>752</v>
      </c>
      <c r="AO30" s="216" t="s">
        <v>48</v>
      </c>
      <c r="AP30" s="53"/>
      <c r="AS30" s="357"/>
      <c r="AT30" s="5"/>
      <c r="AU30" s="5"/>
      <c r="AV30" s="358"/>
      <c r="AX30" s="50"/>
      <c r="AY30" s="54" t="s">
        <v>460</v>
      </c>
      <c r="AZ30" s="52" t="s">
        <v>713</v>
      </c>
      <c r="BA30" s="53"/>
      <c r="BD30" s="357"/>
      <c r="BE30" s="5"/>
      <c r="BF30" s="5"/>
      <c r="BG30" s="358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T30" s="50"/>
      <c r="BU30" s="55"/>
      <c r="BV30" s="55"/>
      <c r="BW30" s="55"/>
      <c r="BX30" s="332"/>
      <c r="BY30" s="303"/>
      <c r="BZ30" s="299"/>
      <c r="CA30" s="299"/>
      <c r="CB30" s="302"/>
      <c r="CC30"/>
      <c r="CD30" s="57" t="s">
        <v>1088</v>
      </c>
      <c r="CE30" s="443" t="s">
        <v>1456</v>
      </c>
      <c r="CF30"/>
      <c r="CG30"/>
      <c r="CH30"/>
      <c r="CI30"/>
      <c r="CJ30" s="57" t="s">
        <v>1088</v>
      </c>
      <c r="CK30" s="443" t="s">
        <v>1456</v>
      </c>
      <c r="CL30"/>
      <c r="CO30" s="513"/>
      <c r="CP30" s="316"/>
      <c r="CQ30" s="316"/>
      <c r="CR30" s="299"/>
      <c r="CS30" s="299"/>
      <c r="CT30" s="206"/>
      <c r="CU30" s="206"/>
      <c r="CV30" s="206"/>
    </row>
    <row r="31" spans="6:100" x14ac:dyDescent="0.25">
      <c r="F31" s="50"/>
      <c r="G31" s="222" t="s">
        <v>689</v>
      </c>
      <c r="H31" s="224" t="b">
        <v>1</v>
      </c>
      <c r="I31" s="53"/>
      <c r="K31" t="s">
        <v>448</v>
      </c>
      <c r="L31" s="357">
        <f t="shared" si="0"/>
        <v>4.1600000000000005E-3</v>
      </c>
      <c r="M31" s="5" t="b">
        <v>1</v>
      </c>
      <c r="N31" s="5">
        <f t="shared" si="1"/>
        <v>0</v>
      </c>
      <c r="O31" s="358">
        <f>PLN_DATA!M32</f>
        <v>4.1600000000000005E-3</v>
      </c>
      <c r="Q31" s="50"/>
      <c r="R31" s="222" t="s">
        <v>678</v>
      </c>
      <c r="S31" s="223" t="str">
        <f>INDEX('STATIC DATA'!C55:AB55,1,MATCH($A$1,'STATIC DATA'!C4:AB4,0))</f>
        <v>ACT/360</v>
      </c>
      <c r="T31" s="53"/>
      <c r="V31" t="s">
        <v>308</v>
      </c>
      <c r="W31" s="358">
        <f t="shared" si="2"/>
        <v>9.3999999999999986E-3</v>
      </c>
      <c r="X31" s="5" t="b">
        <v>1</v>
      </c>
      <c r="Y31" s="5">
        <f t="shared" si="3"/>
        <v>0</v>
      </c>
      <c r="Z31" s="358">
        <f>HUF_DATA!U18</f>
        <v>9.3999999999999986E-3</v>
      </c>
      <c r="AA31" s="203"/>
      <c r="AB31" s="50"/>
      <c r="AC31" s="220" t="s">
        <v>677</v>
      </c>
      <c r="AD31" s="221" t="str">
        <f>INDEX('STATIC DATA'!C43:AB43,1,MATCH($A$1,'STATIC DATA'!$C$4:$AB$4,0))</f>
        <v>BDB</v>
      </c>
      <c r="AE31" s="53"/>
      <c r="AM31" s="50"/>
      <c r="AN31" s="225" t="s">
        <v>753</v>
      </c>
      <c r="AO31" s="219" t="s">
        <v>680</v>
      </c>
      <c r="AP31" s="53"/>
      <c r="AS31" s="357"/>
      <c r="AT31" s="5"/>
      <c r="AU31" s="5"/>
      <c r="AV31" s="358"/>
      <c r="AX31" s="50"/>
      <c r="AY31" s="220" t="s">
        <v>677</v>
      </c>
      <c r="AZ31" s="221" t="str">
        <f>INDEX('STATIC DATA'!C43:AB43,1,MATCH($A$1,'STATIC DATA'!$C$4:$AB$4,0))</f>
        <v>BDB</v>
      </c>
      <c r="BA31" s="53"/>
      <c r="BD31" s="357"/>
      <c r="BE31" s="5"/>
      <c r="BF31" s="5"/>
      <c r="BG31" s="358"/>
      <c r="BI31" s="50"/>
      <c r="BJ31" s="225" t="s">
        <v>753</v>
      </c>
      <c r="BK31" s="219" t="s">
        <v>458</v>
      </c>
      <c r="BL31" s="249"/>
      <c r="BT31" s="50"/>
      <c r="BU31" s="55"/>
      <c r="BV31" s="55"/>
      <c r="BW31" s="55"/>
      <c r="BX31" s="332"/>
      <c r="BY31" s="206"/>
      <c r="BZ31" s="206"/>
      <c r="CA31" s="299"/>
      <c r="CB31" s="299"/>
      <c r="CC31"/>
      <c r="CD31" s="57" t="s">
        <v>781</v>
      </c>
      <c r="CE31" s="290" t="s">
        <v>810</v>
      </c>
      <c r="CF31"/>
      <c r="CG31"/>
      <c r="CH31"/>
      <c r="CI31"/>
      <c r="CJ31" s="57" t="s">
        <v>781</v>
      </c>
      <c r="CK31" s="290" t="s">
        <v>810</v>
      </c>
      <c r="CL31"/>
      <c r="CO31" s="513"/>
      <c r="CP31" s="316"/>
      <c r="CQ31" s="316"/>
      <c r="CR31" s="299"/>
      <c r="CS31" s="299"/>
      <c r="CT31" s="206"/>
      <c r="CU31" s="206"/>
      <c r="CV31" s="206"/>
    </row>
    <row r="32" spans="6:100" x14ac:dyDescent="0.25">
      <c r="F32" s="50"/>
      <c r="G32" s="222" t="s">
        <v>690</v>
      </c>
      <c r="H32" s="223" t="s">
        <v>691</v>
      </c>
      <c r="I32" s="53"/>
      <c r="Q32" s="50"/>
      <c r="R32" s="225" t="s">
        <v>686</v>
      </c>
      <c r="S32" s="226" t="s">
        <v>728</v>
      </c>
      <c r="T32" s="53"/>
      <c r="V32" t="s">
        <v>316</v>
      </c>
      <c r="W32" s="358">
        <f t="shared" si="2"/>
        <v>1.0749999999999999E-2</v>
      </c>
      <c r="X32" s="5" t="b">
        <v>1</v>
      </c>
      <c r="Y32" s="5">
        <f t="shared" si="3"/>
        <v>0</v>
      </c>
      <c r="Z32" s="358">
        <f>HUF_DATA!U19</f>
        <v>1.0749999999999999E-2</v>
      </c>
      <c r="AA32" s="203"/>
      <c r="AB32" s="50"/>
      <c r="AC32" s="222" t="s">
        <v>678</v>
      </c>
      <c r="AD32" s="223" t="str">
        <f>INDEX('STATIC DATA'!C55:AB55,1,MATCH($A$1,'STATIC DATA'!C4:AB4,0))</f>
        <v>ACT/360</v>
      </c>
      <c r="AE32" s="53"/>
      <c r="AM32" s="50"/>
      <c r="AN32" s="222" t="s">
        <v>754</v>
      </c>
      <c r="AO32" s="216" t="s">
        <v>687</v>
      </c>
      <c r="AP32" s="53"/>
      <c r="AX32" s="50"/>
      <c r="AY32" s="222" t="s">
        <v>678</v>
      </c>
      <c r="AZ32" s="223" t="str">
        <f>INDEX('STATIC DATA'!C55:AB55,1,MATCH($A$1,'STATIC DATA'!C4:AB4,0))</f>
        <v>ACT/360</v>
      </c>
      <c r="BA32" s="53"/>
      <c r="BD32"/>
      <c r="BI32" s="50"/>
      <c r="BJ32" s="222" t="s">
        <v>754</v>
      </c>
      <c r="BK32" s="216" t="s">
        <v>687</v>
      </c>
      <c r="BL32" s="53"/>
      <c r="BT32" s="50"/>
      <c r="BU32" s="55"/>
      <c r="BV32" s="55"/>
      <c r="BW32" s="55"/>
      <c r="BX32" s="332"/>
      <c r="BY32" s="206"/>
      <c r="BZ32" s="206"/>
      <c r="CA32" s="305"/>
      <c r="CB32" s="299"/>
      <c r="CC32"/>
      <c r="CD32"/>
      <c r="CE32"/>
      <c r="CF32"/>
      <c r="CG32"/>
      <c r="CH32"/>
      <c r="CI32"/>
      <c r="CJ32"/>
      <c r="CK32"/>
      <c r="CL32"/>
      <c r="CO32" s="513"/>
      <c r="CP32" s="316"/>
      <c r="CQ32" s="316"/>
      <c r="CR32" s="299"/>
      <c r="CS32" s="299"/>
      <c r="CT32" s="206"/>
      <c r="CU32" s="206"/>
      <c r="CV32" s="206"/>
    </row>
    <row r="33" spans="6:100" x14ac:dyDescent="0.25">
      <c r="F33" s="50"/>
      <c r="G33" s="222" t="s">
        <v>695</v>
      </c>
      <c r="H33" s="223" t="s">
        <v>696</v>
      </c>
      <c r="I33" s="53"/>
      <c r="Q33" s="50"/>
      <c r="R33" s="52" t="s">
        <v>713</v>
      </c>
      <c r="S33" s="52" t="s">
        <v>713</v>
      </c>
      <c r="T33" s="53"/>
      <c r="V33" t="s">
        <v>324</v>
      </c>
      <c r="W33" s="358">
        <f t="shared" si="2"/>
        <v>1.2E-2</v>
      </c>
      <c r="X33" s="5" t="b">
        <v>1</v>
      </c>
      <c r="Y33" s="5">
        <f t="shared" si="3"/>
        <v>0</v>
      </c>
      <c r="Z33" s="358">
        <f>HUF_DATA!U20</f>
        <v>1.2E-2</v>
      </c>
      <c r="AB33" s="50"/>
      <c r="AC33" s="222" t="s">
        <v>679</v>
      </c>
      <c r="AD33" s="223" t="s">
        <v>729</v>
      </c>
      <c r="AE33" s="53"/>
      <c r="AM33" s="50"/>
      <c r="AN33" s="222" t="s">
        <v>755</v>
      </c>
      <c r="AO33" s="216">
        <v>0</v>
      </c>
      <c r="AP33" s="53"/>
      <c r="AX33" s="50"/>
      <c r="AY33" s="222" t="s">
        <v>679</v>
      </c>
      <c r="AZ33" s="223" t="s">
        <v>729</v>
      </c>
      <c r="BA33" s="53"/>
      <c r="BI33" s="50"/>
      <c r="BJ33" s="222" t="s">
        <v>755</v>
      </c>
      <c r="BK33" s="216">
        <v>2</v>
      </c>
      <c r="BL33" s="53"/>
      <c r="BN33" s="2" t="s">
        <v>662</v>
      </c>
      <c r="BT33" s="50"/>
      <c r="BU33" s="55"/>
      <c r="BV33" s="55"/>
      <c r="BW33" s="55"/>
      <c r="BX33" s="332"/>
      <c r="BY33" s="206"/>
      <c r="BZ33" s="206"/>
      <c r="CA33" s="305"/>
      <c r="CB33" s="299"/>
      <c r="CC33"/>
      <c r="CD33"/>
      <c r="CE33"/>
      <c r="CF33"/>
      <c r="CG33"/>
      <c r="CH33"/>
      <c r="CI33"/>
      <c r="CJ33"/>
      <c r="CK33"/>
      <c r="CL33"/>
      <c r="CO33" s="513"/>
      <c r="CP33" s="316"/>
      <c r="CQ33" s="316"/>
      <c r="CR33" s="299"/>
      <c r="CS33" s="299"/>
      <c r="CT33" s="206"/>
      <c r="CU33" s="206"/>
      <c r="CV33" s="206"/>
    </row>
    <row r="34" spans="6:100" x14ac:dyDescent="0.25">
      <c r="F34" s="50"/>
      <c r="G34" s="222" t="s">
        <v>697</v>
      </c>
      <c r="H34" s="223">
        <v>1E-10</v>
      </c>
      <c r="I34" s="53"/>
      <c r="Q34" s="50"/>
      <c r="R34" s="54" t="s">
        <v>460</v>
      </c>
      <c r="S34" s="52" t="s">
        <v>713</v>
      </c>
      <c r="T34" s="53"/>
      <c r="V34" t="s">
        <v>331</v>
      </c>
      <c r="W34" s="358">
        <f t="shared" si="2"/>
        <v>1.32E-2</v>
      </c>
      <c r="X34" s="5" t="b">
        <v>1</v>
      </c>
      <c r="Y34" s="5">
        <f t="shared" si="3"/>
        <v>0</v>
      </c>
      <c r="Z34" s="358">
        <f>HUF_DATA!U21</f>
        <v>1.32E-2</v>
      </c>
      <c r="AB34" s="50"/>
      <c r="AC34" s="222" t="s">
        <v>683</v>
      </c>
      <c r="AD34" s="223" t="str">
        <f>INDEX('STATIC DATA'!C7:AB7,1,MATCH($A$1,'STATIC DATA'!$C$4:$AB$4,0))</f>
        <v>2D</v>
      </c>
      <c r="AE34" s="53"/>
      <c r="AM34" s="50"/>
      <c r="AN34" s="234" t="s">
        <v>756</v>
      </c>
      <c r="AO34" s="247" t="s">
        <v>790</v>
      </c>
      <c r="AP34" s="249" t="s">
        <v>801</v>
      </c>
      <c r="AX34" s="50"/>
      <c r="AY34" s="222" t="s">
        <v>683</v>
      </c>
      <c r="AZ34" s="223" t="str">
        <f>INDEX('STATIC DATA'!C7:AB7,1,MATCH($A$1,'STATIC DATA'!$C$4:$AB$4,0))</f>
        <v>2D</v>
      </c>
      <c r="BA34" s="53"/>
      <c r="BI34" s="50"/>
      <c r="BJ34" s="234" t="s">
        <v>757</v>
      </c>
      <c r="BK34" s="260" t="s">
        <v>773</v>
      </c>
      <c r="BL34" s="53"/>
      <c r="BN34" t="s">
        <v>434</v>
      </c>
      <c r="BO34" t="str">
        <f>$A$1</f>
        <v>HUF</v>
      </c>
      <c r="BT34" s="50"/>
      <c r="BU34" s="55"/>
      <c r="BV34" s="55"/>
      <c r="BW34" s="55"/>
      <c r="BX34" s="332"/>
      <c r="BY34" s="299"/>
      <c r="BZ34" s="299"/>
      <c r="CA34" s="313"/>
      <c r="CB34" s="299"/>
      <c r="CC34"/>
      <c r="CD34"/>
      <c r="CE34"/>
      <c r="CF34"/>
      <c r="CG34"/>
      <c r="CH34"/>
      <c r="CI34"/>
      <c r="CJ34"/>
      <c r="CK34"/>
      <c r="CL34"/>
      <c r="CO34" s="513"/>
      <c r="CP34" s="316"/>
      <c r="CQ34" s="316"/>
      <c r="CR34" s="299"/>
      <c r="CS34" s="299"/>
      <c r="CT34" s="206"/>
      <c r="CU34" s="206"/>
      <c r="CV34" s="206"/>
    </row>
    <row r="35" spans="6:100" x14ac:dyDescent="0.25">
      <c r="F35" s="50"/>
      <c r="G35" s="222" t="s">
        <v>698</v>
      </c>
      <c r="H35" s="223">
        <v>1000</v>
      </c>
      <c r="I35" s="53"/>
      <c r="Q35" s="50"/>
      <c r="R35" s="220" t="s">
        <v>677</v>
      </c>
      <c r="S35" s="221" t="str">
        <f>INDEX('STATIC DATA'!C39:AB39,1,MATCH($A$1,'STATIC DATA'!$C$4:$AB$4,0))</f>
        <v>BDB</v>
      </c>
      <c r="T35" s="53"/>
      <c r="V35" t="s">
        <v>339</v>
      </c>
      <c r="W35" s="358">
        <f t="shared" si="2"/>
        <v>1.43E-2</v>
      </c>
      <c r="X35" s="5" t="b">
        <v>1</v>
      </c>
      <c r="Y35" s="5">
        <f t="shared" si="3"/>
        <v>0</v>
      </c>
      <c r="Z35" s="358">
        <f>HUF_DATA!U22</f>
        <v>1.43E-2</v>
      </c>
      <c r="AB35" s="50"/>
      <c r="AC35" s="225" t="s">
        <v>686</v>
      </c>
      <c r="AD35" s="226" t="s">
        <v>687</v>
      </c>
      <c r="AE35" s="53"/>
      <c r="AM35" s="50"/>
      <c r="AN35" s="234" t="s">
        <v>757</v>
      </c>
      <c r="AO35" s="229" t="s">
        <v>790</v>
      </c>
      <c r="AP35" s="53"/>
      <c r="AX35" s="50"/>
      <c r="AY35" s="225" t="s">
        <v>686</v>
      </c>
      <c r="AZ35" s="226" t="s">
        <v>687</v>
      </c>
      <c r="BA35" s="53"/>
      <c r="BI35" s="50"/>
      <c r="BJ35" s="234" t="s">
        <v>756</v>
      </c>
      <c r="BK35" s="260" t="s">
        <v>809</v>
      </c>
      <c r="BL35" s="53"/>
      <c r="BN35" t="s">
        <v>435</v>
      </c>
      <c r="BO35" t="s">
        <v>669</v>
      </c>
      <c r="BT35" s="50"/>
      <c r="BU35" s="55"/>
      <c r="BV35" s="55"/>
      <c r="BW35" s="55"/>
      <c r="BX35" s="332"/>
      <c r="BY35" s="303"/>
      <c r="BZ35" s="299"/>
      <c r="CA35" s="313"/>
      <c r="CB35" s="299"/>
      <c r="CC35"/>
      <c r="CD35"/>
      <c r="CE35"/>
      <c r="CF35"/>
      <c r="CG35"/>
      <c r="CH35"/>
      <c r="CI35"/>
      <c r="CJ35"/>
      <c r="CK35"/>
      <c r="CL35"/>
      <c r="CO35" s="299"/>
      <c r="CP35" s="299"/>
      <c r="CQ35" s="299"/>
      <c r="CR35" s="299"/>
      <c r="CS35" s="299"/>
      <c r="CT35" s="206"/>
      <c r="CU35" s="206"/>
      <c r="CV35" s="206"/>
    </row>
    <row r="36" spans="6:100" x14ac:dyDescent="0.25">
      <c r="F36" s="50"/>
      <c r="G36" s="222" t="s">
        <v>699</v>
      </c>
      <c r="H36" s="223" t="s">
        <v>700</v>
      </c>
      <c r="I36" s="53"/>
      <c r="Q36" s="50"/>
      <c r="R36" s="222" t="s">
        <v>678</v>
      </c>
      <c r="S36" s="223" t="str">
        <f>INDEX('STATIC DATA'!C55:AB55,1,MATCH($A$1,'STATIC DATA'!C4:AB4,0))</f>
        <v>ACT/360</v>
      </c>
      <c r="T36" s="53"/>
      <c r="V36" t="s">
        <v>342</v>
      </c>
      <c r="W36" s="358">
        <f t="shared" si="2"/>
        <v>1.525E-2</v>
      </c>
      <c r="X36" s="5" t="b">
        <v>1</v>
      </c>
      <c r="Y36" s="5">
        <f t="shared" si="3"/>
        <v>0</v>
      </c>
      <c r="Z36" s="358">
        <f>HUF_DATA!U23</f>
        <v>1.525E-2</v>
      </c>
      <c r="AB36" s="50"/>
      <c r="AC36" s="52" t="s">
        <v>713</v>
      </c>
      <c r="AD36" s="52" t="s">
        <v>713</v>
      </c>
      <c r="AE36" s="53"/>
      <c r="AM36" s="50"/>
      <c r="AN36" s="245" t="s">
        <v>758</v>
      </c>
      <c r="AO36" s="244" t="s">
        <v>322</v>
      </c>
      <c r="AP36" s="53"/>
      <c r="AX36" s="50"/>
      <c r="AY36" s="85" t="s">
        <v>713</v>
      </c>
      <c r="AZ36" s="85" t="s">
        <v>713</v>
      </c>
      <c r="BA36" s="53"/>
      <c r="BI36" s="50"/>
      <c r="BJ36" s="245" t="s">
        <v>758</v>
      </c>
      <c r="BK36" s="260" t="s">
        <v>49</v>
      </c>
      <c r="BL36" s="53"/>
      <c r="BN36" t="s">
        <v>438</v>
      </c>
      <c r="BO36" t="s">
        <v>458</v>
      </c>
      <c r="BT36" s="50"/>
      <c r="BU36" s="55"/>
      <c r="BV36" s="55"/>
      <c r="BW36" s="55"/>
      <c r="BX36" s="332"/>
      <c r="BY36" s="323" t="s">
        <v>425</v>
      </c>
      <c r="BZ36" s="299"/>
      <c r="CA36" s="313"/>
      <c r="CB36" s="299"/>
      <c r="CC36"/>
      <c r="CD36"/>
      <c r="CE36"/>
      <c r="CF36"/>
      <c r="CG36"/>
      <c r="CH36"/>
      <c r="CI36"/>
      <c r="CJ36"/>
      <c r="CK36"/>
      <c r="CL36"/>
      <c r="CO36" s="299"/>
      <c r="CP36" s="299"/>
      <c r="CQ36" s="299"/>
      <c r="CR36" s="299"/>
      <c r="CS36" s="299"/>
      <c r="CT36" s="206"/>
      <c r="CU36" s="206"/>
      <c r="CV36" s="206"/>
    </row>
    <row r="37" spans="6:100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2" t="s">
        <v>679</v>
      </c>
      <c r="S37" s="223" t="s">
        <v>729</v>
      </c>
      <c r="T37" s="53"/>
      <c r="V37" t="s">
        <v>355</v>
      </c>
      <c r="W37" s="358">
        <f t="shared" si="2"/>
        <v>1.6150000000000001E-2</v>
      </c>
      <c r="X37" s="5" t="b">
        <v>1</v>
      </c>
      <c r="Y37" s="5">
        <f t="shared" si="3"/>
        <v>0</v>
      </c>
      <c r="Z37" s="358">
        <f>HUF_DATA!U24</f>
        <v>1.6150000000000001E-2</v>
      </c>
      <c r="AB37" s="50"/>
      <c r="AC37" s="54" t="s">
        <v>730</v>
      </c>
      <c r="AD37" s="52" t="s">
        <v>713</v>
      </c>
      <c r="AE37" s="53"/>
      <c r="AG37" s="2" t="s">
        <v>662</v>
      </c>
      <c r="AM37" s="50"/>
      <c r="AN37" s="222" t="s">
        <v>759</v>
      </c>
      <c r="AO37" s="216" t="s">
        <v>48</v>
      </c>
      <c r="AP37" s="53"/>
      <c r="AX37" s="50"/>
      <c r="AY37" s="54" t="s">
        <v>467</v>
      </c>
      <c r="AZ37" s="85" t="s">
        <v>713</v>
      </c>
      <c r="BA37" s="53"/>
      <c r="BC37" s="2" t="s">
        <v>662</v>
      </c>
      <c r="BD37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t="s">
        <v>440</v>
      </c>
      <c r="BO37" s="360">
        <f>'STATIC DATA'!R5</f>
        <v>44083</v>
      </c>
      <c r="BT37" s="50"/>
      <c r="BU37" s="55"/>
      <c r="BV37" s="55"/>
      <c r="BW37" s="55"/>
      <c r="BX37" s="332"/>
      <c r="BY37" s="147" t="s">
        <v>434</v>
      </c>
      <c r="BZ37" s="238" t="s">
        <v>1447</v>
      </c>
      <c r="CA37" s="305"/>
      <c r="CB37" s="299"/>
      <c r="CC37"/>
      <c r="CD37" s="2" t="s">
        <v>662</v>
      </c>
      <c r="CE37"/>
      <c r="CF37"/>
      <c r="CG37"/>
      <c r="CH37"/>
      <c r="CI37"/>
      <c r="CJ37" s="2" t="s">
        <v>662</v>
      </c>
      <c r="CK37"/>
      <c r="CL37"/>
      <c r="CO37" s="299"/>
      <c r="CP37" s="299"/>
      <c r="CQ37" s="299"/>
      <c r="CR37" s="299"/>
      <c r="CS37" s="299"/>
      <c r="CT37" s="206"/>
      <c r="CU37" s="206"/>
      <c r="CV37" s="206"/>
    </row>
    <row r="38" spans="6:100" x14ac:dyDescent="0.25">
      <c r="F38" s="50"/>
      <c r="G38" s="222"/>
      <c r="H38" s="223"/>
      <c r="I38" s="53"/>
      <c r="K38" t="s">
        <v>434</v>
      </c>
      <c r="L38" t="str">
        <f>$A$1</f>
        <v>HUF</v>
      </c>
      <c r="Q38" s="50"/>
      <c r="R38" s="222" t="s">
        <v>683</v>
      </c>
      <c r="S38" s="223" t="str">
        <f>INDEX('STATIC DATA'!C7:AB7,1,MATCH($A$1,'STATIC DATA'!$C$4:$AB$4,0))</f>
        <v>2D</v>
      </c>
      <c r="T38" s="53"/>
      <c r="V38" t="s">
        <v>364</v>
      </c>
      <c r="W38" s="358">
        <f t="shared" si="2"/>
        <v>1.695E-2</v>
      </c>
      <c r="X38" s="5" t="b">
        <v>1</v>
      </c>
      <c r="Y38" s="5">
        <f t="shared" si="3"/>
        <v>0</v>
      </c>
      <c r="Z38" s="358">
        <f>HUF_DATA!U25</f>
        <v>1.695E-2</v>
      </c>
      <c r="AB38" s="50"/>
      <c r="AC38" s="220" t="s">
        <v>704</v>
      </c>
      <c r="AD38" s="221" t="str">
        <f>INDEX('STATIC DATA'!C43:AB43,1,MATCH($A$1,'STATIC DATA'!$C$4:$AB$4,0))</f>
        <v>BDB</v>
      </c>
      <c r="AE38" s="53"/>
      <c r="AG38" t="s">
        <v>434</v>
      </c>
      <c r="AH38" t="str">
        <f>$A$1</f>
        <v>HUF</v>
      </c>
      <c r="AM38" s="50"/>
      <c r="AN38" s="222" t="s">
        <v>760</v>
      </c>
      <c r="AO38" s="216" t="s">
        <v>608</v>
      </c>
      <c r="AP38" s="53"/>
      <c r="AX38" s="50"/>
      <c r="AY38" s="245" t="s">
        <v>749</v>
      </c>
      <c r="AZ38" s="243" t="s">
        <v>795</v>
      </c>
      <c r="BA38" s="53"/>
      <c r="BC38" t="s">
        <v>434</v>
      </c>
      <c r="BD38" t="str">
        <f>$A$1</f>
        <v>HUF</v>
      </c>
      <c r="BI38" s="50"/>
      <c r="BJ38" s="222" t="s">
        <v>760</v>
      </c>
      <c r="BK38" s="216" t="str">
        <f>INDEX('STATIC DATA'!C30:AB30,1,MATCH($A$1,'STATIC DATA'!$C$4:$AB$4,0))</f>
        <v>BDB:TGT:LNB</v>
      </c>
      <c r="BL38" s="53"/>
      <c r="BT38" s="50"/>
      <c r="BU38" s="55"/>
      <c r="BV38" s="55"/>
      <c r="BW38" s="55"/>
      <c r="BX38" s="332"/>
      <c r="BY38" s="149" t="s">
        <v>435</v>
      </c>
      <c r="BZ38" s="223" t="s">
        <v>820</v>
      </c>
      <c r="CA38" s="305"/>
      <c r="CB38" s="299"/>
      <c r="CC38"/>
      <c r="CD38" t="s">
        <v>434</v>
      </c>
      <c r="CE38" t="str">
        <f>$A$1</f>
        <v>HUF</v>
      </c>
      <c r="CF38"/>
      <c r="CG38"/>
      <c r="CH38"/>
      <c r="CI38"/>
      <c r="CJ38" t="s">
        <v>434</v>
      </c>
      <c r="CK38" t="str">
        <f>$A$1</f>
        <v>HUF</v>
      </c>
      <c r="CL38"/>
      <c r="CO38" s="299"/>
      <c r="CP38" s="299"/>
      <c r="CQ38" s="299"/>
      <c r="CR38" s="299"/>
      <c r="CS38" s="299"/>
      <c r="CT38" s="206"/>
      <c r="CU38" s="206"/>
      <c r="CV38" s="206"/>
    </row>
    <row r="39" spans="6:100" x14ac:dyDescent="0.25">
      <c r="F39" s="50"/>
      <c r="G39" s="52"/>
      <c r="H39" s="52"/>
      <c r="I39" s="53"/>
      <c r="K39" t="s">
        <v>435</v>
      </c>
      <c r="L39" t="s">
        <v>426</v>
      </c>
      <c r="Q39" s="50"/>
      <c r="R39" s="225" t="s">
        <v>686</v>
      </c>
      <c r="S39" s="226" t="s">
        <v>687</v>
      </c>
      <c r="T39" s="53"/>
      <c r="V39" t="s">
        <v>349</v>
      </c>
      <c r="W39" s="358">
        <f t="shared" si="2"/>
        <v>1.77E-2</v>
      </c>
      <c r="X39" s="5" t="b">
        <v>1</v>
      </c>
      <c r="Y39" s="5">
        <f t="shared" si="3"/>
        <v>0</v>
      </c>
      <c r="Z39" s="358">
        <f>HUF_DATA!U26</f>
        <v>1.77E-2</v>
      </c>
      <c r="AB39" s="50"/>
      <c r="AC39" s="222" t="s">
        <v>731</v>
      </c>
      <c r="AD39" s="223" t="str">
        <f>INDEX('STATIC DATA'!C55:AB55,1,MATCH($A$1,'STATIC DATA'!C4:AB4,0))</f>
        <v>ACT/360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33" t="s">
        <v>750</v>
      </c>
      <c r="AZ39" s="230" t="s">
        <v>720</v>
      </c>
      <c r="BA39" s="53"/>
      <c r="BC39" t="s">
        <v>435</v>
      </c>
      <c r="BD39" t="s">
        <v>468</v>
      </c>
      <c r="BI39" s="50"/>
      <c r="BJ39" s="225" t="s">
        <v>761</v>
      </c>
      <c r="BK39" s="219" t="s">
        <v>458</v>
      </c>
      <c r="BL39" s="53"/>
      <c r="BN39" s="2" t="s">
        <v>441</v>
      </c>
      <c r="BT39" s="50"/>
      <c r="BU39" s="55"/>
      <c r="BV39" s="55"/>
      <c r="BW39" s="55"/>
      <c r="BX39" s="332"/>
      <c r="BY39" s="149" t="s">
        <v>440</v>
      </c>
      <c r="BZ39" s="361">
        <f>'STATIC DATA'!R5</f>
        <v>44083</v>
      </c>
      <c r="CA39" s="324"/>
      <c r="CB39" s="299"/>
      <c r="CC39"/>
      <c r="CD39" t="s">
        <v>435</v>
      </c>
      <c r="CE39" t="s">
        <v>1084</v>
      </c>
      <c r="CF39"/>
      <c r="CG39"/>
      <c r="CH39"/>
      <c r="CI39"/>
      <c r="CJ39" t="s">
        <v>435</v>
      </c>
      <c r="CK39" t="s">
        <v>1084</v>
      </c>
      <c r="CL39"/>
      <c r="CO39" s="299"/>
      <c r="CP39" s="299"/>
      <c r="CQ39" s="299"/>
      <c r="CR39" s="299"/>
      <c r="CS39" s="299"/>
      <c r="CT39" s="206"/>
      <c r="CU39" s="206"/>
      <c r="CV39" s="206"/>
    </row>
    <row r="40" spans="6:100" x14ac:dyDescent="0.25">
      <c r="F40" s="50"/>
      <c r="G40" s="54" t="s">
        <v>702</v>
      </c>
      <c r="H40" s="227" t="s">
        <v>703</v>
      </c>
      <c r="I40" s="53"/>
      <c r="K40" t="s">
        <v>438</v>
      </c>
      <c r="L40" t="s">
        <v>439</v>
      </c>
      <c r="Q40" s="50"/>
      <c r="R40" s="52" t="s">
        <v>713</v>
      </c>
      <c r="S40" s="52" t="s">
        <v>713</v>
      </c>
      <c r="T40" s="53"/>
      <c r="V40" t="s">
        <v>358</v>
      </c>
      <c r="W40" s="358">
        <f t="shared" si="2"/>
        <v>1.9E-2</v>
      </c>
      <c r="X40" s="5" t="b">
        <v>1</v>
      </c>
      <c r="Y40" s="5">
        <f t="shared" si="3"/>
        <v>0</v>
      </c>
      <c r="Z40" s="358">
        <f>HUF_DATA!U27</f>
        <v>1.9E-2</v>
      </c>
      <c r="AB40" s="50"/>
      <c r="AC40" s="222" t="s">
        <v>732</v>
      </c>
      <c r="AD40" s="223" t="str">
        <f>INDEX('STATIC DATA'!C7:AB7,1,MATCH($A$1,'STATIC DATA'!$C$4:$AB$4,0))</f>
        <v>2D</v>
      </c>
      <c r="AE40" s="53"/>
      <c r="AG40" t="s">
        <v>438</v>
      </c>
      <c r="AH40" t="s">
        <v>458</v>
      </c>
      <c r="AM40" s="50"/>
      <c r="AN40" s="225" t="s">
        <v>762</v>
      </c>
      <c r="AO40" s="219" t="s">
        <v>608</v>
      </c>
      <c r="AP40" s="53"/>
      <c r="AX40" s="50"/>
      <c r="AY40" s="222" t="s">
        <v>751</v>
      </c>
      <c r="AZ40" s="216" t="str">
        <f>INDEX('STATIC DATA'!C39:AB39,1,MATCH($A$1,'STATIC DATA'!$C$4:$AB$4,0))</f>
        <v>BDB</v>
      </c>
      <c r="BA40" s="53"/>
      <c r="BC40" t="s">
        <v>438</v>
      </c>
      <c r="BD40" t="s">
        <v>794</v>
      </c>
      <c r="BI40" s="50"/>
      <c r="BJ40" s="225" t="s">
        <v>762</v>
      </c>
      <c r="BK40" s="219" t="str">
        <f>INDEX('STATIC DATA'!C30:AB30,1,MATCH($A$1,'STATIC DATA'!$C$4:$AB$4,0))</f>
        <v>BDB:TGT:LNB</v>
      </c>
      <c r="BL40" s="53"/>
      <c r="BN40" t="s">
        <v>442</v>
      </c>
      <c r="BO40" t="str">
        <f>A1&amp;"_"&amp;BO35&amp;"_CURVE_MARKETDATA"</f>
        <v>HUF_XCCYBASIS_CURVE_MARKETDATA</v>
      </c>
      <c r="BT40" s="50"/>
      <c r="BU40" s="55"/>
      <c r="BV40" s="55"/>
      <c r="BW40" s="55"/>
      <c r="BX40" s="332"/>
      <c r="BY40" s="151" t="s">
        <v>821</v>
      </c>
      <c r="BZ40" s="226">
        <f>IF(INDEX('STATIC DATA'!C49:AB49,1,MATCH($A$1,'STATIC DATA'!C4:AB4,0))=4,1/10000,IF(INDEX('STATIC DATA'!C49:AB49,1,MATCH($A$1,'STATIC DATA'!C4:AB4,0))=3,1/1000,1/100))</f>
        <v>0.01</v>
      </c>
      <c r="CA40" s="305"/>
      <c r="CB40" s="303"/>
      <c r="CC40"/>
      <c r="CD40" t="s">
        <v>438</v>
      </c>
      <c r="CE40" t="s">
        <v>439</v>
      </c>
      <c r="CF40"/>
      <c r="CG40"/>
      <c r="CH40"/>
      <c r="CI40"/>
      <c r="CJ40" t="s">
        <v>438</v>
      </c>
      <c r="CK40" t="s">
        <v>439</v>
      </c>
      <c r="CL40"/>
      <c r="CO40" s="299"/>
      <c r="CP40" s="299"/>
      <c r="CQ40" s="299"/>
      <c r="CR40" s="299"/>
      <c r="CS40" s="299"/>
      <c r="CT40" s="206"/>
      <c r="CU40" s="206"/>
      <c r="CV40" s="206"/>
    </row>
    <row r="41" spans="6:100" x14ac:dyDescent="0.25">
      <c r="F41" s="50"/>
      <c r="G41" s="220" t="s">
        <v>704</v>
      </c>
      <c r="H41" s="221" t="str">
        <f>INDEX('STATIC DATA'!C43:AB43,1,MATCH(A1,'STATIC DATA'!$C$4:$AB$4,0))</f>
        <v>BDB</v>
      </c>
      <c r="I41" s="53"/>
      <c r="K41" t="s">
        <v>440</v>
      </c>
      <c r="L41" s="360">
        <f>'STATIC DATA'!R5</f>
        <v>44083</v>
      </c>
      <c r="Q41" s="50"/>
      <c r="R41" s="54" t="s">
        <v>730</v>
      </c>
      <c r="S41" s="52" t="s">
        <v>713</v>
      </c>
      <c r="T41" s="53"/>
      <c r="V41" t="s">
        <v>367</v>
      </c>
      <c r="W41" s="358">
        <f t="shared" si="2"/>
        <v>2.0899999999999998E-2</v>
      </c>
      <c r="X41" s="5" t="b">
        <v>1</v>
      </c>
      <c r="Y41" s="5">
        <f t="shared" si="3"/>
        <v>0</v>
      </c>
      <c r="Z41" s="358">
        <f>HUF_DATA!U28</f>
        <v>2.0899999999999998E-2</v>
      </c>
      <c r="AB41" s="50"/>
      <c r="AC41" s="222" t="s">
        <v>707</v>
      </c>
      <c r="AD41" s="223" t="s">
        <v>687</v>
      </c>
      <c r="AE41" s="53"/>
      <c r="AG41" t="s">
        <v>440</v>
      </c>
      <c r="AH41" s="360">
        <f>TODAY()</f>
        <v>44083</v>
      </c>
      <c r="AM41" s="50"/>
      <c r="AN41" s="225" t="s">
        <v>763</v>
      </c>
      <c r="AO41" s="219">
        <v>0</v>
      </c>
      <c r="AP41" s="53"/>
      <c r="AX41" s="50"/>
      <c r="AY41" s="222" t="s">
        <v>752</v>
      </c>
      <c r="AZ41" s="216" t="str">
        <f>INDEX('STATIC DATA'!C55:AB55,1,MATCH($A$1,'STATIC DATA'!C4:AB4,0))</f>
        <v>ACT/360</v>
      </c>
      <c r="BA41" s="53"/>
      <c r="BC41" t="s">
        <v>440</v>
      </c>
      <c r="BD41" s="360">
        <f>'STATIC DATA'!R5</f>
        <v>44083</v>
      </c>
      <c r="BI41" s="50"/>
      <c r="BJ41" s="225" t="s">
        <v>763</v>
      </c>
      <c r="BK41" s="219" t="str">
        <f>INDEX('STATIC DATA'!C7:AB7,1,MATCH($A$1,'STATIC DATA'!$C$4:$AB$4,0))</f>
        <v>2D</v>
      </c>
      <c r="BL41" s="53"/>
      <c r="BN41" t="s">
        <v>444</v>
      </c>
      <c r="BO41" t="str">
        <f>_xll.meLWOCurveMarketDataCreate(BO40,BN33,BN34:BO38,"FXSPOTS",BN7:BP7,"FXFWDS",BN8:BP16,"XCCYSWAPS",BN17:BP29)</f>
        <v>HUF_XCCYBASIS_CURVE_MARKETDATA@231:1</v>
      </c>
      <c r="BT41" s="50"/>
      <c r="BU41" s="55"/>
      <c r="BV41" s="55"/>
      <c r="BW41" s="55"/>
      <c r="BX41" s="332"/>
      <c r="BY41" s="299"/>
      <c r="BZ41" s="299"/>
      <c r="CA41" s="313"/>
      <c r="CB41" s="299"/>
      <c r="CC41"/>
      <c r="CD41" t="s">
        <v>440</v>
      </c>
      <c r="CE41" s="275">
        <f>'STATIC DATA'!R5</f>
        <v>44083</v>
      </c>
      <c r="CF41"/>
      <c r="CG41"/>
      <c r="CH41"/>
      <c r="CI41"/>
      <c r="CJ41" t="s">
        <v>440</v>
      </c>
      <c r="CK41" s="275">
        <f>'STATIC DATA'!R5</f>
        <v>44083</v>
      </c>
      <c r="CL41"/>
      <c r="CO41" s="299"/>
      <c r="CP41" s="299"/>
      <c r="CQ41" s="299"/>
      <c r="CR41" s="299"/>
      <c r="CS41" s="299"/>
      <c r="CT41" s="206"/>
      <c r="CU41" s="206"/>
      <c r="CV41" s="206"/>
    </row>
    <row r="42" spans="6:100" x14ac:dyDescent="0.25">
      <c r="F42" s="50"/>
      <c r="G42" s="222" t="s">
        <v>705</v>
      </c>
      <c r="H42" s="223" t="str">
        <f>INDEX('STATIC DATA'!C55:AB55,1,MATCH(A1,'STATIC DATA'!C4:AB4,0))</f>
        <v>ACT/360</v>
      </c>
      <c r="I42" s="53"/>
      <c r="Q42" s="50"/>
      <c r="R42" s="220" t="s">
        <v>704</v>
      </c>
      <c r="S42" s="221" t="str">
        <f>INDEX('STATIC DATA'!C39:AB39,1,MATCH($A$1,'STATIC DATA'!$C$4:$AB$4,0))</f>
        <v>BDB</v>
      </c>
      <c r="T42" s="53"/>
      <c r="V42" t="s">
        <v>374</v>
      </c>
      <c r="W42" s="358">
        <f t="shared" si="2"/>
        <v>2.29E-2</v>
      </c>
      <c r="X42" s="5" t="b">
        <v>1</v>
      </c>
      <c r="Y42" s="5">
        <f t="shared" si="3"/>
        <v>0</v>
      </c>
      <c r="Z42" s="358">
        <f>HUF_DATA!U29</f>
        <v>2.29E-2</v>
      </c>
      <c r="AB42" s="50"/>
      <c r="AC42" s="222"/>
      <c r="AD42" s="223"/>
      <c r="AE42" s="53"/>
      <c r="AM42" s="50"/>
      <c r="AN42" s="220" t="s">
        <v>764</v>
      </c>
      <c r="AO42" s="238" t="s">
        <v>687</v>
      </c>
      <c r="AP42" s="53"/>
      <c r="AX42" s="50"/>
      <c r="AY42" s="225" t="s">
        <v>753</v>
      </c>
      <c r="AZ42" s="219" t="s">
        <v>458</v>
      </c>
      <c r="BA42" s="53"/>
      <c r="BD42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323" t="s">
        <v>824</v>
      </c>
      <c r="BZ42" s="303"/>
      <c r="CA42" s="313"/>
      <c r="CB42" s="299"/>
      <c r="CC42"/>
      <c r="CD42"/>
      <c r="CE42"/>
      <c r="CF42"/>
      <c r="CG42"/>
      <c r="CH42"/>
      <c r="CI42"/>
      <c r="CJ42"/>
      <c r="CK42"/>
      <c r="CL42"/>
      <c r="CO42" s="299"/>
      <c r="CP42" s="299"/>
      <c r="CQ42" s="299"/>
      <c r="CR42" s="299"/>
      <c r="CS42" s="299"/>
      <c r="CT42" s="206"/>
      <c r="CU42" s="206"/>
      <c r="CV42" s="206"/>
    </row>
    <row r="43" spans="6:100" x14ac:dyDescent="0.25">
      <c r="F43" s="50"/>
      <c r="G43" s="222" t="s">
        <v>706</v>
      </c>
      <c r="H43" s="223" t="str">
        <f>IF(INDEX('STATIC DATA'!C56:AB56,1,MATCH(A1,'STATIC DATA'!C4:AB4,0))="1Y","ANNUAL",(IF(INDEX('STATIC DATA'!C56:AB56,1,MATCH(A1,'STATIC DATA'!C4:AB4,0))="6M","SEMI-ANNUAL", "QUARTERLY")))</f>
        <v>SEMI-ANNUAL</v>
      </c>
      <c r="I43" s="53"/>
      <c r="K43" s="2" t="s">
        <v>441</v>
      </c>
      <c r="Q43" s="50"/>
      <c r="R43" s="222" t="s">
        <v>731</v>
      </c>
      <c r="S43" s="223" t="str">
        <f>INDEX('STATIC DATA'!C55:AB55,1,MATCH($A$1,'STATIC DATA'!C4:AB4,0))</f>
        <v>ACT/360</v>
      </c>
      <c r="T43" s="53"/>
      <c r="W43" s="357"/>
      <c r="X43" s="5"/>
      <c r="Z43" s="358"/>
      <c r="AB43" s="50"/>
      <c r="AC43" s="225"/>
      <c r="AD43" s="226"/>
      <c r="AE43" s="53"/>
      <c r="AG43" s="2" t="s">
        <v>441</v>
      </c>
      <c r="AM43" s="50"/>
      <c r="AN43" s="222" t="s">
        <v>765</v>
      </c>
      <c r="AO43" s="216" t="s">
        <v>608</v>
      </c>
      <c r="AP43" s="53"/>
      <c r="AX43" s="50"/>
      <c r="AY43" s="222" t="s">
        <v>754</v>
      </c>
      <c r="AZ43" s="216" t="s">
        <v>687</v>
      </c>
      <c r="BA43" s="53"/>
      <c r="BC43" s="2" t="s">
        <v>441</v>
      </c>
      <c r="BD43"/>
      <c r="BI43" s="50"/>
      <c r="BJ43" s="222" t="s">
        <v>765</v>
      </c>
      <c r="BK43" s="216" t="str">
        <f>INDEX('STATIC DATA'!C30:AB30,1,MATCH($A$1,'STATIC DATA'!$C$4:$AB$4,0))</f>
        <v>BDB:TGT:LNB</v>
      </c>
      <c r="BL43" s="53"/>
      <c r="BN43" s="2" t="s">
        <v>447</v>
      </c>
      <c r="BT43" s="50"/>
      <c r="BU43" s="55"/>
      <c r="BV43" s="55"/>
      <c r="BW43" s="55"/>
      <c r="BX43" s="332"/>
      <c r="BY43" s="270" t="s">
        <v>830</v>
      </c>
      <c r="BZ43" s="271" t="s">
        <v>1448</v>
      </c>
      <c r="CA43" s="325"/>
      <c r="CB43" s="299"/>
      <c r="CC43"/>
      <c r="CD43" s="2" t="s">
        <v>441</v>
      </c>
      <c r="CE43"/>
      <c r="CF43"/>
      <c r="CG43"/>
      <c r="CH43"/>
      <c r="CI43"/>
      <c r="CJ43" s="2" t="s">
        <v>441</v>
      </c>
      <c r="CK43"/>
      <c r="CL43"/>
      <c r="CO43" s="299"/>
      <c r="CP43" s="299"/>
      <c r="CQ43" s="299"/>
      <c r="CR43" s="299"/>
      <c r="CS43" s="299"/>
      <c r="CT43" s="206"/>
      <c r="CU43" s="206"/>
      <c r="CV43" s="206"/>
    </row>
    <row r="44" spans="6:100" x14ac:dyDescent="0.25">
      <c r="F44" s="50"/>
      <c r="G44" s="225" t="s">
        <v>707</v>
      </c>
      <c r="H44" s="226" t="s">
        <v>687</v>
      </c>
      <c r="I44" s="53"/>
      <c r="K44" t="s">
        <v>442</v>
      </c>
      <c r="L44" s="206" t="str">
        <f>L38&amp;"_"&amp;L39&amp;"_CURVE_MARKETDATA"</f>
        <v>HUF_OIS_CURVE_MARKETDATA</v>
      </c>
      <c r="Q44" s="50"/>
      <c r="R44" s="222" t="s">
        <v>732</v>
      </c>
      <c r="S44" s="223" t="str">
        <f>INDEX('STATIC DATA'!C7:AB7,1,MATCH($A$1,'STATIC DATA'!$C$4:$AB$4,0))</f>
        <v>2D</v>
      </c>
      <c r="T44" s="53"/>
      <c r="W44" s="357"/>
      <c r="X44" s="5"/>
      <c r="Z44" s="358"/>
      <c r="AB44" s="50"/>
      <c r="AC44" s="85" t="s">
        <v>713</v>
      </c>
      <c r="AD44" s="85" t="s">
        <v>713</v>
      </c>
      <c r="AE44" s="53"/>
      <c r="AG44" t="s">
        <v>442</v>
      </c>
      <c r="AH44" t="str">
        <f>A1&amp;"_BASIS_3M6M_MARKETDATA"</f>
        <v>HUF_BASIS_3M6M_MARKETDATA</v>
      </c>
      <c r="AM44" s="50"/>
      <c r="AN44" s="222" t="s">
        <v>766</v>
      </c>
      <c r="AO44" s="216" t="s">
        <v>48</v>
      </c>
      <c r="AP44" s="53"/>
      <c r="AX44" s="50"/>
      <c r="AY44" s="222" t="s">
        <v>755</v>
      </c>
      <c r="AZ44" s="216" t="str">
        <f>INDEX('STATIC DATA'!C7:AB7,1,MATCH($A$1,'STATIC DATA'!$C$4:$AB$4,0))</f>
        <v>2D</v>
      </c>
      <c r="BA44" s="53"/>
      <c r="BC44" t="s">
        <v>442</v>
      </c>
      <c r="BD44" t="str">
        <f>$A$1&amp;"_BASIS_1M3M_MARKETDATA"</f>
        <v>HUF_BASIS_1M3M_MARKETDATA</v>
      </c>
      <c r="BI44" s="50"/>
      <c r="BJ44" s="222" t="s">
        <v>766</v>
      </c>
      <c r="BK44" s="216" t="str">
        <f>INDEX('STATIC DATA'!C55:AB55,1,MATCH($A$1,'STATIC DATA'!C4:AB4,0))</f>
        <v>ACT/360</v>
      </c>
      <c r="BL44" s="53"/>
      <c r="BN44" t="s">
        <v>442</v>
      </c>
      <c r="BO44" t="str">
        <f>A1&amp;"_"&amp;BO35&amp;"_CURVE"</f>
        <v>HUF_XCCYBASIS_CURVE</v>
      </c>
      <c r="BT44" s="50"/>
      <c r="BU44" s="55"/>
      <c r="BV44" s="55"/>
      <c r="BW44" s="55"/>
      <c r="BX44" s="332"/>
      <c r="BY44" s="206"/>
      <c r="BZ44" s="263" t="str">
        <f>_xll.meLWOCurveMarketDataCreate(BZ43,"MARKETDATAPROPERTIES",BY37:BZ40,"FXSPOTS",BZ7:CA7,"FXFWDS",BY8:CA19)</f>
        <v>MKTDATA_HUFUSD@276:42</v>
      </c>
      <c r="CA44" s="313"/>
      <c r="CB44" s="303"/>
      <c r="CC44"/>
      <c r="CD44" t="s">
        <v>442</v>
      </c>
      <c r="CE44" t="str">
        <f>$A$1&amp;"_FXFWD_MARKET_DATA"</f>
        <v>HUF_FXFWD_MARKET_DATA</v>
      </c>
      <c r="CF44"/>
      <c r="CG44"/>
      <c r="CH44"/>
      <c r="CI44"/>
      <c r="CJ44" t="s">
        <v>442</v>
      </c>
      <c r="CK44" t="str">
        <f>$A$1&amp;"_FXFWD_MARKET_DATA"</f>
        <v>HUF_FXFWD_MARKET_DATA</v>
      </c>
      <c r="CL44"/>
      <c r="CO44" s="299"/>
      <c r="CP44" s="299"/>
      <c r="CQ44" s="299"/>
      <c r="CR44" s="299"/>
      <c r="CS44" s="299"/>
      <c r="CT44" s="206"/>
      <c r="CU44" s="206"/>
      <c r="CV44" s="206"/>
    </row>
    <row r="45" spans="6:100" x14ac:dyDescent="0.25">
      <c r="F45" s="50"/>
      <c r="G45" s="52"/>
      <c r="H45" s="52"/>
      <c r="I45" s="53"/>
      <c r="K45" t="s">
        <v>444</v>
      </c>
      <c r="L45" s="206" t="str">
        <f>_xll.meLWOCurveMarketDataCreate(L44,"MarketDataProperties",K38:L41,"OIS",K7:L32)</f>
        <v>HUF_OIS_CURVE_MARKETDATA@254:42</v>
      </c>
      <c r="Q45" s="50"/>
      <c r="R45" s="222" t="s">
        <v>707</v>
      </c>
      <c r="S45" s="223" t="s">
        <v>687</v>
      </c>
      <c r="T45" s="53"/>
      <c r="W45" s="357"/>
      <c r="X45" s="5"/>
      <c r="Z45" s="358"/>
      <c r="AB45" s="50"/>
      <c r="AC45" s="54" t="s">
        <v>467</v>
      </c>
      <c r="AD45" s="85" t="s">
        <v>713</v>
      </c>
      <c r="AE45" s="53"/>
      <c r="AG45" t="s">
        <v>444</v>
      </c>
      <c r="AH45" t="str">
        <f>_xll.meLWOCurveMarketDataCreate(AH44,"MARKETDATAPROPERTIES",AG38:AH42,"LIBORFIXINGS",AG7:AI9,"FRAS",AG10:AI14,"BASISSWAPS",AG15:AI27)</f>
        <v>HUF_BASIS_3M6M_MARKETDATA@139:42</v>
      </c>
      <c r="AM45" s="50"/>
      <c r="AN45" s="222" t="s">
        <v>767</v>
      </c>
      <c r="AO45" s="216" t="s">
        <v>458</v>
      </c>
      <c r="AP45" s="53"/>
      <c r="AX45" s="50"/>
      <c r="AY45" s="245" t="s">
        <v>756</v>
      </c>
      <c r="AZ45" s="244" t="s">
        <v>955</v>
      </c>
      <c r="BA45" s="53"/>
      <c r="BC45" t="s">
        <v>444</v>
      </c>
      <c r="BD45" t="str">
        <f>_xll.meLWOCurveMarketDataCreate(BD44,"MARKETDATAPROPERTIES",BC38:BD42,"LIBORFIXINGS",BC7:BE8,"BASISSWAPS",BC9:BE18)</f>
        <v>HUF_BASIS_1M3M_MARKETDATA@137:42</v>
      </c>
      <c r="BI45" s="50"/>
      <c r="BJ45" s="222" t="s">
        <v>767</v>
      </c>
      <c r="BK45" s="216" t="s">
        <v>458</v>
      </c>
      <c r="BL45" s="53"/>
      <c r="BN45" t="s">
        <v>450</v>
      </c>
      <c r="BO45" t="str">
        <f>BK8</f>
        <v>HUF_XCCY@378:6</v>
      </c>
      <c r="BT45" s="50"/>
      <c r="BU45" s="55"/>
      <c r="BV45" s="55"/>
      <c r="BW45" s="55"/>
      <c r="BX45" s="332"/>
      <c r="BY45" s="206"/>
      <c r="BZ45" s="206"/>
      <c r="CA45" s="305"/>
      <c r="CB45" s="313"/>
      <c r="CC45"/>
      <c r="CD45" t="s">
        <v>444</v>
      </c>
      <c r="CE45" t="str">
        <f>_xll.meLWOCurveMarketDataCreate(CE44,CD37,CD38:CE41)</f>
        <v>HUF_FXFWD_MARKET_DATA@29:42</v>
      </c>
      <c r="CF45"/>
      <c r="CG45"/>
      <c r="CH45"/>
      <c r="CI45"/>
      <c r="CJ45" t="s">
        <v>444</v>
      </c>
      <c r="CK45" t="str">
        <f>_xll.meLWOCurveMarketDataCreate(CK44,CJ37,CJ38:CK41)</f>
        <v>HUF_FXFWD_MARKET_DATA@36:42</v>
      </c>
      <c r="CL45"/>
      <c r="CO45" s="299"/>
      <c r="CP45" s="299"/>
      <c r="CQ45" s="299"/>
      <c r="CR45" s="299"/>
      <c r="CS45" s="299"/>
      <c r="CT45" s="206"/>
      <c r="CU45" s="206"/>
      <c r="CV45" s="206"/>
    </row>
    <row r="46" spans="6:100" x14ac:dyDescent="0.25">
      <c r="F46" s="50"/>
      <c r="G46" s="54" t="s">
        <v>428</v>
      </c>
      <c r="H46" s="227" t="s">
        <v>708</v>
      </c>
      <c r="I46" s="53"/>
      <c r="L46" s="206"/>
      <c r="Q46" s="50"/>
      <c r="R46" s="222"/>
      <c r="S46" s="223"/>
      <c r="T46" s="53"/>
      <c r="Y46"/>
      <c r="AB46" s="50"/>
      <c r="AC46" s="245" t="s">
        <v>749</v>
      </c>
      <c r="AD46" s="243" t="s">
        <v>745</v>
      </c>
      <c r="AE46" s="53"/>
      <c r="AM46" s="50"/>
      <c r="AN46" s="222" t="s">
        <v>768</v>
      </c>
      <c r="AO46" s="239" t="s">
        <v>680</v>
      </c>
      <c r="AP46" s="53"/>
      <c r="AX46" s="50"/>
      <c r="AY46" s="233" t="s">
        <v>757</v>
      </c>
      <c r="AZ46" s="244" t="s">
        <v>426</v>
      </c>
      <c r="BA46" s="53"/>
      <c r="BD46"/>
      <c r="BI46" s="50"/>
      <c r="BJ46" s="222" t="s">
        <v>769</v>
      </c>
      <c r="BK46" s="239" t="s">
        <v>687</v>
      </c>
      <c r="BL46" s="53"/>
      <c r="BN46" t="s">
        <v>452</v>
      </c>
      <c r="BO46" t="str">
        <f>A1&amp;"YC"</f>
        <v>HUFYC</v>
      </c>
      <c r="BT46" s="50"/>
      <c r="BU46" s="55"/>
      <c r="BV46" s="55"/>
      <c r="BW46" s="55"/>
      <c r="BX46" s="332"/>
      <c r="BY46" s="299"/>
      <c r="BZ46" s="299"/>
      <c r="CA46" s="299"/>
      <c r="CB46" s="299"/>
      <c r="CC46"/>
      <c r="CD46"/>
      <c r="CE46"/>
      <c r="CF46"/>
      <c r="CG46"/>
      <c r="CH46"/>
      <c r="CI46"/>
      <c r="CJ46"/>
      <c r="CK46"/>
      <c r="CL46"/>
      <c r="CO46" s="299"/>
      <c r="CP46" s="299"/>
      <c r="CQ46" s="299"/>
      <c r="CR46" s="299"/>
      <c r="CS46" s="299"/>
      <c r="CT46" s="206"/>
      <c r="CU46" s="206"/>
      <c r="CV46" s="206"/>
    </row>
    <row r="47" spans="6:100" x14ac:dyDescent="0.25">
      <c r="F47" s="50"/>
      <c r="G47" s="220" t="s">
        <v>677</v>
      </c>
      <c r="H47" s="221" t="str">
        <f>INDEX('STATIC DATA'!C43:AB43,1,MATCH(A1,'STATIC DATA'!$C$4:$AB$4,0))</f>
        <v>BDB</v>
      </c>
      <c r="I47" s="53"/>
      <c r="K47" s="2" t="s">
        <v>447</v>
      </c>
      <c r="L47" s="206"/>
      <c r="Q47" s="50"/>
      <c r="R47" s="225"/>
      <c r="S47" s="226"/>
      <c r="T47" s="53"/>
      <c r="AB47" s="50"/>
      <c r="AC47" s="233" t="s">
        <v>750</v>
      </c>
      <c r="AD47" s="230" t="s">
        <v>720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45" t="s">
        <v>758</v>
      </c>
      <c r="AZ47" s="244" t="s">
        <v>49</v>
      </c>
      <c r="BA47" s="53"/>
      <c r="BC47" s="2" t="s">
        <v>447</v>
      </c>
      <c r="BD47"/>
      <c r="BI47" s="50"/>
      <c r="BJ47" s="222" t="s">
        <v>770</v>
      </c>
      <c r="BK47" s="216" t="str">
        <f>INDEX('STATIC DATA'!C7:AB7,1,MATCH($A$1,'STATIC DATA'!$C$4:$AB$4,0))</f>
        <v>2D</v>
      </c>
      <c r="BL47" s="53"/>
      <c r="BN47" t="s">
        <v>453</v>
      </c>
      <c r="BO47" t="s">
        <v>437</v>
      </c>
      <c r="BT47" s="50"/>
      <c r="BU47" s="55"/>
      <c r="BV47" s="55"/>
      <c r="BW47" s="55"/>
      <c r="BX47" s="332"/>
      <c r="BY47" s="303"/>
      <c r="BZ47" s="299"/>
      <c r="CA47" s="299"/>
      <c r="CB47" s="299"/>
      <c r="CC47"/>
      <c r="CD47" s="2" t="s">
        <v>447</v>
      </c>
      <c r="CE47"/>
      <c r="CF47"/>
      <c r="CG47"/>
      <c r="CH47"/>
      <c r="CI47"/>
      <c r="CJ47" s="2" t="s">
        <v>447</v>
      </c>
      <c r="CK47"/>
      <c r="CL47"/>
      <c r="CO47" s="299"/>
      <c r="CP47" s="299"/>
      <c r="CQ47" s="299"/>
      <c r="CR47" s="299"/>
      <c r="CS47" s="299"/>
      <c r="CT47" s="206"/>
      <c r="CU47" s="206"/>
      <c r="CV47" s="206"/>
    </row>
    <row r="48" spans="6:100" x14ac:dyDescent="0.25">
      <c r="F48" s="50"/>
      <c r="G48" s="222" t="s">
        <v>709</v>
      </c>
      <c r="H48" s="223" t="str">
        <f>INDEX('STATIC DATA'!C53:AB53,1,MATCH(A1,'STATIC DATA'!C4:AB4,0))</f>
        <v>ACT/365</v>
      </c>
      <c r="I48" s="53"/>
      <c r="K48" t="s">
        <v>442</v>
      </c>
      <c r="L48" s="206" t="str">
        <f>L38&amp;"_"&amp;L39&amp;"_CURVE"</f>
        <v>HUF_OIS_CURVE</v>
      </c>
      <c r="Q48" s="50"/>
      <c r="R48" s="52" t="s">
        <v>713</v>
      </c>
      <c r="S48" s="52" t="s">
        <v>713</v>
      </c>
      <c r="T48" s="53"/>
      <c r="AB48" s="50"/>
      <c r="AC48" s="222" t="s">
        <v>751</v>
      </c>
      <c r="AD48" s="216" t="str">
        <f>INDEX('STATIC DATA'!C39:AB39,1,MATCH($A$1,'STATIC DATA'!$C$4:$AB$4,0))</f>
        <v>BDB</v>
      </c>
      <c r="AE48" s="53"/>
      <c r="AG48" t="s">
        <v>442</v>
      </c>
      <c r="AH48" t="str">
        <f>A1&amp;"_BASIS_3M6M_CURVE"</f>
        <v>HUF_BASIS_3M6M_CURVE</v>
      </c>
      <c r="AM48" s="50"/>
      <c r="AN48" s="225" t="s">
        <v>770</v>
      </c>
      <c r="AO48" s="219">
        <v>0</v>
      </c>
      <c r="AP48" s="53"/>
      <c r="AX48" s="50"/>
      <c r="AY48" s="222" t="s">
        <v>759</v>
      </c>
      <c r="AZ48" s="216" t="str">
        <f>INDEX('STATIC DATA'!C55:AB55,1,MATCH($A$1,'STATIC DATA'!C4:AB4,0))</f>
        <v>ACT/360</v>
      </c>
      <c r="BA48" s="53"/>
      <c r="BC48" t="s">
        <v>442</v>
      </c>
      <c r="BD48" t="str">
        <f>$A$1&amp;"_BASIS_1M3M_CURVE"</f>
        <v>HUF_BASIS_1M3M_CURVE</v>
      </c>
      <c r="BI48" s="50"/>
      <c r="BJ48" s="234" t="s">
        <v>772</v>
      </c>
      <c r="BK48" s="247" t="s">
        <v>955</v>
      </c>
      <c r="BL48" s="249" t="s">
        <v>801</v>
      </c>
      <c r="BT48" s="50"/>
      <c r="BU48" s="55"/>
      <c r="BV48" s="55"/>
      <c r="BW48" s="55"/>
      <c r="BX48" s="332"/>
      <c r="BY48" s="323"/>
      <c r="BZ48" s="303"/>
      <c r="CA48" s="299"/>
      <c r="CB48" s="299"/>
      <c r="CC48"/>
      <c r="CD48" t="s">
        <v>442</v>
      </c>
      <c r="CE48" t="s">
        <v>1455</v>
      </c>
      <c r="CF48"/>
      <c r="CG48"/>
      <c r="CH48"/>
      <c r="CI48"/>
      <c r="CJ48" t="s">
        <v>442</v>
      </c>
      <c r="CK48" t="s">
        <v>1458</v>
      </c>
      <c r="CL48"/>
      <c r="CM48" s="299"/>
      <c r="CN48" s="419"/>
      <c r="CO48" s="299"/>
      <c r="CP48" s="299"/>
      <c r="CQ48" s="299"/>
      <c r="CR48" s="299"/>
      <c r="CS48" s="299"/>
      <c r="CT48" s="206"/>
      <c r="CU48" s="206"/>
      <c r="CV48" s="206"/>
    </row>
    <row r="49" spans="6:100" x14ac:dyDescent="0.25">
      <c r="F49" s="50"/>
      <c r="G49" s="222" t="s">
        <v>710</v>
      </c>
      <c r="H49" s="223" t="str">
        <f>IF(INDEX('STATIC DATA'!C54:AB54,1,MATCH(A1,'STATIC DATA'!C4:AB4,0))="1Y","ANNUAL",(IF(INDEX('STATIC DATA'!C54:AB54,1,MATCH(A1,'STATIC DATA'!C4:AB4,0))="6M","SEMI-ANNUAL", "QUARTERLY")))</f>
        <v>ANNUAL</v>
      </c>
      <c r="I49" s="53"/>
      <c r="K49" t="s">
        <v>450</v>
      </c>
      <c r="L49" s="206" t="str">
        <f>H8</f>
        <v>HUF_OIS@382:6</v>
      </c>
      <c r="Q49" s="50"/>
      <c r="R49" s="54" t="s">
        <v>428</v>
      </c>
      <c r="S49" s="52" t="s">
        <v>713</v>
      </c>
      <c r="T49" s="53"/>
      <c r="V49" s="2" t="s">
        <v>662</v>
      </c>
      <c r="AB49" s="50"/>
      <c r="AC49" s="222" t="s">
        <v>752</v>
      </c>
      <c r="AD49" s="216" t="str">
        <f>INDEX('STATIC DATA'!C55:AB55,1,MATCH($A$1,'STATIC DATA'!C4:AB4,0))</f>
        <v>ACT/360</v>
      </c>
      <c r="AE49" s="53"/>
      <c r="AG49" t="s">
        <v>450</v>
      </c>
      <c r="AH49" t="str">
        <f>AD8</f>
        <v>HUF_BASIS_3M6M@385:6</v>
      </c>
      <c r="AM49" s="50"/>
      <c r="AN49" s="234" t="s">
        <v>771</v>
      </c>
      <c r="AO49" s="242" t="s">
        <v>792</v>
      </c>
      <c r="AP49" s="53"/>
      <c r="AX49" s="50"/>
      <c r="AY49" s="222" t="s">
        <v>760</v>
      </c>
      <c r="AZ49" s="216" t="str">
        <f>INDEX('STATIC DATA'!C39:AB39,1,MATCH($A$1,'STATIC DATA'!$C$4:$AB$4,0))</f>
        <v>BDB</v>
      </c>
      <c r="BA49" s="53"/>
      <c r="BC49" t="s">
        <v>450</v>
      </c>
      <c r="BD49" t="str">
        <f>AZ8</f>
        <v>HUF_BASIS_1M3M@379:6</v>
      </c>
      <c r="BI49" s="50"/>
      <c r="BJ49" s="234" t="s">
        <v>771</v>
      </c>
      <c r="BK49" s="242" t="s">
        <v>955</v>
      </c>
      <c r="BL49" s="53"/>
      <c r="BN49" s="2" t="s">
        <v>454</v>
      </c>
      <c r="BT49" s="50"/>
      <c r="BU49" s="55"/>
      <c r="BV49" s="55"/>
      <c r="BW49" s="55"/>
      <c r="BX49" s="332"/>
      <c r="BY49" s="308"/>
      <c r="BZ49" s="308"/>
      <c r="CA49" s="308"/>
      <c r="CB49" s="299"/>
      <c r="CC49"/>
      <c r="CD49" t="s">
        <v>450</v>
      </c>
      <c r="CE49" t="str">
        <f>CE8</f>
        <v>HUF_EURCSA@383:6</v>
      </c>
      <c r="CF49"/>
      <c r="CG49"/>
      <c r="CH49"/>
      <c r="CI49"/>
      <c r="CJ49" t="s">
        <v>450</v>
      </c>
      <c r="CK49" t="str">
        <f>CK8</f>
        <v>HUF_JPYCSA@381:6</v>
      </c>
      <c r="CL49"/>
      <c r="CM49" s="299"/>
      <c r="CN49" s="419"/>
      <c r="CO49" s="299"/>
      <c r="CP49" s="299"/>
      <c r="CQ49" s="299"/>
      <c r="CR49" s="299"/>
      <c r="CS49" s="299"/>
      <c r="CT49" s="206"/>
      <c r="CU49" s="206"/>
      <c r="CV49" s="206"/>
    </row>
    <row r="50" spans="6:100" x14ac:dyDescent="0.25">
      <c r="F50" s="50"/>
      <c r="G50" s="225" t="s">
        <v>686</v>
      </c>
      <c r="H50" s="226" t="s">
        <v>687</v>
      </c>
      <c r="I50" s="53"/>
      <c r="K50" t="s">
        <v>452</v>
      </c>
      <c r="L50" s="206" t="str">
        <f>$A$1&amp;"YC"</f>
        <v>HUFYC</v>
      </c>
      <c r="Q50" s="50"/>
      <c r="R50" s="220" t="s">
        <v>704</v>
      </c>
      <c r="S50" s="221" t="str">
        <f>INDEX('STATIC DATA'!C43:AB43,1,MATCH($A$1,'STATIC DATA'!$C$4:$AB$4,0))</f>
        <v>BDB</v>
      </c>
      <c r="T50" s="53"/>
      <c r="V50" t="s">
        <v>434</v>
      </c>
      <c r="W50" t="str">
        <f>$A$1</f>
        <v>HUF</v>
      </c>
      <c r="AB50" s="50"/>
      <c r="AC50" s="225" t="s">
        <v>753</v>
      </c>
      <c r="AD50" s="219" t="s">
        <v>459</v>
      </c>
      <c r="AE50" s="53"/>
      <c r="AG50" t="s">
        <v>452</v>
      </c>
      <c r="AH50" t="str">
        <f>$A$1&amp;"YC"</f>
        <v>HUFYC</v>
      </c>
      <c r="AM50" s="50"/>
      <c r="AN50" s="234" t="s">
        <v>772</v>
      </c>
      <c r="AO50" s="242" t="s">
        <v>792</v>
      </c>
      <c r="AP50" s="53"/>
      <c r="AX50" s="50"/>
      <c r="AY50" s="225" t="s">
        <v>761</v>
      </c>
      <c r="AZ50" s="219" t="s">
        <v>721</v>
      </c>
      <c r="BA50" s="53"/>
      <c r="BC50" t="s">
        <v>452</v>
      </c>
      <c r="BD50" t="str">
        <f>$A$1&amp;"YC"</f>
        <v>HUFYC</v>
      </c>
      <c r="BI50" s="50"/>
      <c r="BJ50" s="245" t="s">
        <v>774</v>
      </c>
      <c r="BK50" s="244" t="s">
        <v>49</v>
      </c>
      <c r="BL50" s="53"/>
      <c r="BN50" t="s">
        <v>442</v>
      </c>
      <c r="BO50" s="647" t="str">
        <f t="array" ref="BO50:BO53">IF(AND(ExistsUSD3M,ExistsHUF3M),_xll.meLWOCurveCalibrate($BO$44,$BO$45,$BO$41,$BO$46,$BO$47),"LOAD DEPENDENCY")</f>
        <v>HUF_XCCYBASIS_CURVE@495:1</v>
      </c>
      <c r="BT50" s="50"/>
      <c r="BU50" s="55"/>
      <c r="BV50" s="55"/>
      <c r="BW50" s="55"/>
      <c r="BX50" s="332"/>
      <c r="BY50" s="276"/>
      <c r="BZ50" s="277"/>
      <c r="CA50" s="278"/>
      <c r="CB50" s="299"/>
      <c r="CC50"/>
      <c r="CD50" t="s">
        <v>452</v>
      </c>
      <c r="CE50" t="s">
        <v>1016</v>
      </c>
      <c r="CF50"/>
      <c r="CG50"/>
      <c r="CH50"/>
      <c r="CI50"/>
      <c r="CJ50" t="s">
        <v>452</v>
      </c>
      <c r="CK50" t="s">
        <v>1016</v>
      </c>
      <c r="CL50"/>
      <c r="CM50" s="299"/>
      <c r="CN50" s="419"/>
      <c r="CO50" s="299"/>
      <c r="CP50" s="299"/>
      <c r="CQ50" s="299"/>
      <c r="CR50" s="299"/>
      <c r="CS50" s="299"/>
      <c r="CT50" s="206"/>
      <c r="CU50" s="206"/>
      <c r="CV50" s="206"/>
    </row>
    <row r="51" spans="6:100" x14ac:dyDescent="0.25">
      <c r="F51" s="50"/>
      <c r="G51" s="52"/>
      <c r="H51" s="52"/>
      <c r="I51" s="53"/>
      <c r="K51" t="s">
        <v>453</v>
      </c>
      <c r="L51" s="206"/>
      <c r="Q51" s="50"/>
      <c r="R51" s="222" t="s">
        <v>731</v>
      </c>
      <c r="S51" s="223" t="str">
        <f>INDEX('STATIC DATA'!C53:AB53,1,MATCH(A1,'STATIC DATA'!C4:AB4,0))</f>
        <v>ACT/365</v>
      </c>
      <c r="T51" s="53"/>
      <c r="V51" t="s">
        <v>435</v>
      </c>
      <c r="W51" t="s">
        <v>463</v>
      </c>
      <c r="AB51" s="50"/>
      <c r="AC51" s="222" t="s">
        <v>754</v>
      </c>
      <c r="AD51" s="216" t="s">
        <v>687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25" t="s">
        <v>762</v>
      </c>
      <c r="AZ51" s="219" t="str">
        <f>INDEX('STATIC DATA'!C39:AB39,1,MATCH($A$1,'STATIC DATA'!$C$4:$AB$4,0))</f>
        <v>BDB</v>
      </c>
      <c r="BA51" s="53"/>
      <c r="BC51" t="s">
        <v>453</v>
      </c>
      <c r="BD51"/>
      <c r="BI51" s="50"/>
      <c r="BJ51" s="222" t="s">
        <v>775</v>
      </c>
      <c r="BK51" s="216" t="str">
        <f>INDEX('STATIC DATA'!C55:AB55,1,MATCH($A$1,'STATIC DATA'!C4:AB4,0))</f>
        <v>ACT/360</v>
      </c>
      <c r="BL51" s="53"/>
      <c r="BN51" t="s">
        <v>455</v>
      </c>
      <c r="BO51" t="str">
        <v>HUFYC</v>
      </c>
      <c r="BT51" s="50"/>
      <c r="BU51" s="55"/>
      <c r="BV51" s="55"/>
      <c r="BW51" s="55"/>
      <c r="BX51" s="332"/>
      <c r="BY51" s="279"/>
      <c r="BZ51" s="280"/>
      <c r="CA51" s="281"/>
      <c r="CB51" s="299"/>
      <c r="CC51"/>
      <c r="CD51" t="s">
        <v>453</v>
      </c>
      <c r="CE51" t="s">
        <v>929</v>
      </c>
      <c r="CF51"/>
      <c r="CG51"/>
      <c r="CH51"/>
      <c r="CI51"/>
      <c r="CJ51" t="s">
        <v>453</v>
      </c>
      <c r="CK51" t="s">
        <v>1131</v>
      </c>
      <c r="CL51"/>
      <c r="CM51" s="299"/>
      <c r="CN51" s="419"/>
      <c r="CO51" s="299"/>
      <c r="CP51" s="299"/>
      <c r="CQ51" s="299"/>
      <c r="CR51" s="299"/>
      <c r="CS51" s="299"/>
      <c r="CT51" s="206"/>
      <c r="CU51" s="206"/>
      <c r="CV51" s="206"/>
    </row>
    <row r="52" spans="6:100" x14ac:dyDescent="0.25">
      <c r="F52" s="50"/>
      <c r="G52" s="52"/>
      <c r="H52" s="52"/>
      <c r="I52" s="53"/>
      <c r="Q52" s="50"/>
      <c r="R52" s="222" t="s">
        <v>1148</v>
      </c>
      <c r="S52" s="223" t="str">
        <f>INDEX('STATIC DATA'!C53:AB53,1,MATCH(A1,'STATIC DATA'!C4:AB4,0))</f>
        <v>ACT/365</v>
      </c>
      <c r="T52" s="53"/>
      <c r="V52" t="s">
        <v>438</v>
      </c>
      <c r="W52" t="str">
        <f>S13</f>
        <v>SEMI-ANNUAL</v>
      </c>
      <c r="AB52" s="50"/>
      <c r="AC52" s="222" t="s">
        <v>755</v>
      </c>
      <c r="AD52" s="216" t="str">
        <f>INDEX('STATIC DATA'!C7:AB7,1,MATCH($A$1,'STATIC DATA'!$C$4:$AB$4,0))</f>
        <v>2D</v>
      </c>
      <c r="AE52" s="53"/>
      <c r="AM52" s="50"/>
      <c r="AN52" s="222" t="s">
        <v>775</v>
      </c>
      <c r="AO52" s="216" t="s">
        <v>48</v>
      </c>
      <c r="AP52" s="53"/>
      <c r="AX52" s="50"/>
      <c r="AY52" s="225" t="s">
        <v>763</v>
      </c>
      <c r="AZ52" s="219" t="str">
        <f>INDEX('STATIC DATA'!C7:AB7,1,MATCH($A$1,'STATIC DATA'!C4:AB4,0))</f>
        <v>2D</v>
      </c>
      <c r="BA52" s="53"/>
      <c r="BD52"/>
      <c r="BI52" s="50"/>
      <c r="BJ52" s="222" t="s">
        <v>776</v>
      </c>
      <c r="BK52" s="216" t="str">
        <f>INDEX('STATIC DATA'!C39:AB39,1,MATCH($A$1,'STATIC DATA'!$C$4:$AB$4,0))</f>
        <v>BDB</v>
      </c>
      <c r="BL52" s="53"/>
      <c r="BN52" t="s">
        <v>456</v>
      </c>
      <c r="BO52" t="str">
        <v>XccyBasis:HUFDF_USDCSA</v>
      </c>
      <c r="BT52" s="50"/>
      <c r="BU52" s="55"/>
      <c r="BV52" s="55"/>
      <c r="BW52" s="55"/>
      <c r="BX52" s="332"/>
      <c r="BY52" s="323" t="s">
        <v>829</v>
      </c>
      <c r="BZ52" s="299"/>
      <c r="CA52" s="283"/>
      <c r="CB52" s="299"/>
      <c r="CC52"/>
      <c r="CD52"/>
      <c r="CE52"/>
      <c r="CF52"/>
      <c r="CG52"/>
      <c r="CH52"/>
      <c r="CI52"/>
      <c r="CJ52"/>
      <c r="CK52"/>
      <c r="CL52"/>
      <c r="CM52" s="299"/>
      <c r="CN52" s="419"/>
      <c r="CO52" s="299"/>
      <c r="CP52" s="299"/>
      <c r="CQ52" s="299"/>
      <c r="CR52" s="299"/>
      <c r="CS52" s="299"/>
      <c r="CT52" s="206"/>
      <c r="CU52" s="206"/>
      <c r="CV52" s="206"/>
    </row>
    <row r="53" spans="6:100" x14ac:dyDescent="0.25">
      <c r="F53" s="50"/>
      <c r="G53" s="52"/>
      <c r="H53" s="52"/>
      <c r="I53" s="53"/>
      <c r="K53" s="2" t="s">
        <v>454</v>
      </c>
      <c r="Q53" s="50"/>
      <c r="R53" s="222" t="s">
        <v>734</v>
      </c>
      <c r="S53" s="223" t="str">
        <f>INDEX('STATIC DATA'!C55:AB55,1,MATCH(A1,'STATIC DATA'!C4:AB4,0))</f>
        <v>ACT/360</v>
      </c>
      <c r="T53" s="53"/>
      <c r="V53" t="s">
        <v>440</v>
      </c>
      <c r="W53" s="360">
        <f>'STATIC DATA'!R5</f>
        <v>44083</v>
      </c>
      <c r="AB53" s="50"/>
      <c r="AC53" s="245" t="s">
        <v>756</v>
      </c>
      <c r="AD53" s="244" t="s">
        <v>954</v>
      </c>
      <c r="AE53" s="249"/>
      <c r="AG53" s="2" t="s">
        <v>454</v>
      </c>
      <c r="AM53" s="50"/>
      <c r="AN53" s="222" t="s">
        <v>776</v>
      </c>
      <c r="AO53" s="216" t="s">
        <v>608</v>
      </c>
      <c r="AP53" s="53"/>
      <c r="AX53" s="50"/>
      <c r="AY53" s="220" t="s">
        <v>764</v>
      </c>
      <c r="AZ53" s="238" t="s">
        <v>687</v>
      </c>
      <c r="BA53" s="53"/>
      <c r="BC53" s="2" t="s">
        <v>454</v>
      </c>
      <c r="BD53"/>
      <c r="BI53" s="50"/>
      <c r="BJ53" s="222" t="s">
        <v>777</v>
      </c>
      <c r="BK53" s="216" t="s">
        <v>458</v>
      </c>
      <c r="BL53" s="53"/>
      <c r="BN53" t="s">
        <v>664</v>
      </c>
      <c r="BO53" t="str">
        <v>0.020000 sec</v>
      </c>
      <c r="BT53" s="50"/>
      <c r="BU53" s="55"/>
      <c r="BV53" s="55"/>
      <c r="BW53" s="55"/>
      <c r="BX53" s="332"/>
      <c r="BY53" s="270" t="s">
        <v>831</v>
      </c>
      <c r="BZ53" s="271" t="s">
        <v>1449</v>
      </c>
      <c r="CA53" s="283"/>
      <c r="CB53" s="299"/>
      <c r="CC53"/>
      <c r="CD53" s="2" t="s">
        <v>454</v>
      </c>
      <c r="CE53"/>
      <c r="CF53"/>
      <c r="CG53"/>
      <c r="CH53"/>
      <c r="CI53"/>
      <c r="CJ53" s="2" t="s">
        <v>454</v>
      </c>
      <c r="CK53"/>
      <c r="CL53"/>
      <c r="CM53" s="332"/>
      <c r="CN53" s="522"/>
      <c r="CO53" s="332"/>
      <c r="CP53" s="332"/>
      <c r="CQ53" s="332"/>
      <c r="CR53" s="299"/>
      <c r="CS53" s="299"/>
      <c r="CT53" s="206"/>
      <c r="CU53" s="206"/>
      <c r="CV53" s="206"/>
    </row>
    <row r="54" spans="6:100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HUF_OIS_CURVE@255:10</v>
      </c>
      <c r="Q54" s="50"/>
      <c r="R54" s="222" t="s">
        <v>706</v>
      </c>
      <c r="S54" s="223" t="str">
        <f>IF(INDEX('STATIC DATA'!C54:AB54,1,MATCH(A1,'STATIC DATA'!C4:AB4,0))="1Y","ANNUAL",(IF(INDEX('STATIC DATA'!C54:AB54,1,MATCH(A1,'STATIC DATA'!C4:AB4,0))="6M","SEMI-ANNUAL", "QUARTERLY")))</f>
        <v>ANNUAL</v>
      </c>
      <c r="T54" s="53"/>
      <c r="AB54" s="50"/>
      <c r="AC54" s="233" t="s">
        <v>757</v>
      </c>
      <c r="AD54" s="229" t="s">
        <v>426</v>
      </c>
      <c r="AE54" s="53"/>
      <c r="AG54" t="s">
        <v>442</v>
      </c>
      <c r="AH54" s="647" t="str">
        <f t="array" ref="AH54:AH57">IF(ExistsHUF6M,_xll.meLWOCurveCalibrate($AH$48,$AH$49,$AH$45,$AH$50),"LOAD DEPENDENCY")</f>
        <v>HUF_BASIS_3M6M_CURVE@467:10</v>
      </c>
      <c r="AM54" s="50"/>
      <c r="AN54" s="222" t="s">
        <v>777</v>
      </c>
      <c r="AO54" s="216" t="s">
        <v>721</v>
      </c>
      <c r="AP54" s="53"/>
      <c r="AX54" s="50"/>
      <c r="AY54" s="222" t="s">
        <v>765</v>
      </c>
      <c r="AZ54" s="216" t="str">
        <f>INDEX('STATIC DATA'!C39:AB39,1,MATCH($A$1,'STATIC DATA'!$C$4:$AB$4,0))</f>
        <v>BDB</v>
      </c>
      <c r="BA54" s="53"/>
      <c r="BC54" t="s">
        <v>442</v>
      </c>
      <c r="BD54" s="647" t="str">
        <f t="array" ref="BD54:BD57">IF(ExistsHUF3M,_xll.meLWOCurveCalibrate($BD$48,$BD$49,$BD$45,$BD$50),"LOAD DEPENDENCY")</f>
        <v>HUF_BASIS_1M3M_CURVE@471:10</v>
      </c>
      <c r="BI54" s="50"/>
      <c r="BJ54" s="222" t="s">
        <v>778</v>
      </c>
      <c r="BK54" s="216" t="str">
        <f>INDEX('STATIC DATA'!C40:AB40,1,MATCH($A$1,'STATIC DATA'!$C$4:$AB$4,0))</f>
        <v>BDB</v>
      </c>
      <c r="BL54" s="53"/>
      <c r="BT54" s="50"/>
      <c r="BU54" s="55"/>
      <c r="BV54" s="55"/>
      <c r="BW54" s="55"/>
      <c r="BX54" s="332"/>
      <c r="BZ54" s="263" t="str">
        <f>_xll.meLWOFXCurveCreate(BZ53,BV8,BZ44)</f>
        <v>FX_CURVE_USDHUF@277:10</v>
      </c>
      <c r="CA54" s="283"/>
      <c r="CB54" s="299"/>
      <c r="CC54"/>
      <c r="CD54" t="s">
        <v>442</v>
      </c>
      <c r="CE54" s="647" t="str">
        <f t="array" ref="CE54:CE57">IF(AND(ExistsHUFXCCY,ExistsEURXCCY),_xll.meLWOCurveCalibrate(CE48,CE49,CE45,CE50,CE51),"LOAD DEPENDENCY")</f>
        <v>HUF_USDCSA_CURVE@524:1</v>
      </c>
      <c r="CF54"/>
      <c r="CG54"/>
      <c r="CH54"/>
      <c r="CI54"/>
      <c r="CJ54" t="s">
        <v>442</v>
      </c>
      <c r="CK54" s="647" t="str">
        <f t="array" ref="CK54:CK57">IF(AND(ExistsHUFXCCY,ExistsJPYXCCY),_xll.meLWOCurveCalibrate(CK48,CK49,CK45,CK50,CK51),"LOAD DEPENDENCY")</f>
        <v>HUF_JPYCSA_CURVE@523:1</v>
      </c>
      <c r="CL54"/>
      <c r="CM54" s="332"/>
      <c r="CN54" s="522"/>
      <c r="CO54" s="332"/>
      <c r="CP54" s="332"/>
      <c r="CQ54" s="332"/>
      <c r="CR54" s="299"/>
      <c r="CS54" s="299"/>
      <c r="CT54" s="206"/>
      <c r="CU54" s="206"/>
      <c r="CV54" s="206"/>
    </row>
    <row r="55" spans="6:100" x14ac:dyDescent="0.25">
      <c r="F55" s="50"/>
      <c r="G55" s="52"/>
      <c r="H55" s="52"/>
      <c r="I55" s="53"/>
      <c r="K55" t="s">
        <v>455</v>
      </c>
      <c r="L55" t="str">
        <v>HUFYC</v>
      </c>
      <c r="Q55" s="50"/>
      <c r="R55" s="222" t="s">
        <v>1149</v>
      </c>
      <c r="S55" s="223" t="s">
        <v>680</v>
      </c>
      <c r="T55" s="53"/>
      <c r="V55" s="2" t="s">
        <v>441</v>
      </c>
      <c r="AB55" s="50"/>
      <c r="AC55" s="245" t="s">
        <v>758</v>
      </c>
      <c r="AD55" s="244" t="s">
        <v>46</v>
      </c>
      <c r="AE55" s="53"/>
      <c r="AG55" t="s">
        <v>455</v>
      </c>
      <c r="AH55" t="str">
        <v>HUFYC</v>
      </c>
      <c r="AM55" s="50"/>
      <c r="AN55" s="222" t="s">
        <v>778</v>
      </c>
      <c r="AO55" s="216" t="s">
        <v>608</v>
      </c>
      <c r="AP55" s="53"/>
      <c r="AX55" s="50"/>
      <c r="AY55" s="222" t="s">
        <v>766</v>
      </c>
      <c r="AZ55" s="216" t="str">
        <f>INDEX('STATIC DATA'!C55:AB55,1,MATCH($A$1,'STATIC DATA'!C4:AB4,0))</f>
        <v>ACT/360</v>
      </c>
      <c r="BA55" s="53"/>
      <c r="BC55" t="s">
        <v>455</v>
      </c>
      <c r="BD55" t="str">
        <v>HUFYC</v>
      </c>
      <c r="BI55" s="50"/>
      <c r="BJ55" s="222" t="s">
        <v>779</v>
      </c>
      <c r="BK55" s="216" t="str">
        <f>INDEX('STATIC DATA'!C7:AB7,1,MATCH($A$1,'STATIC DATA'!$C$4:$AB$4,0))</f>
        <v>2D</v>
      </c>
      <c r="BL55" s="53"/>
      <c r="BT55" s="50"/>
      <c r="BU55" s="55"/>
      <c r="BV55" s="55"/>
      <c r="BW55" s="55"/>
      <c r="BX55" s="332"/>
      <c r="BY55" s="279"/>
      <c r="BZ55" s="282"/>
      <c r="CA55" s="283"/>
      <c r="CB55" s="299"/>
      <c r="CC55"/>
      <c r="CD55" t="s">
        <v>455</v>
      </c>
      <c r="CE55" t="str">
        <v>HUFYC</v>
      </c>
      <c r="CF55"/>
      <c r="CG55"/>
      <c r="CH55"/>
      <c r="CI55"/>
      <c r="CJ55" t="s">
        <v>455</v>
      </c>
      <c r="CK55" t="str">
        <v>HUFYC</v>
      </c>
      <c r="CL55"/>
      <c r="CM55" s="332"/>
      <c r="CN55" s="522"/>
      <c r="CO55" s="332"/>
      <c r="CP55" s="332"/>
      <c r="CQ55" s="332"/>
      <c r="CR55" s="299"/>
      <c r="CS55" s="299"/>
      <c r="CT55" s="206"/>
      <c r="CU55" s="206"/>
      <c r="CV55" s="206"/>
    </row>
    <row r="56" spans="6:100" x14ac:dyDescent="0.25">
      <c r="F56" s="50"/>
      <c r="G56" s="52"/>
      <c r="H56" s="52"/>
      <c r="I56" s="53"/>
      <c r="K56" t="s">
        <v>456</v>
      </c>
      <c r="L56" t="str">
        <v>OIS:HUFOIS</v>
      </c>
      <c r="Q56" s="50"/>
      <c r="R56" s="222" t="s">
        <v>735</v>
      </c>
      <c r="S56" s="223" t="str">
        <f>IF(INDEX('STATIC DATA'!C56:AB56,1,MATCH(A1,'STATIC DATA'!C4:AB4,0))="1Y","ANNUAL",(IF(INDEX('STATIC DATA'!C56:AB56,1,MATCH(A1,'STATIC DATA'!C4:AB4,0))="6M","SEMI-ANNUAL", "QUARTERLY")))</f>
        <v>SEMI-ANNUAL</v>
      </c>
      <c r="T56" s="53"/>
      <c r="V56" t="s">
        <v>442</v>
      </c>
      <c r="W56" t="str">
        <f>W50&amp;"_"&amp;W51&amp;"_"&amp;INDEX('STATIC DATA'!$C$56:$AB$56,1,MATCH($W50,'STATIC DATA'!$C$4:$AB$4,0))&amp;"_CURVE_MARKETDATA"</f>
        <v>HUF_SWAP_6M_CURVE_MARKETDATA</v>
      </c>
      <c r="AB56" s="50"/>
      <c r="AC56" s="222" t="s">
        <v>759</v>
      </c>
      <c r="AD56" s="216" t="str">
        <f>INDEX('STATIC DATA'!C55:AB55,1,MATCH($A$1,'STATIC DATA'!C4:AB4,0))</f>
        <v>ACT/360</v>
      </c>
      <c r="AE56" s="53"/>
      <c r="AG56" t="s">
        <v>456</v>
      </c>
      <c r="AH56" t="str">
        <v>3M6MBasis:BUB3M</v>
      </c>
      <c r="AM56" s="50"/>
      <c r="AN56" s="222" t="s">
        <v>779</v>
      </c>
      <c r="AO56" s="216">
        <v>0</v>
      </c>
      <c r="AP56" s="53"/>
      <c r="AX56" s="50"/>
      <c r="AY56" s="222" t="s">
        <v>767</v>
      </c>
      <c r="AZ56" s="216" t="s">
        <v>794</v>
      </c>
      <c r="BA56" s="53"/>
      <c r="BC56" t="s">
        <v>456</v>
      </c>
      <c r="BD56" t="str">
        <v>1M3MBasis:BUB1M</v>
      </c>
      <c r="BI56" s="50"/>
      <c r="BJ56" s="222" t="s">
        <v>780</v>
      </c>
      <c r="BK56" s="216" t="s">
        <v>687</v>
      </c>
      <c r="BL56" s="53"/>
      <c r="BT56" s="50"/>
      <c r="BU56" s="55"/>
      <c r="BV56" s="55"/>
      <c r="BW56" s="55"/>
      <c r="BX56" s="332"/>
      <c r="BY56" s="279"/>
      <c r="BZ56" s="282"/>
      <c r="CA56" s="283"/>
      <c r="CB56" s="299"/>
      <c r="CC56"/>
      <c r="CD56" t="s">
        <v>456</v>
      </c>
      <c r="CE56" t="str">
        <v>FwdFXConstEUR:HUFDF_EURCSA</v>
      </c>
      <c r="CF56"/>
      <c r="CG56"/>
      <c r="CH56"/>
      <c r="CI56"/>
      <c r="CJ56" t="s">
        <v>456</v>
      </c>
      <c r="CK56" t="str">
        <v>FwdFXConstJPY:HUFDF_JPYCSA</v>
      </c>
      <c r="CL56"/>
      <c r="CM56" s="332"/>
      <c r="CN56" s="522"/>
      <c r="CO56" s="332"/>
      <c r="CP56" s="332"/>
      <c r="CQ56" s="332"/>
      <c r="CR56" s="299"/>
      <c r="CS56" s="299"/>
      <c r="CT56" s="206"/>
      <c r="CU56" s="206"/>
      <c r="CV56" s="206"/>
    </row>
    <row r="57" spans="6:100" x14ac:dyDescent="0.25">
      <c r="F57" s="50"/>
      <c r="G57" s="52"/>
      <c r="H57" s="52"/>
      <c r="I57" s="53"/>
      <c r="K57" t="s">
        <v>664</v>
      </c>
      <c r="L57" t="str">
        <v>0.091000 sec</v>
      </c>
      <c r="Q57" s="50"/>
      <c r="R57" s="222" t="s">
        <v>1154</v>
      </c>
      <c r="S57" s="223" t="s">
        <v>458</v>
      </c>
      <c r="T57" s="53"/>
      <c r="V57" t="s">
        <v>444</v>
      </c>
      <c r="W57" t="str">
        <f>_xll.meLWOCurveMarketDataCreate(W56,V49,V50:W54,"LIBORFIXINGS",V7:X10,"FRAS",V11:X16,"BASISSWAPS",V17:X29,"SWAPS",V30:X42)</f>
        <v>HUF_SWAP_6M_CURVE_MARKETDATA@135:42</v>
      </c>
      <c r="AB57" s="50"/>
      <c r="AC57" s="222" t="s">
        <v>760</v>
      </c>
      <c r="AD57" s="216" t="str">
        <f>INDEX('STATIC DATA'!C39:AB39,1,MATCH($A$1,'STATIC DATA'!$C$4:$AB$4,0))</f>
        <v>BDB</v>
      </c>
      <c r="AE57" s="53"/>
      <c r="AG57" t="s">
        <v>664</v>
      </c>
      <c r="AH57" t="str">
        <v>0.010000 sec</v>
      </c>
      <c r="AM57" s="50"/>
      <c r="AN57" s="222" t="s">
        <v>780</v>
      </c>
      <c r="AO57" s="216" t="s">
        <v>687</v>
      </c>
      <c r="AP57" s="53"/>
      <c r="AX57" s="50"/>
      <c r="AY57" s="222" t="s">
        <v>768</v>
      </c>
      <c r="AZ57" s="239" t="s">
        <v>794</v>
      </c>
      <c r="BA57" s="53"/>
      <c r="BC57" t="s">
        <v>664</v>
      </c>
      <c r="BD57" t="str">
        <v>0.010000 sec</v>
      </c>
      <c r="BI57" s="50"/>
      <c r="BJ57" s="233" t="s">
        <v>781</v>
      </c>
      <c r="BK57" s="241" t="s">
        <v>810</v>
      </c>
      <c r="BL57" s="53"/>
      <c r="BT57" s="50"/>
      <c r="BU57" s="55"/>
      <c r="BV57" s="55"/>
      <c r="BW57" s="55"/>
      <c r="BX57" s="332"/>
      <c r="BY57" s="279"/>
      <c r="BZ57" s="282"/>
      <c r="CA57" s="283"/>
      <c r="CB57" s="299"/>
      <c r="CC57"/>
      <c r="CD57" t="s">
        <v>664</v>
      </c>
      <c r="CE57" t="str">
        <v>0.001000 sec</v>
      </c>
      <c r="CF57"/>
      <c r="CG57"/>
      <c r="CH57"/>
      <c r="CI57"/>
      <c r="CJ57" t="s">
        <v>664</v>
      </c>
      <c r="CK57" t="str">
        <v>0.001000 sec</v>
      </c>
      <c r="CL57"/>
      <c r="CM57" s="332"/>
      <c r="CN57" s="522"/>
      <c r="CO57" s="332"/>
      <c r="CP57" s="332"/>
      <c r="CQ57" s="332"/>
      <c r="CR57" s="299"/>
      <c r="CS57" s="299"/>
      <c r="CT57" s="206"/>
      <c r="CU57" s="206"/>
      <c r="CV57" s="206"/>
    </row>
    <row r="58" spans="6:100" x14ac:dyDescent="0.25">
      <c r="F58" s="50"/>
      <c r="G58" s="52"/>
      <c r="H58" s="52"/>
      <c r="I58" s="53"/>
      <c r="Q58" s="50"/>
      <c r="R58" s="222" t="s">
        <v>674</v>
      </c>
      <c r="S58" s="223" t="s">
        <v>1655</v>
      </c>
      <c r="T58" s="53"/>
      <c r="AB58" s="50"/>
      <c r="AC58" s="225" t="s">
        <v>761</v>
      </c>
      <c r="AD58" s="219" t="s">
        <v>721</v>
      </c>
      <c r="AE58" s="53"/>
      <c r="AM58" s="50"/>
      <c r="AN58" s="233" t="s">
        <v>781</v>
      </c>
      <c r="AO58" s="241" t="s">
        <v>782</v>
      </c>
      <c r="AP58" s="53"/>
      <c r="AX58" s="50"/>
      <c r="AY58" s="222" t="s">
        <v>769</v>
      </c>
      <c r="AZ58" s="216" t="s">
        <v>687</v>
      </c>
      <c r="BA58" s="53"/>
      <c r="BD58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C58"/>
      <c r="CD58"/>
      <c r="CE58"/>
      <c r="CF58"/>
      <c r="CG58"/>
      <c r="CH58"/>
      <c r="CI58"/>
      <c r="CJ58"/>
      <c r="CK58"/>
      <c r="CL58"/>
      <c r="CM58" s="332"/>
      <c r="CN58" s="522"/>
      <c r="CO58" s="332"/>
      <c r="CP58" s="332"/>
      <c r="CQ58" s="332"/>
      <c r="CR58" s="299"/>
      <c r="CS58" s="299"/>
      <c r="CT58" s="206"/>
      <c r="CU58" s="206"/>
      <c r="CV58" s="206"/>
    </row>
    <row r="59" spans="6:100" x14ac:dyDescent="0.25">
      <c r="F59" s="50"/>
      <c r="G59" s="52"/>
      <c r="H59" s="52"/>
      <c r="I59" s="53"/>
      <c r="Q59" s="50"/>
      <c r="R59" s="222" t="s">
        <v>707</v>
      </c>
      <c r="S59" s="223" t="s">
        <v>687</v>
      </c>
      <c r="T59" s="53"/>
      <c r="V59" s="2" t="s">
        <v>447</v>
      </c>
      <c r="AB59" s="50"/>
      <c r="AC59" s="225" t="s">
        <v>762</v>
      </c>
      <c r="AD59" s="219" t="str">
        <f>INDEX('STATIC DATA'!C39:AB39,1,MATCH($A$1,'STATIC DATA'!$C$4:$AB$4,0))</f>
        <v>BDB</v>
      </c>
      <c r="AE59" s="53"/>
      <c r="AM59" s="50"/>
      <c r="AN59" s="222" t="s">
        <v>783</v>
      </c>
      <c r="AO59" s="216" t="s">
        <v>718</v>
      </c>
      <c r="AP59" s="53"/>
      <c r="AX59" s="50"/>
      <c r="AY59" s="225" t="s">
        <v>770</v>
      </c>
      <c r="AZ59" s="219" t="str">
        <f>INDEX('STATIC DATA'!C7:AB7,1,MATCH($A$1,'STATIC DATA'!$C$4:$AB$4,0))</f>
        <v>2D</v>
      </c>
      <c r="BA59" s="53"/>
      <c r="BD59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C59"/>
      <c r="CD59"/>
      <c r="CE59"/>
      <c r="CF59"/>
      <c r="CG59"/>
      <c r="CH59"/>
      <c r="CI59"/>
      <c r="CJ59"/>
      <c r="CK59"/>
      <c r="CL59"/>
      <c r="CM59" s="332"/>
      <c r="CN59" s="522"/>
      <c r="CO59" s="332"/>
      <c r="CP59" s="332"/>
      <c r="CQ59" s="332"/>
      <c r="CR59" s="299"/>
      <c r="CS59" s="299"/>
      <c r="CT59" s="206"/>
      <c r="CU59" s="206"/>
      <c r="CV59" s="206"/>
    </row>
    <row r="60" spans="6:100" x14ac:dyDescent="0.25">
      <c r="F60" s="50"/>
      <c r="G60" s="52"/>
      <c r="H60" s="52"/>
      <c r="I60" s="53"/>
      <c r="Q60" s="50"/>
      <c r="R60" s="222" t="s">
        <v>736</v>
      </c>
      <c r="S60" s="223" t="s">
        <v>718</v>
      </c>
      <c r="T60" s="53"/>
      <c r="V60" t="s">
        <v>442</v>
      </c>
      <c r="W60" t="str">
        <f>W50&amp;"_"&amp;W51&amp;"_"&amp;INDEX('STATIC DATA'!$C$56:$AB$56,1,MATCH($W50,'STATIC DATA'!$C$4:$AB$4,0))&amp;"_CURVE"</f>
        <v>HUF_SWAP_6M_CURVE</v>
      </c>
      <c r="AB60" s="50"/>
      <c r="AC60" s="225" t="s">
        <v>763</v>
      </c>
      <c r="AD60" s="219" t="str">
        <f>INDEX('STATIC DATA'!C7:AB7,1,MATCH($A$1,'STATIC DATA'!$C$4:$AB$4,0))</f>
        <v>2D</v>
      </c>
      <c r="AE60" s="53"/>
      <c r="AM60" s="50"/>
      <c r="AN60" s="222" t="s">
        <v>784</v>
      </c>
      <c r="AO60" s="216" t="s">
        <v>675</v>
      </c>
      <c r="AP60" s="53"/>
      <c r="AX60" s="50"/>
      <c r="AY60" s="234" t="s">
        <v>771</v>
      </c>
      <c r="AZ60" s="248" t="s">
        <v>714</v>
      </c>
      <c r="BA60" s="249" t="s">
        <v>801</v>
      </c>
      <c r="BD60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C60"/>
      <c r="CD60"/>
      <c r="CE60"/>
      <c r="CF60"/>
      <c r="CG60"/>
      <c r="CH60"/>
      <c r="CI60"/>
      <c r="CJ60"/>
      <c r="CK60"/>
      <c r="CL60"/>
      <c r="CM60" s="332"/>
      <c r="CN60" s="522"/>
      <c r="CO60" s="332"/>
      <c r="CP60" s="332"/>
      <c r="CQ60" s="332"/>
      <c r="CR60" s="299"/>
      <c r="CS60" s="299"/>
      <c r="CT60" s="206"/>
      <c r="CU60" s="206"/>
      <c r="CV60" s="206"/>
    </row>
    <row r="61" spans="6:100" x14ac:dyDescent="0.25">
      <c r="F61" s="50"/>
      <c r="G61" s="52"/>
      <c r="H61" s="52"/>
      <c r="I61" s="53"/>
      <c r="Q61" s="50"/>
      <c r="R61" s="222" t="s">
        <v>737</v>
      </c>
      <c r="S61" s="223">
        <v>31</v>
      </c>
      <c r="T61" s="53"/>
      <c r="V61" t="s">
        <v>450</v>
      </c>
      <c r="W61" t="str">
        <f>S8</f>
        <v>HUF_SWAP_6M@377:6</v>
      </c>
      <c r="AB61" s="50"/>
      <c r="AC61" s="220" t="s">
        <v>764</v>
      </c>
      <c r="AD61" s="238" t="s">
        <v>687</v>
      </c>
      <c r="AE61" s="53"/>
      <c r="AM61" s="50"/>
      <c r="AN61" s="222" t="s">
        <v>785</v>
      </c>
      <c r="AO61" s="216" t="s">
        <v>718</v>
      </c>
      <c r="AP61" s="53"/>
      <c r="AX61" s="50"/>
      <c r="AY61" s="234" t="s">
        <v>772</v>
      </c>
      <c r="AZ61" s="242" t="s">
        <v>426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C61" s="299"/>
      <c r="CD61" s="299"/>
      <c r="CE61" s="299"/>
      <c r="CF61" s="332"/>
      <c r="CG61" s="332"/>
      <c r="CH61" s="332"/>
      <c r="CI61" s="332"/>
      <c r="CJ61" s="299"/>
      <c r="CK61" s="299"/>
      <c r="CL61" s="299"/>
      <c r="CM61" s="299"/>
      <c r="CN61" s="419"/>
      <c r="CO61" s="299"/>
      <c r="CP61" s="299"/>
      <c r="CQ61" s="299"/>
      <c r="CR61" s="299"/>
      <c r="CS61" s="299"/>
      <c r="CT61" s="206"/>
      <c r="CU61" s="206"/>
      <c r="CV61" s="206"/>
    </row>
    <row r="62" spans="6:100" x14ac:dyDescent="0.25">
      <c r="F62" s="50"/>
      <c r="G62" s="52"/>
      <c r="H62" s="52"/>
      <c r="I62" s="53"/>
      <c r="Q62" s="50"/>
      <c r="R62" s="222" t="s">
        <v>738</v>
      </c>
      <c r="S62" s="223" t="s">
        <v>718</v>
      </c>
      <c r="T62" s="53"/>
      <c r="V62" t="s">
        <v>452</v>
      </c>
      <c r="W62" t="str">
        <f>$A$1&amp;"YC"</f>
        <v>HUFYC</v>
      </c>
      <c r="AB62" s="50"/>
      <c r="AC62" s="222" t="s">
        <v>765</v>
      </c>
      <c r="AD62" s="216" t="str">
        <f>INDEX('STATIC DATA'!C39:AB39,1,MATCH($A$1,'STATIC DATA'!$C$4:$AB$4,0))</f>
        <v>BDB</v>
      </c>
      <c r="AE62" s="53"/>
      <c r="AM62" s="50"/>
      <c r="AN62" s="233" t="s">
        <v>786</v>
      </c>
      <c r="AO62" s="246" t="s">
        <v>322</v>
      </c>
      <c r="AP62" s="53"/>
      <c r="AX62" s="50"/>
      <c r="AY62" s="245" t="s">
        <v>774</v>
      </c>
      <c r="AZ62" s="244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419"/>
      <c r="CO62" s="299"/>
      <c r="CP62" s="299"/>
      <c r="CQ62" s="299"/>
      <c r="CR62" s="299"/>
      <c r="CS62" s="299"/>
      <c r="CT62" s="206"/>
      <c r="CU62" s="206"/>
      <c r="CV62" s="206"/>
    </row>
    <row r="63" spans="6:100" x14ac:dyDescent="0.25">
      <c r="F63" s="50"/>
      <c r="G63" s="52"/>
      <c r="H63" s="52"/>
      <c r="I63" s="53"/>
      <c r="Q63" s="50"/>
      <c r="R63" s="222" t="s">
        <v>740</v>
      </c>
      <c r="S63" s="223" t="s">
        <v>718</v>
      </c>
      <c r="T63" s="53"/>
      <c r="V63" t="s">
        <v>453</v>
      </c>
      <c r="AB63" s="50"/>
      <c r="AC63" s="222" t="s">
        <v>766</v>
      </c>
      <c r="AD63" s="216" t="str">
        <f>INDEX('STATIC DATA'!C55:AB55,1,MATCH($A$1,'STATIC DATA'!C4:AB4,0))</f>
        <v>ACT/360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775</v>
      </c>
      <c r="AZ63" s="216" t="str">
        <f>INDEX('STATIC DATA'!C55:AB55,1,MATCH($A$1,'STATIC DATA'!C4:AB4,0))</f>
        <v>ACT/360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419"/>
      <c r="CO63" s="299"/>
      <c r="CP63" s="299"/>
      <c r="CQ63" s="299"/>
      <c r="CR63" s="299"/>
      <c r="CS63" s="299"/>
      <c r="CT63" s="206"/>
      <c r="CU63" s="206"/>
      <c r="CV63" s="206"/>
    </row>
    <row r="64" spans="6:100" x14ac:dyDescent="0.25">
      <c r="F64" s="50"/>
      <c r="G64" s="52"/>
      <c r="H64" s="52"/>
      <c r="I64" s="53"/>
      <c r="Q64" s="50"/>
      <c r="R64" s="222" t="s">
        <v>739</v>
      </c>
      <c r="S64" s="223" t="str">
        <f>INDEX('STATIC DATA'!C7:AB7,1,MATCH($A$1,'STATIC DATA'!$C$4:$AB$4,0))</f>
        <v>2D</v>
      </c>
      <c r="T64" s="53"/>
      <c r="AB64" s="50"/>
      <c r="AC64" s="222" t="s">
        <v>767</v>
      </c>
      <c r="AD64" s="216" t="s">
        <v>458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2" t="s">
        <v>776</v>
      </c>
      <c r="AZ64" s="216" t="str">
        <f>INDEX('STATIC DATA'!C39:AB39,1,MATCH($A$1,'STATIC DATA'!$C$4:$AB$4,0))</f>
        <v>BDB</v>
      </c>
      <c r="BA64" s="53"/>
      <c r="BI64" s="50"/>
      <c r="BJ64" s="233" t="s">
        <v>786</v>
      </c>
      <c r="BK64" s="246" t="s">
        <v>49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419"/>
      <c r="CO64" s="299"/>
      <c r="CP64" s="299"/>
      <c r="CQ64" s="299"/>
      <c r="CR64" s="299"/>
      <c r="CS64" s="299"/>
      <c r="CT64" s="206"/>
      <c r="CU64" s="206"/>
      <c r="CV64" s="206"/>
    </row>
    <row r="65" spans="6:101" x14ac:dyDescent="0.25">
      <c r="F65" s="50"/>
      <c r="G65" s="52"/>
      <c r="H65" s="52"/>
      <c r="I65" s="53"/>
      <c r="Q65" s="50"/>
      <c r="R65" s="222" t="s">
        <v>697</v>
      </c>
      <c r="S65" s="224">
        <v>1.0000000000000001E-9</v>
      </c>
      <c r="T65" s="53"/>
      <c r="V65" s="2" t="s">
        <v>454</v>
      </c>
      <c r="AB65" s="50"/>
      <c r="AC65" s="222" t="s">
        <v>768</v>
      </c>
      <c r="AD65" s="239" t="str">
        <f>AD64</f>
        <v>QUARTERLY</v>
      </c>
      <c r="AE65" s="53"/>
      <c r="AM65" s="50"/>
      <c r="AN65" s="225" t="s">
        <v>698</v>
      </c>
      <c r="AO65" s="219">
        <v>1000</v>
      </c>
      <c r="AP65" s="53"/>
      <c r="AX65" s="50"/>
      <c r="AY65" s="222" t="s">
        <v>777</v>
      </c>
      <c r="AZ65" s="216" t="s">
        <v>721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419"/>
      <c r="CO65" s="299"/>
      <c r="CP65" s="299"/>
      <c r="CQ65" s="299"/>
      <c r="CR65" s="299"/>
      <c r="CS65" s="299"/>
      <c r="CT65" s="206"/>
      <c r="CU65" s="206"/>
      <c r="CV65" s="206"/>
    </row>
    <row r="66" spans="6:101" x14ac:dyDescent="0.25">
      <c r="F66" s="50"/>
      <c r="G66" s="52"/>
      <c r="H66" s="52"/>
      <c r="I66" s="53"/>
      <c r="Q66" s="50"/>
      <c r="R66" s="222" t="s">
        <v>698</v>
      </c>
      <c r="S66" s="223">
        <v>1000</v>
      </c>
      <c r="T66" s="53"/>
      <c r="V66" t="s">
        <v>442</v>
      </c>
      <c r="W66" s="647" t="str">
        <f t="array" ref="W66:W69">IF(ExistsHUFOIS,_xll.meLWOCurveCalibrate(W60,W61,W57,W62),"LOAD DEPENDENCY")</f>
        <v>HUF_SWAP_6M_CURVE@465:10</v>
      </c>
      <c r="AB66" s="50"/>
      <c r="AC66" s="222" t="s">
        <v>769</v>
      </c>
      <c r="AD66" s="216" t="s">
        <v>687</v>
      </c>
      <c r="AE66" s="53"/>
      <c r="AM66" s="50"/>
      <c r="AN66" s="225" t="s">
        <v>788</v>
      </c>
      <c r="AO66" s="219" t="s">
        <v>720</v>
      </c>
      <c r="AP66" s="53"/>
      <c r="AX66" s="50"/>
      <c r="AY66" s="222" t="s">
        <v>778</v>
      </c>
      <c r="AZ66" s="216" t="str">
        <f>INDEX('STATIC DATA'!C39:AB39,1,MATCH($A$1,'STATIC DATA'!$C$4:$AB$4,0))</f>
        <v>BDB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419"/>
      <c r="CO66" s="299"/>
      <c r="CP66" s="299"/>
      <c r="CQ66" s="299"/>
      <c r="CR66" s="299"/>
      <c r="CS66" s="299"/>
      <c r="CT66" s="206"/>
      <c r="CU66" s="206"/>
      <c r="CV66" s="206"/>
    </row>
    <row r="67" spans="6:101" x14ac:dyDescent="0.25">
      <c r="F67" s="50"/>
      <c r="G67" s="52"/>
      <c r="H67" s="52"/>
      <c r="I67" s="53"/>
      <c r="Q67" s="50"/>
      <c r="R67" s="225" t="s">
        <v>1152</v>
      </c>
      <c r="S67" s="226" t="s">
        <v>459</v>
      </c>
      <c r="T67" s="53"/>
      <c r="V67" t="s">
        <v>455</v>
      </c>
      <c r="W67" s="206" t="str">
        <v>HUFYC</v>
      </c>
      <c r="AB67" s="50"/>
      <c r="AC67" s="225" t="s">
        <v>770</v>
      </c>
      <c r="AD67" s="219" t="str">
        <f>INDEX('STATIC DATA'!C7:AB7,1,MATCH($A$1,'STATIC DATA'!$C$4:$AB$4,0))</f>
        <v>2D</v>
      </c>
      <c r="AE67" s="53"/>
      <c r="AM67" s="50"/>
      <c r="AN67" s="225" t="s">
        <v>789</v>
      </c>
      <c r="AO67" s="219" t="s">
        <v>718</v>
      </c>
      <c r="AP67" s="53"/>
      <c r="AX67" s="50"/>
      <c r="AY67" s="222" t="s">
        <v>779</v>
      </c>
      <c r="AZ67" s="216" t="str">
        <f>INDEX('STATIC DATA'!C7:AB7,1,MATCH($A$1,'STATIC DATA'!$C$4:$AB$4,0))</f>
        <v>2D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419"/>
      <c r="CO67" s="299"/>
      <c r="CP67" s="299"/>
      <c r="CQ67" s="299"/>
      <c r="CR67" s="299"/>
      <c r="CS67" s="299"/>
      <c r="CT67" s="206"/>
      <c r="CU67" s="206"/>
      <c r="CV67" s="206"/>
    </row>
    <row r="68" spans="6:101" x14ac:dyDescent="0.25">
      <c r="F68" s="50"/>
      <c r="G68" s="52"/>
      <c r="H68" s="52"/>
      <c r="I68" s="53"/>
      <c r="Q68" s="50"/>
      <c r="R68" s="52"/>
      <c r="S68" s="52"/>
      <c r="T68" s="53"/>
      <c r="V68" t="s">
        <v>456</v>
      </c>
      <c r="W68" s="206" t="str">
        <v>STD:BUB6M</v>
      </c>
      <c r="AB68" s="50"/>
      <c r="AC68" s="234" t="s">
        <v>771</v>
      </c>
      <c r="AD68" s="248" t="s">
        <v>714</v>
      </c>
      <c r="AE68" s="53"/>
      <c r="AM68" s="50"/>
      <c r="AN68" s="225" t="s">
        <v>688</v>
      </c>
      <c r="AO68" s="219">
        <v>31</v>
      </c>
      <c r="AP68" s="53"/>
      <c r="AX68" s="50"/>
      <c r="AY68" s="222" t="s">
        <v>780</v>
      </c>
      <c r="AZ68" s="216" t="s">
        <v>687</v>
      </c>
      <c r="BA68" s="53"/>
      <c r="BI68" s="50"/>
      <c r="BJ68" s="225" t="s">
        <v>677</v>
      </c>
      <c r="BK68" s="240" t="str">
        <f>INDEX('STATIC DATA'!C20:AB20,1,MATCH($A$1,'STATIC DATA'!$C$4:$AB$4,0))</f>
        <v>BDB:TGT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419"/>
      <c r="CO68" s="299"/>
      <c r="CP68" s="299"/>
      <c r="CQ68" s="299"/>
      <c r="CR68" s="299"/>
      <c r="CS68" s="299"/>
      <c r="CT68" s="206"/>
      <c r="CU68" s="206"/>
      <c r="CV68" s="206"/>
      <c r="CW68" s="206"/>
    </row>
    <row r="69" spans="6:101" x14ac:dyDescent="0.25">
      <c r="F69" s="50"/>
      <c r="G69" s="52"/>
      <c r="H69" s="52"/>
      <c r="I69" s="53"/>
      <c r="Q69" s="50"/>
      <c r="R69" s="52"/>
      <c r="S69" s="52"/>
      <c r="T69" s="53"/>
      <c r="V69" t="s">
        <v>664</v>
      </c>
      <c r="W69" s="206" t="str">
        <v>0.011000 sec</v>
      </c>
      <c r="AB69" s="50"/>
      <c r="AC69" s="234" t="s">
        <v>772</v>
      </c>
      <c r="AD69" s="242" t="s">
        <v>426</v>
      </c>
      <c r="AE69" s="53"/>
      <c r="AM69" s="50"/>
      <c r="AN69" s="85"/>
      <c r="AO69" s="85"/>
      <c r="AP69" s="53"/>
      <c r="AX69" s="50"/>
      <c r="AY69" s="233" t="s">
        <v>781</v>
      </c>
      <c r="AZ69" s="241" t="s">
        <v>791</v>
      </c>
      <c r="BA69" s="53"/>
      <c r="BI69" s="50"/>
      <c r="BJ69" s="225" t="s">
        <v>683</v>
      </c>
      <c r="BK69" s="257" t="str">
        <f>INDEX('STATIC DATA'!C19:AB19,1,MATCH($A$1,'STATIC DATA'!$C$4:$AB$4,0))</f>
        <v>2d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419"/>
      <c r="CO69" s="299"/>
      <c r="CP69" s="299"/>
      <c r="CQ69" s="299"/>
      <c r="CR69" s="299"/>
      <c r="CS69" s="299"/>
      <c r="CT69" s="206"/>
      <c r="CU69" s="206"/>
      <c r="CV69" s="206"/>
      <c r="CW69" s="206"/>
    </row>
    <row r="70" spans="6:101" x14ac:dyDescent="0.25">
      <c r="F70" s="50"/>
      <c r="G70" s="52"/>
      <c r="H70" s="52"/>
      <c r="I70" s="53"/>
      <c r="Q70" s="50"/>
      <c r="R70" s="54" t="s">
        <v>467</v>
      </c>
      <c r="S70" s="85" t="s">
        <v>713</v>
      </c>
      <c r="T70" s="53"/>
      <c r="AB70" s="50"/>
      <c r="AC70" s="245" t="s">
        <v>774</v>
      </c>
      <c r="AD70" s="244" t="s">
        <v>49</v>
      </c>
      <c r="AE70" s="53"/>
      <c r="AM70" s="50"/>
      <c r="AN70" s="85"/>
      <c r="AO70" s="85"/>
      <c r="AP70" s="53"/>
      <c r="AX70" s="50"/>
      <c r="AY70" s="222" t="s">
        <v>783</v>
      </c>
      <c r="AZ70" s="216" t="s">
        <v>718</v>
      </c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419"/>
      <c r="CO70" s="299"/>
      <c r="CP70" s="299"/>
      <c r="CQ70" s="299"/>
      <c r="CR70" s="299"/>
      <c r="CS70" s="299"/>
      <c r="CT70" s="206"/>
      <c r="CU70" s="206"/>
      <c r="CV70" s="206"/>
      <c r="CW70" s="206"/>
    </row>
    <row r="71" spans="6:101" x14ac:dyDescent="0.25">
      <c r="F71" s="50"/>
      <c r="G71" s="52"/>
      <c r="H71" s="52"/>
      <c r="I71" s="53"/>
      <c r="Q71" s="50"/>
      <c r="R71" s="233" t="s">
        <v>750</v>
      </c>
      <c r="S71" s="230" t="s">
        <v>720</v>
      </c>
      <c r="T71" s="53"/>
      <c r="AB71" s="50"/>
      <c r="AC71" s="222" t="s">
        <v>775</v>
      </c>
      <c r="AD71" s="216" t="str">
        <f>INDEX('STATIC DATA'!C55:AB55,1,MATCH($A$1,'STATIC DATA'!C4:AB4,0))</f>
        <v>ACT/360</v>
      </c>
      <c r="AE71" s="53"/>
      <c r="AM71" s="50"/>
      <c r="AN71" s="85"/>
      <c r="AO71" s="85"/>
      <c r="AP71" s="53"/>
      <c r="AX71" s="50"/>
      <c r="AY71" s="222" t="s">
        <v>784</v>
      </c>
      <c r="AZ71" s="216" t="s">
        <v>675</v>
      </c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419"/>
      <c r="CO71" s="299"/>
      <c r="CP71" s="299"/>
      <c r="CQ71" s="299"/>
      <c r="CR71" s="299"/>
      <c r="CS71" s="299"/>
      <c r="CT71" s="206"/>
      <c r="CU71" s="206"/>
      <c r="CV71" s="206"/>
      <c r="CW71" s="206"/>
    </row>
    <row r="72" spans="6:101" x14ac:dyDescent="0.25">
      <c r="F72" s="50"/>
      <c r="G72" s="52"/>
      <c r="H72" s="52"/>
      <c r="I72" s="53"/>
      <c r="Q72" s="50"/>
      <c r="R72" s="222" t="s">
        <v>751</v>
      </c>
      <c r="S72" s="216" t="str">
        <f>INDEX('STATIC DATA'!C43:AB43,1,MATCH($A$1,'STATIC DATA'!$C$4:$AB$4,0))</f>
        <v>BDB</v>
      </c>
      <c r="T72" s="53"/>
      <c r="AB72" s="50"/>
      <c r="AC72" s="222" t="s">
        <v>776</v>
      </c>
      <c r="AD72" s="216" t="str">
        <f>INDEX('STATIC DATA'!C39:AB39,1,MATCH($A$1,'STATIC DATA'!$C$4:$AB$4,0))</f>
        <v>BDB</v>
      </c>
      <c r="AE72" s="53"/>
      <c r="AM72" s="50"/>
      <c r="AN72" s="85"/>
      <c r="AO72" s="85"/>
      <c r="AP72" s="53"/>
      <c r="AX72" s="50"/>
      <c r="AY72" s="222" t="s">
        <v>785</v>
      </c>
      <c r="AZ72" s="216" t="s">
        <v>718</v>
      </c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419"/>
      <c r="CO72" s="299"/>
      <c r="CP72" s="299"/>
      <c r="CQ72" s="299"/>
      <c r="CR72" s="299"/>
      <c r="CS72" s="299"/>
      <c r="CT72" s="206"/>
      <c r="CU72" s="206"/>
      <c r="CV72" s="206"/>
      <c r="CW72" s="206"/>
    </row>
    <row r="73" spans="6:101" x14ac:dyDescent="0.25">
      <c r="F73" s="50"/>
      <c r="G73" s="52"/>
      <c r="H73" s="52"/>
      <c r="I73" s="53"/>
      <c r="Q73" s="50"/>
      <c r="R73" s="222" t="s">
        <v>752</v>
      </c>
      <c r="S73" s="216" t="str">
        <f>INDEX('STATIC DATA'!C55:AB55,1,MATCH(A1,'STATIC DATA'!C4:AB4,0))</f>
        <v>ACT/360</v>
      </c>
      <c r="T73" s="53"/>
      <c r="AB73" s="50"/>
      <c r="AC73" s="222" t="s">
        <v>777</v>
      </c>
      <c r="AD73" s="216" t="s">
        <v>721</v>
      </c>
      <c r="AE73" s="53"/>
      <c r="AM73" s="50"/>
      <c r="AN73" s="85"/>
      <c r="AO73" s="85"/>
      <c r="AP73" s="53"/>
      <c r="AX73" s="50"/>
      <c r="AY73" s="233" t="s">
        <v>786</v>
      </c>
      <c r="AZ73" s="246" t="s">
        <v>300</v>
      </c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419"/>
      <c r="CO73" s="299"/>
      <c r="CP73" s="299"/>
      <c r="CQ73" s="299"/>
      <c r="CR73" s="299"/>
      <c r="CS73" s="299"/>
      <c r="CT73" s="206"/>
      <c r="CU73" s="206"/>
      <c r="CV73" s="206"/>
      <c r="CW73" s="206"/>
    </row>
    <row r="74" spans="6:101" x14ac:dyDescent="0.25">
      <c r="F74" s="50"/>
      <c r="G74" s="52"/>
      <c r="H74" s="52"/>
      <c r="I74" s="53"/>
      <c r="Q74" s="50"/>
      <c r="R74" s="225" t="s">
        <v>753</v>
      </c>
      <c r="S74" s="219" t="s">
        <v>459</v>
      </c>
      <c r="T74" s="53"/>
      <c r="V74" s="335"/>
      <c r="AB74" s="50"/>
      <c r="AC74" s="222" t="s">
        <v>778</v>
      </c>
      <c r="AD74" s="216" t="str">
        <f>INDEX('STATIC DATA'!C39:AB39,1,MATCH($A$1,'STATIC DATA'!$C$4:$AB$4,0))</f>
        <v>BDB</v>
      </c>
      <c r="AE74" s="53"/>
      <c r="AM74" s="50"/>
      <c r="AN74" s="85"/>
      <c r="AO74" s="85"/>
      <c r="AP74" s="53"/>
      <c r="AX74" s="50"/>
      <c r="AY74" s="222" t="s">
        <v>787</v>
      </c>
      <c r="AZ74" s="216" t="s">
        <v>720</v>
      </c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64"/>
      <c r="BZ74" s="265"/>
      <c r="CA74" s="266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419"/>
      <c r="CO74" s="299"/>
      <c r="CP74" s="299"/>
      <c r="CQ74" s="299"/>
      <c r="CR74" s="299"/>
      <c r="CS74" s="299"/>
      <c r="CT74" s="206"/>
      <c r="CU74" s="206"/>
      <c r="CV74" s="206"/>
      <c r="CW74" s="206"/>
    </row>
    <row r="75" spans="6:101" x14ac:dyDescent="0.25">
      <c r="F75" s="50"/>
      <c r="G75" s="52"/>
      <c r="H75" s="52"/>
      <c r="I75" s="53"/>
      <c r="Q75" s="50"/>
      <c r="R75" s="222" t="s">
        <v>754</v>
      </c>
      <c r="S75" s="216" t="s">
        <v>687</v>
      </c>
      <c r="T75" s="53"/>
      <c r="AB75" s="50"/>
      <c r="AC75" s="222" t="s">
        <v>779</v>
      </c>
      <c r="AD75" s="216">
        <v>0</v>
      </c>
      <c r="AE75" s="53"/>
      <c r="AM75" s="50"/>
      <c r="AN75" s="85"/>
      <c r="AO75" s="85"/>
      <c r="AP75" s="53"/>
      <c r="AX75" s="50"/>
      <c r="AY75" s="225" t="s">
        <v>697</v>
      </c>
      <c r="AZ75" s="240">
        <v>1.0000000000000003E-9</v>
      </c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7"/>
      <c r="BZ75" s="268"/>
      <c r="CA75" s="269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419"/>
      <c r="CO75" s="299"/>
      <c r="CP75" s="299"/>
      <c r="CQ75" s="299"/>
      <c r="CR75" s="299"/>
      <c r="CS75" s="299"/>
      <c r="CT75" s="206"/>
      <c r="CU75" s="206"/>
      <c r="CV75" s="206"/>
      <c r="CW75" s="206"/>
    </row>
    <row r="76" spans="6:101" x14ac:dyDescent="0.25">
      <c r="F76" s="50"/>
      <c r="G76" s="52"/>
      <c r="H76" s="52"/>
      <c r="I76" s="53"/>
      <c r="Q76" s="50"/>
      <c r="R76" s="222" t="s">
        <v>755</v>
      </c>
      <c r="S76" s="216" t="str">
        <f>INDEX('STATIC DATA'!C7:AB7,1,MATCH($A$1,'STATIC DATA'!$C$4:$AB$4,0))</f>
        <v>2D</v>
      </c>
      <c r="T76" s="53"/>
      <c r="AB76" s="50"/>
      <c r="AC76" s="222" t="s">
        <v>780</v>
      </c>
      <c r="AD76" s="216" t="s">
        <v>687</v>
      </c>
      <c r="AE76" s="53"/>
      <c r="AM76" s="50"/>
      <c r="AN76" s="85"/>
      <c r="AO76" s="85"/>
      <c r="AP76" s="53"/>
      <c r="AX76" s="50"/>
      <c r="AY76" s="225" t="s">
        <v>698</v>
      </c>
      <c r="AZ76" s="219">
        <v>1000</v>
      </c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99"/>
      <c r="BZ76" s="299"/>
      <c r="CA76" s="29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419"/>
      <c r="CO76" s="299"/>
      <c r="CP76" s="299"/>
      <c r="CQ76" s="299"/>
      <c r="CR76" s="299"/>
      <c r="CS76" s="299"/>
      <c r="CT76" s="206"/>
      <c r="CU76" s="206"/>
      <c r="CV76" s="206"/>
      <c r="CW76" s="206"/>
    </row>
    <row r="77" spans="6:101" x14ac:dyDescent="0.25">
      <c r="F77" s="50"/>
      <c r="G77" s="52"/>
      <c r="H77" s="52"/>
      <c r="I77" s="53"/>
      <c r="Q77" s="50"/>
      <c r="R77" s="245" t="s">
        <v>756</v>
      </c>
      <c r="S77" s="247" t="s">
        <v>714</v>
      </c>
      <c r="T77" s="53"/>
      <c r="AB77" s="50"/>
      <c r="AC77" s="233" t="s">
        <v>781</v>
      </c>
      <c r="AD77" s="241" t="s">
        <v>791</v>
      </c>
      <c r="AE77" s="53"/>
      <c r="AM77" s="50"/>
      <c r="AN77" s="85"/>
      <c r="AO77" s="85"/>
      <c r="AP77" s="53"/>
      <c r="AX77" s="50"/>
      <c r="AY77" s="225" t="s">
        <v>788</v>
      </c>
      <c r="AZ77" s="219" t="s">
        <v>720</v>
      </c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419"/>
      <c r="CO77" s="299"/>
      <c r="CP77" s="299"/>
      <c r="CQ77" s="299"/>
      <c r="CR77" s="299"/>
      <c r="CS77" s="299"/>
      <c r="CT77" s="206"/>
      <c r="CU77" s="206"/>
      <c r="CV77" s="206"/>
      <c r="CW77" s="206"/>
    </row>
    <row r="78" spans="6:101" x14ac:dyDescent="0.25">
      <c r="F78" s="50"/>
      <c r="G78" s="52"/>
      <c r="H78" s="52"/>
      <c r="I78" s="53"/>
      <c r="Q78" s="50"/>
      <c r="R78" s="233" t="s">
        <v>757</v>
      </c>
      <c r="S78" s="229" t="s">
        <v>426</v>
      </c>
      <c r="T78" s="53"/>
      <c r="AB78" s="50"/>
      <c r="AC78" s="222" t="s">
        <v>783</v>
      </c>
      <c r="AD78" s="216" t="s">
        <v>718</v>
      </c>
      <c r="AE78" s="53"/>
      <c r="AM78" s="50"/>
      <c r="AN78" s="85"/>
      <c r="AO78" s="85"/>
      <c r="AP78" s="53"/>
      <c r="AX78" s="50"/>
      <c r="AY78" s="225" t="s">
        <v>789</v>
      </c>
      <c r="AZ78" s="219" t="s">
        <v>718</v>
      </c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419"/>
      <c r="CO78" s="299"/>
      <c r="CP78" s="299"/>
      <c r="CQ78" s="299"/>
      <c r="CR78" s="299"/>
      <c r="CS78" s="299"/>
      <c r="CT78" s="206"/>
      <c r="CU78" s="206"/>
      <c r="CV78" s="206"/>
      <c r="CW78" s="206"/>
    </row>
    <row r="79" spans="6:101" x14ac:dyDescent="0.25">
      <c r="F79" s="50"/>
      <c r="G79" s="52"/>
      <c r="H79" s="52"/>
      <c r="I79" s="53"/>
      <c r="Q79" s="50"/>
      <c r="R79" s="245" t="s">
        <v>758</v>
      </c>
      <c r="S79" s="244" t="s">
        <v>46</v>
      </c>
      <c r="T79" s="53"/>
      <c r="AB79" s="50"/>
      <c r="AC79" s="222" t="s">
        <v>784</v>
      </c>
      <c r="AD79" s="216" t="s">
        <v>675</v>
      </c>
      <c r="AE79" s="53"/>
      <c r="AM79" s="50"/>
      <c r="AN79" s="85"/>
      <c r="AO79" s="85"/>
      <c r="AP79" s="53"/>
      <c r="AX79" s="50"/>
      <c r="AY79" s="225" t="s">
        <v>688</v>
      </c>
      <c r="AZ79" s="219">
        <v>31</v>
      </c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332"/>
      <c r="BZ79" s="332"/>
      <c r="CA79" s="332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419"/>
      <c r="CO79" s="299"/>
      <c r="CP79" s="299"/>
      <c r="CQ79" s="299"/>
      <c r="CR79" s="299"/>
      <c r="CS79" s="299"/>
      <c r="CT79" s="206"/>
      <c r="CU79" s="206"/>
      <c r="CV79" s="206"/>
      <c r="CW79" s="206"/>
    </row>
    <row r="80" spans="6:101" x14ac:dyDescent="0.25">
      <c r="F80" s="50"/>
      <c r="G80" s="52"/>
      <c r="H80" s="52"/>
      <c r="I80" s="53"/>
      <c r="Q80" s="50"/>
      <c r="R80" s="222" t="s">
        <v>759</v>
      </c>
      <c r="S80" s="216" t="str">
        <f>INDEX('STATIC DATA'!C55:AB55,1,MATCH(A1,'STATIC DATA'!C4:AB4,0))</f>
        <v>ACT/360</v>
      </c>
      <c r="T80" s="53"/>
      <c r="AB80" s="50"/>
      <c r="AC80" s="222" t="s">
        <v>785</v>
      </c>
      <c r="AD80" s="216" t="s">
        <v>718</v>
      </c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419"/>
      <c r="CO80" s="299"/>
      <c r="CP80" s="299"/>
      <c r="CQ80" s="299"/>
      <c r="CR80" s="299"/>
      <c r="CS80" s="299"/>
      <c r="CT80" s="206"/>
      <c r="CU80" s="206"/>
      <c r="CV80" s="206"/>
      <c r="CW80" s="206"/>
    </row>
    <row r="81" spans="6:101" x14ac:dyDescent="0.25">
      <c r="F81" s="50"/>
      <c r="G81" s="52"/>
      <c r="H81" s="52"/>
      <c r="I81" s="53"/>
      <c r="Q81" s="50"/>
      <c r="R81" s="222" t="s">
        <v>760</v>
      </c>
      <c r="S81" s="216" t="str">
        <f>INDEX('STATIC DATA'!C43:AB43,1,MATCH($A$1,'STATIC DATA'!$C$4:$AB$4,0))</f>
        <v>BDB</v>
      </c>
      <c r="T81" s="53"/>
      <c r="AB81" s="50"/>
      <c r="AC81" s="233" t="s">
        <v>786</v>
      </c>
      <c r="AD81" s="246" t="s">
        <v>49</v>
      </c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419"/>
      <c r="CO81" s="299"/>
      <c r="CP81" s="299"/>
      <c r="CQ81" s="299"/>
      <c r="CR81" s="299"/>
      <c r="CS81" s="299"/>
      <c r="CT81" s="206"/>
      <c r="CU81" s="206"/>
      <c r="CV81" s="206"/>
      <c r="CW81" s="206"/>
    </row>
    <row r="82" spans="6:101" x14ac:dyDescent="0.25">
      <c r="F82" s="50"/>
      <c r="G82" s="52"/>
      <c r="H82" s="52"/>
      <c r="I82" s="53"/>
      <c r="Q82" s="50"/>
      <c r="R82" s="225" t="s">
        <v>761</v>
      </c>
      <c r="S82" s="219" t="s">
        <v>721</v>
      </c>
      <c r="T82" s="53"/>
      <c r="AB82" s="50"/>
      <c r="AC82" s="222" t="s">
        <v>787</v>
      </c>
      <c r="AD82" s="216" t="s">
        <v>720</v>
      </c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419"/>
      <c r="CO82" s="299"/>
      <c r="CP82" s="299"/>
      <c r="CQ82" s="299"/>
      <c r="CR82" s="299"/>
      <c r="CS82" s="299"/>
      <c r="CT82" s="206"/>
      <c r="CU82" s="206"/>
      <c r="CV82" s="206"/>
      <c r="CW82" s="206"/>
    </row>
    <row r="83" spans="6:101" x14ac:dyDescent="0.25">
      <c r="F83" s="50"/>
      <c r="G83" s="52"/>
      <c r="H83" s="52"/>
      <c r="I83" s="53"/>
      <c r="Q83" s="50"/>
      <c r="R83" s="225" t="s">
        <v>762</v>
      </c>
      <c r="S83" s="219" t="str">
        <f>INDEX('STATIC DATA'!C43:AB43,1,MATCH($A$1,'STATIC DATA'!$C$4:$AB$4,0))</f>
        <v>BDB</v>
      </c>
      <c r="T83" s="53"/>
      <c r="AB83" s="50"/>
      <c r="AC83" s="225" t="s">
        <v>697</v>
      </c>
      <c r="AD83" s="240">
        <v>1.0000000000000003E-9</v>
      </c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419"/>
      <c r="CO83" s="299"/>
      <c r="CP83" s="299"/>
      <c r="CQ83" s="299"/>
      <c r="CR83" s="299"/>
      <c r="CS83" s="299"/>
      <c r="CT83" s="206"/>
      <c r="CU83" s="206"/>
      <c r="CV83" s="206"/>
      <c r="CW83" s="206"/>
    </row>
    <row r="84" spans="6:101" x14ac:dyDescent="0.25">
      <c r="F84" s="50"/>
      <c r="G84" s="52"/>
      <c r="H84" s="52"/>
      <c r="I84" s="53"/>
      <c r="Q84" s="50"/>
      <c r="R84" s="225" t="s">
        <v>763</v>
      </c>
      <c r="S84" s="219" t="str">
        <f>INDEX('STATIC DATA'!C7:AB7,1,MATCH($A$1,'STATIC DATA'!$C$4:$AB$4,0))</f>
        <v>2D</v>
      </c>
      <c r="T84" s="53"/>
      <c r="AB84" s="50"/>
      <c r="AC84" s="225" t="s">
        <v>698</v>
      </c>
      <c r="AD84" s="219">
        <v>1000</v>
      </c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299"/>
      <c r="CE84" s="299"/>
      <c r="CF84" s="299"/>
      <c r="CG84" s="299"/>
      <c r="CH84" s="299"/>
      <c r="CI84" s="299"/>
      <c r="CJ84" s="299"/>
      <c r="CK84" s="299"/>
      <c r="CL84" s="299"/>
      <c r="CM84" s="299"/>
      <c r="CN84" s="419"/>
      <c r="CO84" s="299"/>
      <c r="CP84" s="299"/>
      <c r="CQ84" s="299"/>
      <c r="CR84" s="299"/>
      <c r="CS84" s="299"/>
      <c r="CT84" s="206"/>
      <c r="CU84" s="206"/>
      <c r="CV84" s="206"/>
      <c r="CW84" s="206"/>
    </row>
    <row r="85" spans="6:101" x14ac:dyDescent="0.25">
      <c r="F85" s="50"/>
      <c r="G85" s="52"/>
      <c r="H85" s="52"/>
      <c r="I85" s="53"/>
      <c r="Q85" s="50"/>
      <c r="R85" s="220" t="s">
        <v>764</v>
      </c>
      <c r="S85" s="238" t="s">
        <v>687</v>
      </c>
      <c r="T85" s="53"/>
      <c r="AB85" s="50"/>
      <c r="AC85" s="225" t="s">
        <v>788</v>
      </c>
      <c r="AD85" s="219" t="s">
        <v>720</v>
      </c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M85" s="299"/>
      <c r="CN85" s="419"/>
      <c r="CO85" s="299"/>
      <c r="CP85" s="299"/>
      <c r="CQ85" s="299"/>
      <c r="CR85" s="299"/>
      <c r="CS85" s="299"/>
      <c r="CT85" s="206"/>
      <c r="CU85" s="206"/>
      <c r="CV85" s="206"/>
      <c r="CW85" s="206"/>
    </row>
    <row r="86" spans="6:101" x14ac:dyDescent="0.25">
      <c r="F86" s="50"/>
      <c r="G86" s="52"/>
      <c r="H86" s="52"/>
      <c r="I86" s="53"/>
      <c r="Q86" s="50"/>
      <c r="R86" s="222" t="s">
        <v>765</v>
      </c>
      <c r="S86" s="216" t="str">
        <f>INDEX('STATIC DATA'!C43:AB43,1,MATCH($A$1,'STATIC DATA'!$C$4:$AB$4,0))</f>
        <v>BDB</v>
      </c>
      <c r="T86" s="53"/>
      <c r="AB86" s="50"/>
      <c r="AC86" s="225" t="s">
        <v>789</v>
      </c>
      <c r="AD86" s="219" t="s">
        <v>718</v>
      </c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M86" s="299"/>
      <c r="CN86" s="419"/>
      <c r="CO86" s="299"/>
      <c r="CP86" s="299"/>
      <c r="CQ86" s="299"/>
      <c r="CR86" s="299"/>
      <c r="CS86" s="299"/>
      <c r="CT86" s="206"/>
      <c r="CU86" s="206"/>
      <c r="CV86" s="206"/>
      <c r="CW86" s="206"/>
    </row>
    <row r="87" spans="6:101" x14ac:dyDescent="0.25">
      <c r="F87" s="50"/>
      <c r="G87" s="52"/>
      <c r="H87" s="52"/>
      <c r="I87" s="53"/>
      <c r="Q87" s="50"/>
      <c r="R87" s="222" t="s">
        <v>766</v>
      </c>
      <c r="S87" s="216" t="str">
        <f>INDEX('STATIC DATA'!C55:AB55,1,MATCH(A1,'STATIC DATA'!C4:AB4,0))</f>
        <v>ACT/360</v>
      </c>
      <c r="T87" s="53"/>
      <c r="AB87" s="50"/>
      <c r="AC87" s="225" t="s">
        <v>688</v>
      </c>
      <c r="AD87" s="219">
        <v>31</v>
      </c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M87" s="299"/>
      <c r="CN87" s="419"/>
      <c r="CO87" s="299"/>
      <c r="CP87" s="299"/>
      <c r="CQ87" s="299"/>
      <c r="CR87" s="299"/>
      <c r="CS87" s="299"/>
      <c r="CT87" s="206"/>
      <c r="CU87" s="206"/>
      <c r="CV87" s="206"/>
      <c r="CW87" s="206"/>
    </row>
    <row r="88" spans="6:101" x14ac:dyDescent="0.25">
      <c r="F88" s="50"/>
      <c r="G88" s="52"/>
      <c r="H88" s="52"/>
      <c r="I88" s="53"/>
      <c r="Q88" s="50"/>
      <c r="R88" s="222" t="s">
        <v>767</v>
      </c>
      <c r="S88" s="216" t="s">
        <v>458</v>
      </c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M88" s="299"/>
      <c r="CN88" s="419"/>
      <c r="CO88" s="299"/>
      <c r="CP88" s="299"/>
      <c r="CQ88" s="299"/>
      <c r="CR88" s="299"/>
      <c r="CS88" s="299"/>
      <c r="CT88" s="206"/>
      <c r="CU88" s="206"/>
      <c r="CV88" s="206"/>
      <c r="CW88" s="206"/>
    </row>
    <row r="89" spans="6:101" x14ac:dyDescent="0.25">
      <c r="F89" s="50"/>
      <c r="G89" s="52"/>
      <c r="H89" s="52"/>
      <c r="I89" s="53"/>
      <c r="Q89" s="50"/>
      <c r="R89" s="222" t="s">
        <v>769</v>
      </c>
      <c r="S89" s="216" t="s">
        <v>687</v>
      </c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M89" s="299"/>
      <c r="CN89" s="419"/>
      <c r="CO89" s="299"/>
      <c r="CP89" s="299"/>
      <c r="CQ89" s="299"/>
      <c r="CR89" s="299"/>
      <c r="CS89" s="299"/>
      <c r="CT89" s="206"/>
      <c r="CU89" s="206"/>
      <c r="CV89" s="206"/>
      <c r="CW89" s="206"/>
    </row>
    <row r="90" spans="6:101" x14ac:dyDescent="0.25">
      <c r="F90" s="75"/>
      <c r="G90" s="76"/>
      <c r="H90" s="76"/>
      <c r="I90" s="77"/>
      <c r="Q90" s="50"/>
      <c r="R90" s="225" t="s">
        <v>770</v>
      </c>
      <c r="S90" s="219" t="str">
        <f>INDEX('STATIC DATA'!C7:AB7,1,MATCH($A$1,'STATIC DATA'!$C$4:$AB$4,0))</f>
        <v>2D</v>
      </c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M90" s="299"/>
      <c r="CN90" s="419"/>
      <c r="CO90" s="299"/>
      <c r="CP90" s="299"/>
      <c r="CQ90" s="299"/>
      <c r="CR90" s="299"/>
      <c r="CS90" s="299"/>
      <c r="CT90" s="206"/>
      <c r="CU90" s="206"/>
      <c r="CV90" s="206"/>
      <c r="CW90" s="206"/>
    </row>
    <row r="91" spans="6:101" x14ac:dyDescent="0.25">
      <c r="Q91" s="50"/>
      <c r="R91" s="234" t="s">
        <v>771</v>
      </c>
      <c r="S91" s="242" t="s">
        <v>954</v>
      </c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299"/>
      <c r="BZ91" s="299"/>
      <c r="CA91" s="299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M91" s="299"/>
      <c r="CN91" s="419"/>
      <c r="CO91" s="299"/>
      <c r="CP91" s="299"/>
      <c r="CQ91" s="299"/>
      <c r="CR91" s="299"/>
      <c r="CS91" s="299"/>
      <c r="CT91" s="206"/>
      <c r="CU91" s="206"/>
      <c r="CV91" s="206"/>
      <c r="CW91" s="206"/>
    </row>
    <row r="92" spans="6:101" x14ac:dyDescent="0.25">
      <c r="Q92" s="50"/>
      <c r="R92" s="234" t="s">
        <v>772</v>
      </c>
      <c r="S92" s="242" t="s">
        <v>426</v>
      </c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332"/>
      <c r="CE92" s="332"/>
      <c r="CF92" s="299"/>
      <c r="CG92" s="299"/>
      <c r="CH92" s="299"/>
      <c r="CI92" s="299"/>
      <c r="CJ92" s="299"/>
      <c r="CK92" s="299"/>
      <c r="CL92" s="299"/>
      <c r="CM92" s="299"/>
      <c r="CN92" s="419"/>
      <c r="CO92" s="299"/>
      <c r="CP92" s="299"/>
      <c r="CQ92" s="299"/>
      <c r="CR92" s="299"/>
      <c r="CS92" s="299"/>
      <c r="CT92" s="206"/>
      <c r="CU92" s="206"/>
      <c r="CV92" s="206"/>
      <c r="CW92" s="206"/>
    </row>
    <row r="93" spans="6:101" x14ac:dyDescent="0.25">
      <c r="Q93" s="50"/>
      <c r="R93" s="245" t="s">
        <v>774</v>
      </c>
      <c r="S93" s="244" t="s">
        <v>49</v>
      </c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419"/>
      <c r="CO93" s="299"/>
      <c r="CP93" s="299"/>
      <c r="CQ93" s="299"/>
      <c r="CR93" s="299"/>
      <c r="CS93" s="299"/>
      <c r="CT93" s="206"/>
      <c r="CU93" s="206"/>
      <c r="CV93" s="206"/>
      <c r="CW93" s="206"/>
    </row>
    <row r="94" spans="6:101" x14ac:dyDescent="0.25">
      <c r="Q94" s="50"/>
      <c r="R94" s="222" t="s">
        <v>775</v>
      </c>
      <c r="S94" s="216" t="str">
        <f>INDEX('STATIC DATA'!C55:AB55,1,MATCH(A1,'STATIC DATA'!C4:AB4,0))</f>
        <v>ACT/360</v>
      </c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9"/>
      <c r="CG94" s="299"/>
      <c r="CH94" s="299"/>
      <c r="CI94" s="299"/>
      <c r="CJ94" s="299"/>
      <c r="CK94" s="299"/>
      <c r="CL94" s="299"/>
      <c r="CM94" s="299"/>
      <c r="CN94" s="419"/>
      <c r="CO94" s="299"/>
      <c r="CP94" s="299"/>
      <c r="CQ94" s="299"/>
      <c r="CR94" s="299"/>
      <c r="CS94" s="299"/>
      <c r="CT94" s="206"/>
      <c r="CU94" s="206"/>
      <c r="CV94" s="206"/>
      <c r="CW94" s="206"/>
    </row>
    <row r="95" spans="6:101" x14ac:dyDescent="0.25">
      <c r="Q95" s="50"/>
      <c r="R95" s="222" t="s">
        <v>776</v>
      </c>
      <c r="S95" s="216" t="str">
        <f>INDEX('STATIC DATA'!C43:AB43,1,MATCH($A$1,'STATIC DATA'!$C$4:$AB$4,0))</f>
        <v>BDB</v>
      </c>
      <c r="T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99"/>
      <c r="CG95" s="299"/>
      <c r="CH95" s="299"/>
      <c r="CI95" s="299"/>
      <c r="CJ95" s="299"/>
      <c r="CK95" s="299"/>
      <c r="CL95" s="299"/>
      <c r="CM95" s="299"/>
      <c r="CN95" s="419"/>
      <c r="CO95" s="299"/>
      <c r="CP95" s="299"/>
      <c r="CQ95" s="299"/>
      <c r="CR95" s="299"/>
      <c r="CS95" s="299"/>
      <c r="CT95" s="206"/>
      <c r="CU95" s="206"/>
      <c r="CV95" s="206"/>
      <c r="CW95" s="206"/>
    </row>
    <row r="96" spans="6:101" x14ac:dyDescent="0.25">
      <c r="Q96" s="50"/>
      <c r="R96" s="222" t="s">
        <v>777</v>
      </c>
      <c r="S96" s="216" t="s">
        <v>721</v>
      </c>
      <c r="T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99"/>
      <c r="CG96" s="299"/>
      <c r="CH96" s="299"/>
      <c r="CI96" s="299"/>
      <c r="CJ96" s="299"/>
      <c r="CK96" s="299"/>
      <c r="CL96" s="299"/>
      <c r="CM96" s="299"/>
      <c r="CN96" s="419"/>
      <c r="CO96" s="299"/>
      <c r="CP96" s="299"/>
      <c r="CQ96" s="299"/>
      <c r="CR96" s="299"/>
      <c r="CS96" s="299"/>
      <c r="CT96" s="206"/>
      <c r="CU96" s="206"/>
      <c r="CV96" s="206"/>
      <c r="CW96" s="206"/>
    </row>
    <row r="97" spans="17:108" x14ac:dyDescent="0.25">
      <c r="Q97" s="50"/>
      <c r="R97" s="222" t="s">
        <v>778</v>
      </c>
      <c r="S97" s="216" t="str">
        <f>INDEX('STATIC DATA'!C43:AB43,1,MATCH($A$1,'STATIC DATA'!$C$4:$AB$4,0))</f>
        <v>BDB</v>
      </c>
      <c r="T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  <c r="CF97" s="299"/>
      <c r="CG97" s="299"/>
      <c r="CH97" s="299"/>
      <c r="CI97" s="299"/>
    </row>
    <row r="98" spans="17:108" x14ac:dyDescent="0.25">
      <c r="Q98" s="50"/>
      <c r="R98" s="222" t="s">
        <v>779</v>
      </c>
      <c r="S98" s="216" t="str">
        <f>INDEX('STATIC DATA'!C7:AB7,1,MATCH($A$1,'STATIC DATA'!$C$4:$AB$4,0))</f>
        <v>2D</v>
      </c>
      <c r="T98" s="53"/>
      <c r="AB98" s="50"/>
      <c r="AC98" s="85"/>
      <c r="AD98" s="85"/>
      <c r="AE98" s="53"/>
      <c r="AM98" s="75"/>
      <c r="AN98" s="76"/>
      <c r="AO98" s="76"/>
      <c r="AP98" s="77"/>
      <c r="AX98" s="50"/>
      <c r="AY98" s="85"/>
      <c r="AZ98" s="85"/>
      <c r="BA98" s="53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</row>
    <row r="99" spans="17:108" x14ac:dyDescent="0.25">
      <c r="Q99" s="50"/>
      <c r="R99" s="222" t="s">
        <v>780</v>
      </c>
      <c r="S99" s="216" t="s">
        <v>687</v>
      </c>
      <c r="T99" s="53"/>
      <c r="AB99" s="50"/>
      <c r="AC99" s="85"/>
      <c r="AD99" s="85"/>
      <c r="AE99" s="53"/>
      <c r="AX99" s="50"/>
      <c r="AY99" s="85"/>
      <c r="AZ99" s="85"/>
      <c r="BA99" s="53"/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X99" s="206"/>
      <c r="CY99" s="206"/>
      <c r="CZ99" s="206"/>
      <c r="DA99" s="206"/>
      <c r="DB99" s="206"/>
      <c r="DC99" s="206"/>
      <c r="DD99" s="206"/>
    </row>
    <row r="100" spans="17:108" x14ac:dyDescent="0.25">
      <c r="Q100" s="50"/>
      <c r="R100" s="233" t="s">
        <v>781</v>
      </c>
      <c r="S100" s="241" t="s">
        <v>782</v>
      </c>
      <c r="T100" s="53"/>
      <c r="AB100" s="50"/>
      <c r="AC100" s="85"/>
      <c r="AD100" s="85"/>
      <c r="AE100" s="53"/>
      <c r="AX100" s="50"/>
      <c r="AY100" s="85"/>
      <c r="AZ100" s="85"/>
      <c r="BA100" s="53"/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X100" s="206"/>
      <c r="CY100" s="206"/>
      <c r="CZ100" s="206"/>
      <c r="DA100" s="206"/>
      <c r="DB100" s="206"/>
      <c r="DC100" s="206"/>
      <c r="DD100" s="206"/>
    </row>
    <row r="101" spans="17:108" x14ac:dyDescent="0.25">
      <c r="Q101" s="50"/>
      <c r="R101" s="222" t="s">
        <v>783</v>
      </c>
      <c r="S101" s="216" t="s">
        <v>718</v>
      </c>
      <c r="T101" s="53"/>
      <c r="AB101" s="50"/>
      <c r="AC101" s="85"/>
      <c r="AD101" s="85"/>
      <c r="AE101" s="53"/>
      <c r="AX101" s="50"/>
      <c r="AY101" s="85"/>
      <c r="AZ101" s="85"/>
      <c r="BA101" s="53"/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X101" s="206"/>
      <c r="CY101" s="206"/>
      <c r="CZ101" s="206"/>
      <c r="DA101" s="206"/>
      <c r="DB101" s="206"/>
      <c r="DC101" s="206"/>
      <c r="DD101" s="206"/>
    </row>
    <row r="102" spans="17:108" x14ac:dyDescent="0.25">
      <c r="Q102" s="50"/>
      <c r="R102" s="222" t="s">
        <v>785</v>
      </c>
      <c r="S102" s="216" t="s">
        <v>718</v>
      </c>
      <c r="T102" s="53"/>
      <c r="AB102" s="50"/>
      <c r="AC102" s="85"/>
      <c r="AD102" s="85"/>
      <c r="AE102" s="53"/>
      <c r="AX102" s="50"/>
      <c r="AY102" s="85"/>
      <c r="AZ102" s="85"/>
      <c r="BA102" s="53"/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X102" s="206"/>
      <c r="CY102" s="206"/>
      <c r="CZ102" s="206"/>
      <c r="DA102" s="206"/>
      <c r="DB102" s="206"/>
      <c r="DC102" s="206"/>
      <c r="DD102" s="206"/>
    </row>
    <row r="103" spans="17:108" x14ac:dyDescent="0.25">
      <c r="Q103" s="50"/>
      <c r="R103" s="52"/>
      <c r="S103" s="52"/>
      <c r="T103" s="53"/>
      <c r="AB103" s="50"/>
      <c r="AC103" s="85"/>
      <c r="AD103" s="85"/>
      <c r="AE103" s="53"/>
      <c r="AX103" s="50"/>
      <c r="AY103" s="85"/>
      <c r="AZ103" s="85"/>
      <c r="BA103" s="53"/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X103" s="206"/>
      <c r="CY103" s="206"/>
      <c r="CZ103" s="206"/>
      <c r="DA103" s="206"/>
      <c r="DB103" s="206"/>
      <c r="DC103" s="206"/>
      <c r="DD103" s="206"/>
    </row>
    <row r="104" spans="17:108" x14ac:dyDescent="0.25">
      <c r="Q104" s="50"/>
      <c r="R104" s="52"/>
      <c r="S104" s="52"/>
      <c r="T104" s="53"/>
      <c r="AB104" s="50"/>
      <c r="AC104" s="85"/>
      <c r="AD104" s="85"/>
      <c r="AE104" s="53"/>
      <c r="AX104" s="50"/>
      <c r="AY104" s="85"/>
      <c r="AZ104" s="85"/>
      <c r="BA104" s="53"/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X104" s="206"/>
      <c r="CY104" s="206"/>
      <c r="CZ104" s="206"/>
      <c r="DA104" s="206"/>
      <c r="DB104" s="206"/>
      <c r="DC104" s="206"/>
      <c r="DD104" s="206"/>
    </row>
    <row r="105" spans="17:108" x14ac:dyDescent="0.25">
      <c r="Q105" s="75"/>
      <c r="R105" s="52"/>
      <c r="S105" s="52"/>
      <c r="T105" s="77"/>
      <c r="AB105" s="50"/>
      <c r="AC105" s="85"/>
      <c r="AD105" s="85"/>
      <c r="AE105" s="53"/>
      <c r="AX105" s="50"/>
      <c r="AY105" s="85"/>
      <c r="AZ105" s="85"/>
      <c r="BA105" s="53"/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X105" s="206"/>
      <c r="CY105" s="206"/>
      <c r="CZ105" s="206"/>
      <c r="DA105" s="206"/>
      <c r="DB105" s="206"/>
      <c r="DC105" s="206"/>
      <c r="DD105" s="206"/>
    </row>
    <row r="106" spans="17:108" x14ac:dyDescent="0.25">
      <c r="AB106" s="50"/>
      <c r="AC106" s="85"/>
      <c r="AD106" s="85"/>
      <c r="AE106" s="53"/>
      <c r="AX106" s="50"/>
      <c r="AY106" s="85"/>
      <c r="AZ106" s="85"/>
      <c r="BA106" s="53"/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X106" s="206"/>
      <c r="CY106" s="206"/>
      <c r="CZ106" s="206"/>
      <c r="DA106" s="206"/>
      <c r="DB106" s="206"/>
      <c r="DC106" s="206"/>
      <c r="DD106" s="206"/>
    </row>
    <row r="107" spans="17:108" x14ac:dyDescent="0.25">
      <c r="AB107" s="50"/>
      <c r="AC107" s="85"/>
      <c r="AD107" s="85"/>
      <c r="AE107" s="53"/>
      <c r="AX107" s="50"/>
      <c r="AY107" s="85"/>
      <c r="AZ107" s="85"/>
      <c r="BA107" s="53"/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X107" s="206"/>
      <c r="CY107" s="206"/>
      <c r="CZ107" s="206"/>
      <c r="DA107" s="206"/>
      <c r="DB107" s="206"/>
      <c r="DC107" s="206"/>
      <c r="DD107" s="206"/>
    </row>
    <row r="108" spans="17:108" x14ac:dyDescent="0.25">
      <c r="AB108" s="50"/>
      <c r="AC108" s="85"/>
      <c r="AD108" s="85"/>
      <c r="AE108" s="53"/>
      <c r="AX108" s="50"/>
      <c r="AY108" s="85"/>
      <c r="AZ108" s="85"/>
      <c r="BA108" s="53"/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X108" s="206"/>
      <c r="CY108" s="206"/>
      <c r="CZ108" s="206"/>
      <c r="DA108" s="206"/>
      <c r="DB108" s="206"/>
      <c r="DC108" s="206"/>
      <c r="DD108" s="206"/>
    </row>
    <row r="109" spans="17:108" x14ac:dyDescent="0.25">
      <c r="AB109" s="50"/>
      <c r="AC109" s="85"/>
      <c r="AD109" s="85"/>
      <c r="AE109" s="53"/>
      <c r="AX109" s="75"/>
      <c r="AY109" s="76"/>
      <c r="AZ109" s="76"/>
      <c r="BA109" s="77"/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X109" s="206"/>
      <c r="CY109" s="206"/>
      <c r="CZ109" s="206"/>
      <c r="DA109" s="206"/>
      <c r="DB109" s="206"/>
      <c r="DC109" s="206"/>
      <c r="DD109" s="206"/>
    </row>
    <row r="110" spans="17:108" x14ac:dyDescent="0.25">
      <c r="AB110" s="50"/>
      <c r="AC110" s="85"/>
      <c r="AD110" s="85"/>
      <c r="AE110" s="53"/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X110" s="206"/>
      <c r="CY110" s="206"/>
      <c r="CZ110" s="206"/>
      <c r="DA110" s="206"/>
      <c r="DB110" s="206"/>
      <c r="DC110" s="206"/>
      <c r="DD110" s="206"/>
    </row>
    <row r="111" spans="17:108" x14ac:dyDescent="0.25">
      <c r="AB111" s="50"/>
      <c r="AC111" s="85"/>
      <c r="AD111" s="85"/>
      <c r="AE111" s="53"/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X111" s="206"/>
      <c r="CY111" s="206"/>
      <c r="CZ111" s="206"/>
      <c r="DA111" s="206"/>
      <c r="DB111" s="206"/>
      <c r="DC111" s="206"/>
      <c r="DD111" s="206"/>
    </row>
    <row r="112" spans="17:108" x14ac:dyDescent="0.25">
      <c r="AB112" s="50"/>
      <c r="AC112" s="85"/>
      <c r="AD112" s="85"/>
      <c r="AE112" s="53"/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X112" s="206"/>
      <c r="CY112" s="206"/>
      <c r="CZ112" s="206"/>
      <c r="DA112" s="206"/>
      <c r="DB112" s="206"/>
      <c r="DC112" s="206"/>
      <c r="DD112" s="206"/>
    </row>
    <row r="113" spans="28:108" x14ac:dyDescent="0.25">
      <c r="AB113" s="50"/>
      <c r="AC113" s="85"/>
      <c r="AD113" s="85"/>
      <c r="AE113" s="53"/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X113" s="206"/>
      <c r="CY113" s="206"/>
      <c r="CZ113" s="206"/>
      <c r="DA113" s="206"/>
      <c r="DB113" s="206"/>
      <c r="DC113" s="206"/>
      <c r="DD113" s="206"/>
    </row>
    <row r="114" spans="28:108" x14ac:dyDescent="0.25">
      <c r="AB114" s="50"/>
      <c r="AC114" s="85"/>
      <c r="AD114" s="85"/>
      <c r="AE114" s="53"/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X114" s="206"/>
      <c r="CY114" s="206"/>
      <c r="CZ114" s="206"/>
      <c r="DA114" s="206"/>
      <c r="DB114" s="206"/>
      <c r="DC114" s="206"/>
      <c r="DD114" s="206"/>
    </row>
    <row r="115" spans="28:108" x14ac:dyDescent="0.25">
      <c r="AB115" s="50"/>
      <c r="AC115" s="85"/>
      <c r="AD115" s="85"/>
      <c r="AE115" s="53"/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X115" s="206"/>
      <c r="CY115" s="206"/>
      <c r="CZ115" s="206"/>
      <c r="DA115" s="206"/>
      <c r="DB115" s="206"/>
      <c r="DC115" s="206"/>
      <c r="DD115" s="206"/>
    </row>
    <row r="116" spans="28:108" x14ac:dyDescent="0.25">
      <c r="AB116" s="50"/>
      <c r="AC116" s="85"/>
      <c r="AD116" s="85"/>
      <c r="AE116" s="53"/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X116" s="206"/>
      <c r="CY116" s="206"/>
      <c r="CZ116" s="206"/>
      <c r="DA116" s="206"/>
      <c r="DB116" s="206"/>
      <c r="DC116" s="206"/>
      <c r="DD116" s="206"/>
    </row>
    <row r="117" spans="28:108" x14ac:dyDescent="0.25">
      <c r="AB117" s="75"/>
      <c r="AC117" s="76"/>
      <c r="AD117" s="76"/>
      <c r="AE117" s="77"/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X117" s="206"/>
      <c r="CY117" s="206"/>
      <c r="CZ117" s="206"/>
      <c r="DA117" s="206"/>
      <c r="DB117" s="206"/>
      <c r="DC117" s="206"/>
      <c r="DD117" s="206"/>
    </row>
    <row r="118" spans="28:108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X118" s="206"/>
      <c r="CY118" s="206"/>
      <c r="CZ118" s="206"/>
      <c r="DA118" s="206"/>
      <c r="DB118" s="206"/>
      <c r="DC118" s="206"/>
      <c r="DD118" s="206"/>
    </row>
    <row r="119" spans="28:108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X119" s="206"/>
      <c r="CY119" s="206"/>
      <c r="CZ119" s="206"/>
      <c r="DA119" s="206"/>
      <c r="DB119" s="206"/>
      <c r="DC119" s="206"/>
      <c r="DD119" s="206"/>
    </row>
    <row r="120" spans="28:108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X120" s="206"/>
      <c r="CY120" s="206"/>
      <c r="CZ120" s="206"/>
      <c r="DA120" s="206"/>
      <c r="DB120" s="206"/>
      <c r="DC120" s="206"/>
      <c r="DD120" s="206"/>
    </row>
    <row r="121" spans="28:108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X121" s="206"/>
      <c r="CY121" s="206"/>
      <c r="CZ121" s="206"/>
      <c r="DA121" s="206"/>
      <c r="DB121" s="206"/>
      <c r="DC121" s="206"/>
      <c r="DD121" s="206"/>
    </row>
    <row r="122" spans="28:108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X122" s="206"/>
      <c r="CY122" s="206"/>
      <c r="CZ122" s="206"/>
      <c r="DA122" s="206"/>
      <c r="DB122" s="206"/>
      <c r="DC122" s="206"/>
      <c r="DD122" s="206"/>
    </row>
    <row r="123" spans="28:108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X123" s="206"/>
      <c r="CY123" s="206"/>
      <c r="CZ123" s="206"/>
      <c r="DA123" s="206"/>
      <c r="DB123" s="206"/>
      <c r="DC123" s="206"/>
      <c r="DD123" s="206"/>
    </row>
    <row r="124" spans="28:108" x14ac:dyDescent="0.25">
      <c r="BT124" s="206"/>
      <c r="BU124" s="206"/>
      <c r="BV124" s="206"/>
      <c r="BW124" s="206"/>
      <c r="BY124" s="298"/>
      <c r="BZ124" s="298"/>
      <c r="CA124" s="298"/>
      <c r="CB124" s="299"/>
      <c r="CC124" s="299"/>
      <c r="CD124" s="299"/>
      <c r="CE124" s="299"/>
      <c r="CX124" s="206"/>
      <c r="CY124" s="206"/>
      <c r="CZ124" s="206"/>
      <c r="DA124" s="206"/>
      <c r="DB124" s="206"/>
      <c r="DC124" s="206"/>
      <c r="DD124" s="206"/>
    </row>
    <row r="125" spans="28:108" x14ac:dyDescent="0.25">
      <c r="BT125" s="206"/>
      <c r="BU125" s="206"/>
      <c r="BV125" s="206"/>
      <c r="BW125" s="206"/>
      <c r="BY125" s="206"/>
      <c r="BZ125" s="206"/>
      <c r="CA125" s="206"/>
      <c r="CB125" s="298"/>
      <c r="CC125" s="299"/>
      <c r="CD125" s="299"/>
      <c r="CE125" s="299"/>
      <c r="CX125" s="206"/>
      <c r="CY125" s="206"/>
      <c r="CZ125" s="206"/>
      <c r="DA125" s="206"/>
      <c r="DB125" s="206"/>
      <c r="DC125" s="206"/>
      <c r="DD125" s="206"/>
    </row>
    <row r="126" spans="28:108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99"/>
      <c r="CD126" s="299"/>
      <c r="CE126" s="299"/>
      <c r="CX126" s="206"/>
      <c r="CY126" s="206"/>
      <c r="CZ126" s="206"/>
      <c r="DA126" s="206"/>
      <c r="DB126" s="206"/>
      <c r="DC126" s="206"/>
      <c r="DD126" s="206"/>
    </row>
    <row r="127" spans="28:108" x14ac:dyDescent="0.25">
      <c r="BT127" s="206"/>
      <c r="BU127" s="206"/>
      <c r="BV127" s="206"/>
      <c r="BW127" s="206"/>
      <c r="CB127" s="206"/>
      <c r="CC127" s="299"/>
      <c r="CD127" s="299"/>
      <c r="CE127" s="299"/>
      <c r="CX127" s="206"/>
      <c r="CY127" s="206"/>
      <c r="CZ127" s="206"/>
      <c r="DA127" s="206"/>
      <c r="DB127" s="206"/>
      <c r="DC127" s="206"/>
      <c r="DD127" s="206"/>
    </row>
    <row r="128" spans="28:108" x14ac:dyDescent="0.25">
      <c r="CD128" s="299"/>
      <c r="CE128" s="299"/>
    </row>
  </sheetData>
  <dataValidations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K6 CE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DE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25.7109375" bestFit="1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43" bestFit="1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14.57031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6" hidden="1" customWidth="1" outlineLevel="2"/>
    <col min="45" max="48" width="9.140625" hidden="1" customWidth="1" outlineLevel="2"/>
    <col min="49" max="49" width="9.140625" collapsed="1"/>
    <col min="50" max="50" width="9.140625" customWidth="1" outlineLevel="1"/>
    <col min="51" max="51" width="30.7109375" customWidth="1" outlineLevel="1"/>
    <col min="52" max="52" width="40.7109375" customWidth="1" outlineLevel="1"/>
    <col min="53" max="54" width="9.140625" customWidth="1" outlineLevel="1"/>
    <col min="55" max="55" width="14.28515625" customWidth="1" outlineLevel="1"/>
    <col min="56" max="59" width="10.7109375" customWidth="1" outlineLevel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25.7109375" bestFit="1" customWidth="1"/>
    <col min="67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17.42578125" customWidth="1"/>
    <col min="78" max="78" width="15.85546875" customWidth="1"/>
    <col min="79" max="79" width="9.28515625" bestFit="1" customWidth="1"/>
    <col min="80" max="80" width="9.140625" customWidth="1"/>
    <col min="81" max="81" width="58.140625" bestFit="1" customWidth="1"/>
    <col min="82" max="82" width="20.7109375" customWidth="1"/>
    <col min="83" max="83" width="34.85546875" bestFit="1" customWidth="1"/>
    <col min="84" max="84" width="20.7109375" customWidth="1"/>
    <col min="85" max="85" width="12.28515625" customWidth="1"/>
    <col min="86" max="86" width="8.85546875" customWidth="1"/>
    <col min="87" max="89" width="20.7109375" customWidth="1"/>
    <col min="90" max="90" width="9.140625" customWidth="1"/>
    <col min="91" max="92" width="20.7109375" style="416" customWidth="1"/>
    <col min="93" max="93" width="90.28515625" style="416" bestFit="1" customWidth="1"/>
    <col min="94" max="96" width="20.7109375" style="416" customWidth="1"/>
    <col min="97" max="97" width="9.140625" style="416" customWidth="1"/>
  </cols>
  <sheetData>
    <row r="1" spans="1:101" x14ac:dyDescent="0.25">
      <c r="A1" t="s">
        <v>189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M1" s="323"/>
      <c r="CN1" s="299"/>
      <c r="CO1" s="299"/>
      <c r="CP1" s="299"/>
      <c r="CQ1" s="299"/>
      <c r="CR1" s="299"/>
      <c r="CS1" s="300"/>
      <c r="CT1" s="206"/>
      <c r="CU1" s="206"/>
      <c r="CV1" s="206"/>
      <c r="CW1" s="206"/>
    </row>
    <row r="2" spans="1:101" x14ac:dyDescent="0.25">
      <c r="F2" s="237" t="s">
        <v>712</v>
      </c>
      <c r="K2" s="2" t="str">
        <f>A1&amp;"_OIS"</f>
        <v>ILS_OIS</v>
      </c>
      <c r="L2" s="5"/>
      <c r="M2" s="5"/>
      <c r="N2" s="5"/>
      <c r="O2" s="5"/>
      <c r="Q2" s="237"/>
      <c r="V2" s="2" t="str">
        <f>A1&amp;"_SWAP_3M"</f>
        <v>ILS_SWAP_3M</v>
      </c>
      <c r="W2" s="5"/>
      <c r="X2" s="5"/>
      <c r="Z2" s="5"/>
      <c r="AB2" s="237"/>
      <c r="AG2" s="2" t="str">
        <f>A1&amp;"_BASIS_6M"</f>
        <v>ILS_BASIS_6M</v>
      </c>
      <c r="AH2" s="5"/>
      <c r="AI2" s="5"/>
      <c r="AJ2" s="5"/>
      <c r="AK2" s="5"/>
      <c r="AR2" s="2" t="str">
        <f>A1&amp;"_BASIS_12M"</f>
        <v>ILS_BASIS_12M</v>
      </c>
      <c r="BC2" s="2" t="str">
        <f>A1&amp;"_BASIS_1M"</f>
        <v>ILS_BASIS_1M</v>
      </c>
      <c r="BN2" s="2" t="str">
        <f>A1&amp;"_XCCYBASIS"</f>
        <v>ILS_XCCYBASIS</v>
      </c>
      <c r="BO2" s="5"/>
      <c r="BP2" s="5"/>
      <c r="BQ2" s="5"/>
      <c r="BR2" s="5"/>
      <c r="CM2" s="332"/>
      <c r="CN2" s="332"/>
      <c r="CO2" s="332"/>
      <c r="CP2" s="332"/>
      <c r="CQ2" s="332"/>
      <c r="CR2" s="332"/>
      <c r="CS2" s="300"/>
      <c r="CT2" s="206"/>
      <c r="CU2" s="206"/>
      <c r="CV2" s="206"/>
      <c r="CW2" s="206"/>
    </row>
    <row r="3" spans="1:101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N3" t="s">
        <v>989</v>
      </c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8"/>
      <c r="CM3" s="546"/>
      <c r="CN3" s="436"/>
      <c r="CO3" s="513"/>
      <c r="CP3" s="513"/>
      <c r="CQ3" s="316"/>
      <c r="CR3" s="316"/>
      <c r="CS3" s="300"/>
      <c r="CT3" s="206"/>
      <c r="CU3" s="206"/>
      <c r="CV3" s="206"/>
      <c r="CW3" s="206"/>
    </row>
    <row r="4" spans="1:101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2"/>
      <c r="CM4" s="546"/>
      <c r="CN4" s="436"/>
      <c r="CO4" s="513"/>
      <c r="CP4" s="513"/>
      <c r="CQ4" s="316"/>
      <c r="CR4" s="316"/>
      <c r="CS4" s="300"/>
      <c r="CT4" s="206"/>
      <c r="CU4" s="206"/>
      <c r="CV4" s="206"/>
      <c r="CW4" s="206"/>
    </row>
    <row r="5" spans="1:101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1607</v>
      </c>
      <c r="CE5" s="228"/>
      <c r="CF5" s="53"/>
      <c r="CI5" s="50"/>
      <c r="CJ5" s="54" t="s">
        <v>1611</v>
      </c>
      <c r="CK5" s="228"/>
      <c r="CL5" s="52"/>
      <c r="CM5" s="546"/>
      <c r="CN5" s="436"/>
      <c r="CO5" s="513"/>
      <c r="CP5" s="513"/>
      <c r="CQ5" s="316"/>
      <c r="CR5" s="316"/>
      <c r="CS5" s="300"/>
      <c r="CT5" s="206"/>
      <c r="CU5" s="206"/>
      <c r="CV5" s="206"/>
      <c r="CW5" s="206"/>
    </row>
    <row r="6" spans="1:101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2"/>
      <c r="CM6" s="546"/>
      <c r="CN6" s="436"/>
      <c r="CO6" s="513"/>
      <c r="CP6" s="513"/>
      <c r="CQ6" s="316"/>
      <c r="CR6" s="316"/>
      <c r="CS6" s="300"/>
      <c r="CT6" s="206"/>
      <c r="CU6" s="206"/>
      <c r="CV6" s="206"/>
      <c r="CW6" s="206"/>
    </row>
    <row r="7" spans="1:101" x14ac:dyDescent="0.25">
      <c r="F7" s="50"/>
      <c r="G7" s="59" t="s">
        <v>711</v>
      </c>
      <c r="H7" s="211" t="str">
        <f>$A$1&amp;"_OIS"</f>
        <v>ILS_OIS</v>
      </c>
      <c r="I7" s="53"/>
      <c r="K7" t="s">
        <v>298</v>
      </c>
      <c r="L7" s="402">
        <f>O7+N7/1000</f>
        <v>1E-3</v>
      </c>
      <c r="M7" s="5" t="b">
        <v>1</v>
      </c>
      <c r="N7" s="5">
        <f>$N$4</f>
        <v>0</v>
      </c>
      <c r="O7" s="367">
        <f>W7</f>
        <v>1E-3</v>
      </c>
      <c r="Q7" s="50"/>
      <c r="R7" s="59" t="s">
        <v>711</v>
      </c>
      <c r="S7" s="211" t="str">
        <f>$A$1&amp;"_SWAP_"&amp;"3M"</f>
        <v>ILS_SWAP_3M</v>
      </c>
      <c r="T7" s="53"/>
      <c r="V7" t="s">
        <v>298</v>
      </c>
      <c r="W7" s="367">
        <f t="shared" ref="W7:W26" si="0">Z7+Y7/10000</f>
        <v>1E-3</v>
      </c>
      <c r="X7" s="5" t="b">
        <v>1</v>
      </c>
      <c r="Y7" s="5">
        <f t="shared" ref="Y7:Y26" si="1">$Y$4</f>
        <v>0</v>
      </c>
      <c r="Z7" s="368">
        <f>ILS_DATA!U7</f>
        <v>1E-3</v>
      </c>
      <c r="AA7" s="203"/>
      <c r="AB7" s="50"/>
      <c r="AC7" s="59" t="s">
        <v>711</v>
      </c>
      <c r="AD7" s="211" t="str">
        <f>$A$1&amp;"_BASIS_3M6M"</f>
        <v>ILS_BASIS_3M6M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ZAR_DATA!Z7</f>
        <v>1E-3</v>
      </c>
      <c r="AL7" s="207"/>
      <c r="AM7" s="50"/>
      <c r="AN7" s="59" t="s">
        <v>711</v>
      </c>
      <c r="AO7" s="211" t="str">
        <f>A1&amp;"_BASIS_3X12"</f>
        <v>ILS_BASIS_3X12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ILS_BASIS_1X3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ILS_XCCY</v>
      </c>
      <c r="BL7" s="53"/>
      <c r="BN7" t="s">
        <v>2</v>
      </c>
      <c r="BO7" s="5" t="s">
        <v>189</v>
      </c>
      <c r="BP7" s="5">
        <f>BR7</f>
        <v>0.77259999999999995</v>
      </c>
      <c r="BQ7" s="5"/>
      <c r="BR7" s="5">
        <f>FX!F2</f>
        <v>0.77259999999999995</v>
      </c>
      <c r="BT7" s="50"/>
      <c r="BU7" s="270" t="s">
        <v>830</v>
      </c>
      <c r="BV7" s="271" t="str">
        <f>"FX_CURVE_USD"&amp;$A$1</f>
        <v>FX_CURVE_USDILS</v>
      </c>
      <c r="BW7" s="52"/>
      <c r="BX7" s="299"/>
      <c r="BY7" t="s">
        <v>836</v>
      </c>
      <c r="BZ7" s="296">
        <f>ILS_DATA!AW7</f>
        <v>3.4055</v>
      </c>
      <c r="CA7" s="296">
        <f>ILS_DATA!AX7</f>
        <v>3.4083000000000001</v>
      </c>
      <c r="CC7" s="50"/>
      <c r="CD7" s="59" t="s">
        <v>711</v>
      </c>
      <c r="CE7" s="211" t="str">
        <f>$A$1&amp;"_EURCSA"</f>
        <v>ILS_EURCSA</v>
      </c>
      <c r="CF7" s="53"/>
      <c r="CI7" s="50"/>
      <c r="CJ7" s="59" t="s">
        <v>711</v>
      </c>
      <c r="CK7" s="211" t="str">
        <f>$A$1&amp;"_JPYCSA"</f>
        <v>ILS_JPYCSA</v>
      </c>
      <c r="CL7" s="52"/>
      <c r="CM7" s="546"/>
      <c r="CN7" s="436"/>
      <c r="CO7" s="513"/>
      <c r="CP7" s="513"/>
      <c r="CQ7" s="316"/>
      <c r="CR7" s="316"/>
      <c r="CS7" s="300"/>
      <c r="CT7" s="206"/>
      <c r="CU7" s="206"/>
      <c r="CV7" s="206"/>
      <c r="CW7" s="206"/>
    </row>
    <row r="8" spans="1:101" x14ac:dyDescent="0.25">
      <c r="F8" s="50"/>
      <c r="G8" s="72" t="s">
        <v>670</v>
      </c>
      <c r="H8" s="35" t="str">
        <f>IF(H$6,_xll.meLWOCurveGeneratorCreate(H$7,"CURVEPROPERTIES",G12:H18,"OIS",G23:H37),"Disabled")</f>
        <v>ILS_OIS@375:6</v>
      </c>
      <c r="I8" s="53" t="s">
        <v>424</v>
      </c>
      <c r="K8" t="s">
        <v>300</v>
      </c>
      <c r="L8" s="402">
        <f t="shared" ref="L8:L20" si="2">O8+N8/1000</f>
        <v>9.7999999999999997E-4</v>
      </c>
      <c r="M8" s="5" t="b">
        <v>1</v>
      </c>
      <c r="N8" s="5">
        <f t="shared" ref="N8:N20" si="3">$N$4</f>
        <v>0</v>
      </c>
      <c r="O8" s="368">
        <f>W8</f>
        <v>9.7999999999999997E-4</v>
      </c>
      <c r="Q8" s="50"/>
      <c r="R8" s="72" t="s">
        <v>670</v>
      </c>
      <c r="S8" s="35" t="str">
        <f>IF(S$6,_xll.meLWOCurveGeneratorCreate(S$7,"CURVEPROPERTIES",R12:S25,"MONEYMARKET",R28:S30,"LIBORFIXINGS",R33:S37,"FRAS",R40:S45,"SWAPS",R48:S61),"Disabled")</f>
        <v>ILS_SWAP_3M@371:6</v>
      </c>
      <c r="T8" s="53" t="s">
        <v>424</v>
      </c>
      <c r="V8" t="s">
        <v>300</v>
      </c>
      <c r="W8" s="367">
        <f t="shared" si="0"/>
        <v>9.7999999999999997E-4</v>
      </c>
      <c r="X8" s="5" t="b">
        <v>1</v>
      </c>
      <c r="Y8" s="5">
        <f t="shared" si="1"/>
        <v>0</v>
      </c>
      <c r="Z8" s="368">
        <f>ILS_DATA!U8</f>
        <v>9.7999999999999997E-4</v>
      </c>
      <c r="AA8" s="203"/>
      <c r="AB8" s="50"/>
      <c r="AC8" s="72" t="s">
        <v>670</v>
      </c>
      <c r="AD8" s="35" t="str">
        <f>IF(AD$6,_xll.meLWOCurveGeneratorCreate(AD$7,"CURVEPROPERTIES",AC12:AD21,"BASISSWAPS",AC27:AD67),"Disabled")</f>
        <v>ILS_BASIS_3M6M@374:6</v>
      </c>
      <c r="AE8" s="53" t="s">
        <v>424</v>
      </c>
      <c r="AG8" t="s">
        <v>308</v>
      </c>
      <c r="AH8" s="358">
        <f t="shared" ref="AH8:AH23" si="4">AK8+AJ8/10000</f>
        <v>1E-3</v>
      </c>
      <c r="AI8" s="5" t="b">
        <v>1</v>
      </c>
      <c r="AJ8" s="5">
        <f t="shared" ref="AJ8:AJ23" si="5">$AJ$4</f>
        <v>0</v>
      </c>
      <c r="AK8" s="357">
        <f>ZAR_DATA!Z8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Disabled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#Error: Invalid Data: Data Contains Errors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IF(BK$6,_xll.meLWOCurveGeneratorCreate(BK$7,"CURVEPROPERTIES",BJ12:BK23,"XCCYSWAPS",BJ37:BK74,"FXFWDS",BJ26:BK34),"Disabled")</f>
        <v>ILS_XCCY@376:6</v>
      </c>
      <c r="BL8" s="53" t="s">
        <v>424</v>
      </c>
      <c r="BN8" t="s">
        <v>298</v>
      </c>
      <c r="BO8" s="5">
        <f>BR8</f>
        <v>-0.3</v>
      </c>
      <c r="BP8" s="5" t="b">
        <v>1</v>
      </c>
      <c r="BQ8" s="5"/>
      <c r="BR8" s="391">
        <f>ILS_DATA!AZ8</f>
        <v>-0.3</v>
      </c>
      <c r="BT8" s="50"/>
      <c r="BU8" t="s">
        <v>670</v>
      </c>
      <c r="BV8" s="263" t="str">
        <f>IF(BV6,_xll.meLWOCurveGeneratorCreate(BV7,"CURVEPROPERTIES",BU12:BV15,"FXFWDS",BU20:BV25),"DISABLED")</f>
        <v>FX_CURVE_USDILS@373:6</v>
      </c>
      <c r="BW8" s="52"/>
      <c r="BX8" s="299"/>
      <c r="BY8" s="377" t="s">
        <v>298</v>
      </c>
      <c r="BZ8" s="373">
        <f>ILS_DATA!AW8</f>
        <v>-0.35</v>
      </c>
      <c r="CA8" s="373">
        <f>ILS_DATA!AX8</f>
        <v>-0.25</v>
      </c>
      <c r="CC8" s="50"/>
      <c r="CD8" s="72" t="s">
        <v>670</v>
      </c>
      <c r="CE8" s="35" t="str">
        <f>IF(CE$6,_xll.meLWOCurveGeneratorCreate(CE$7,"CURVEPROPERTIES",CD12:CE20,"FWDFXCONST",CD27:CE31),"Disabled")</f>
        <v>ILS_EURCSA@370:6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ILS_JPYCSA@372:6</v>
      </c>
      <c r="CL8" s="52" t="s">
        <v>424</v>
      </c>
      <c r="CM8" s="546"/>
      <c r="CN8" s="436"/>
      <c r="CO8" s="513"/>
      <c r="CP8" s="513"/>
      <c r="CQ8" s="316"/>
      <c r="CR8" s="316"/>
      <c r="CS8" s="300"/>
      <c r="CT8" s="206"/>
      <c r="CU8" s="206"/>
      <c r="CV8" s="206"/>
      <c r="CW8" s="206"/>
    </row>
    <row r="9" spans="1:101" x14ac:dyDescent="0.25">
      <c r="F9" s="50"/>
      <c r="G9" s="289"/>
      <c r="H9" s="289" t="str">
        <f>IF(H6,_xll.meLWOSave(H8,"Curve_Generator","C:\Temp\"&amp;H7&amp;".JSON"),"Disabled")</f>
        <v>Saved: Object 'ILS_OIS@375' saved to file C:\TEMP\ILS_OIS.JSON</v>
      </c>
      <c r="I9" s="53" t="s">
        <v>424</v>
      </c>
      <c r="K9" t="s">
        <v>49</v>
      </c>
      <c r="L9" s="402">
        <f t="shared" si="2"/>
        <v>7.6999999999999996E-4</v>
      </c>
      <c r="M9" s="5" t="b">
        <v>1</v>
      </c>
      <c r="N9" s="5">
        <f t="shared" si="3"/>
        <v>0</v>
      </c>
      <c r="O9" s="367">
        <f>W9</f>
        <v>7.6999999999999996E-4</v>
      </c>
      <c r="Q9" s="50"/>
      <c r="R9" s="52"/>
      <c r="S9" s="289" t="str">
        <f>IF(S6,_xll.meLWOSave(S8,"Curve_Generator","C:\Temp\"&amp;S7&amp;".JSON"),"Disabled")</f>
        <v>Saved: Object 'ILS_SWAP_3M@371' saved to file C:\TEMP\ILS_SWAP_3M.JSON</v>
      </c>
      <c r="T9" s="53"/>
      <c r="V9" t="s">
        <v>49</v>
      </c>
      <c r="W9" s="367">
        <f t="shared" si="0"/>
        <v>7.6999999999999996E-4</v>
      </c>
      <c r="X9" s="5" t="b">
        <v>1</v>
      </c>
      <c r="Y9" s="5">
        <f t="shared" si="1"/>
        <v>0</v>
      </c>
      <c r="Z9" s="368">
        <f>ILS_DATA!U9</f>
        <v>7.6999999999999996E-4</v>
      </c>
      <c r="AA9" s="203"/>
      <c r="AB9" s="50"/>
      <c r="AC9" s="52"/>
      <c r="AD9" s="289" t="str">
        <f>IF(AD6,_xll.meLWOSave(AD8,"Curve_Generator","C:\Temp\"&amp;AD7&amp;".JSON"),"Disabled")</f>
        <v>Saved: Object 'ILS_BASIS_3M6M@374' saved to file C:\TEMP\ILS_BASIS_3M6M.JSON</v>
      </c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ZAR_DATA!Z9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289" t="str">
        <f>IF(BK6,_xll.meLWOSave(BK8,"Curve_Generator","C:\Temp\"&amp;BK7&amp;".JSON"),"Disabled")</f>
        <v>Saved: Object 'ILS_XCCY@376' saved to file C:\TEMP\ILS_XCCY.JSON</v>
      </c>
      <c r="BL9" s="53"/>
      <c r="BN9" t="s">
        <v>506</v>
      </c>
      <c r="BO9" s="5">
        <f t="shared" ref="BO9:BO15" si="6">BR9</f>
        <v>-0.35</v>
      </c>
      <c r="BP9" s="5" t="b">
        <v>1</v>
      </c>
      <c r="BQ9" s="5"/>
      <c r="BR9" s="391">
        <f>ILS_DATA!AZ9</f>
        <v>-0.35</v>
      </c>
      <c r="BT9" s="50"/>
      <c r="BU9" s="57"/>
      <c r="BV9" s="57"/>
      <c r="BW9" s="52"/>
      <c r="BX9" s="299"/>
      <c r="BY9" s="378" t="s">
        <v>506</v>
      </c>
      <c r="BZ9" s="373">
        <f>ILS_DATA!AW9</f>
        <v>-0.4</v>
      </c>
      <c r="CA9" s="373">
        <f>ILS_DATA!AX9</f>
        <v>-0.3</v>
      </c>
      <c r="CC9" s="50"/>
      <c r="CD9" s="52"/>
      <c r="CE9" s="52"/>
      <c r="CF9" s="53"/>
      <c r="CI9" s="50"/>
      <c r="CJ9" s="52"/>
      <c r="CK9" s="52"/>
      <c r="CL9" s="52"/>
      <c r="CM9" s="546"/>
      <c r="CN9" s="436"/>
      <c r="CO9" s="513"/>
      <c r="CP9" s="513"/>
      <c r="CQ9" s="316"/>
      <c r="CR9" s="316"/>
      <c r="CS9" s="300"/>
      <c r="CT9" s="206"/>
      <c r="CU9" s="206"/>
      <c r="CV9" s="206"/>
      <c r="CW9" s="206"/>
    </row>
    <row r="10" spans="1:101" x14ac:dyDescent="0.25">
      <c r="F10" s="50"/>
      <c r="G10" s="289"/>
      <c r="H10" s="289"/>
      <c r="I10" s="53"/>
      <c r="K10" t="s">
        <v>46</v>
      </c>
      <c r="L10" s="402">
        <f t="shared" si="2"/>
        <v>7.0999999999999991E-4</v>
      </c>
      <c r="M10" s="5" t="b">
        <v>1</v>
      </c>
      <c r="N10" s="5">
        <f t="shared" si="3"/>
        <v>0</v>
      </c>
      <c r="O10" s="367">
        <f>W10</f>
        <v>7.0999999999999991E-4</v>
      </c>
      <c r="Q10" s="50"/>
      <c r="R10" s="52"/>
      <c r="S10" s="52"/>
      <c r="T10" s="53"/>
      <c r="V10" t="s">
        <v>46</v>
      </c>
      <c r="W10" s="367">
        <f t="shared" si="0"/>
        <v>7.0999999999999991E-4</v>
      </c>
      <c r="X10" s="5" t="b">
        <v>0</v>
      </c>
      <c r="Y10" s="5">
        <f t="shared" si="1"/>
        <v>0</v>
      </c>
      <c r="Z10" s="368">
        <f>ILS_DATA!U10</f>
        <v>7.0999999999999991E-4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ZAR_DATA!Z10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5">
        <f t="shared" si="6"/>
        <v>-3</v>
      </c>
      <c r="BP10" s="5" t="b">
        <v>1</v>
      </c>
      <c r="BQ10" s="5"/>
      <c r="BR10" s="391">
        <f>ILS_DATA!AZ10</f>
        <v>-3</v>
      </c>
      <c r="BT10" s="50"/>
      <c r="BU10" s="57"/>
      <c r="BV10" s="57"/>
      <c r="BW10" s="52"/>
      <c r="BX10" s="299"/>
      <c r="BY10" s="378" t="s">
        <v>305</v>
      </c>
      <c r="BZ10" s="373">
        <f>ILS_DATA!AW10</f>
        <v>-4</v>
      </c>
      <c r="CA10" s="373">
        <f>ILS_DATA!AX10</f>
        <v>-2</v>
      </c>
      <c r="CC10" s="50"/>
      <c r="CD10" s="52"/>
      <c r="CE10" s="52"/>
      <c r="CF10" s="53"/>
      <c r="CI10" s="50"/>
      <c r="CJ10" s="52"/>
      <c r="CK10" s="52"/>
      <c r="CL10" s="52"/>
      <c r="CM10" s="546"/>
      <c r="CN10" s="436"/>
      <c r="CO10" s="513"/>
      <c r="CP10" s="513"/>
      <c r="CQ10" s="316"/>
      <c r="CR10" s="316"/>
      <c r="CS10" s="300"/>
      <c r="CT10" s="206"/>
      <c r="CU10" s="206"/>
      <c r="CV10" s="206"/>
      <c r="CW10" s="206"/>
    </row>
    <row r="11" spans="1:101" x14ac:dyDescent="0.25">
      <c r="F11" s="50"/>
      <c r="G11" s="54" t="s">
        <v>671</v>
      </c>
      <c r="H11" s="52"/>
      <c r="I11" s="53"/>
      <c r="K11" t="s">
        <v>47</v>
      </c>
      <c r="L11" s="402">
        <f t="shared" si="2"/>
        <v>7.000000000000001E-4</v>
      </c>
      <c r="M11" s="5" t="b">
        <v>1</v>
      </c>
      <c r="N11" s="5">
        <f t="shared" si="3"/>
        <v>0</v>
      </c>
      <c r="O11" s="367">
        <f>W17</f>
        <v>7.000000000000001E-4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6.8000000000000005E-4</v>
      </c>
      <c r="X11" s="5" t="b">
        <v>0</v>
      </c>
      <c r="Y11" s="5">
        <f t="shared" si="1"/>
        <v>0</v>
      </c>
      <c r="Z11" s="368">
        <f>ILS_DATA!U11</f>
        <v>6.8000000000000005E-4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ZAR_DATA!Z11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300</v>
      </c>
      <c r="BO11" s="5">
        <f t="shared" si="6"/>
        <v>-18</v>
      </c>
      <c r="BP11" s="5" t="b">
        <v>1</v>
      </c>
      <c r="BQ11" s="5"/>
      <c r="BR11" s="391">
        <f>ILS_DATA!AZ11</f>
        <v>-18</v>
      </c>
      <c r="BT11" s="50"/>
      <c r="BU11" s="56" t="s">
        <v>671</v>
      </c>
      <c r="BV11" s="272" t="s">
        <v>825</v>
      </c>
      <c r="BW11" s="52"/>
      <c r="BX11" s="299"/>
      <c r="BY11" s="378" t="s">
        <v>300</v>
      </c>
      <c r="BZ11" s="373">
        <f>ILS_DATA!AW11</f>
        <v>-21</v>
      </c>
      <c r="CA11" s="373">
        <f>ILS_DATA!AX11</f>
        <v>-15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2"/>
      <c r="CM11" s="546"/>
      <c r="CN11" s="436"/>
      <c r="CO11" s="513"/>
      <c r="CP11" s="513"/>
      <c r="CQ11" s="316"/>
      <c r="CR11" s="316"/>
      <c r="CS11" s="300"/>
      <c r="CT11" s="206"/>
      <c r="CU11" s="206"/>
      <c r="CV11" s="206"/>
      <c r="CW11" s="206"/>
    </row>
    <row r="12" spans="1:101" x14ac:dyDescent="0.25">
      <c r="F12" s="50"/>
      <c r="G12" s="212" t="s">
        <v>435</v>
      </c>
      <c r="H12" s="213" t="s">
        <v>426</v>
      </c>
      <c r="I12" s="53"/>
      <c r="K12" t="s">
        <v>308</v>
      </c>
      <c r="L12" s="402">
        <f t="shared" si="2"/>
        <v>9.5E-4</v>
      </c>
      <c r="M12" s="5" t="b">
        <v>1</v>
      </c>
      <c r="N12" s="5">
        <f t="shared" si="3"/>
        <v>0</v>
      </c>
      <c r="O12" s="367">
        <f t="shared" ref="O12:O20" si="7">W18</f>
        <v>9.5E-4</v>
      </c>
      <c r="Q12" s="50"/>
      <c r="R12" s="220" t="s">
        <v>435</v>
      </c>
      <c r="S12" s="221" t="s">
        <v>463</v>
      </c>
      <c r="T12" s="53"/>
      <c r="V12" t="s">
        <v>494</v>
      </c>
      <c r="W12" s="367">
        <f t="shared" si="0"/>
        <v>7.000000000000001E-4</v>
      </c>
      <c r="X12" s="5" t="b">
        <v>1</v>
      </c>
      <c r="Y12" s="5">
        <f t="shared" si="1"/>
        <v>0</v>
      </c>
      <c r="Z12" s="368">
        <f>ILS_DATA!U13</f>
        <v>7.000000000000001E-4</v>
      </c>
      <c r="AA12" s="203"/>
      <c r="AB12" s="50"/>
      <c r="AC12" s="220" t="s">
        <v>434</v>
      </c>
      <c r="AD12" s="238" t="str">
        <f>$A$1</f>
        <v>ILS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ZAR_DATA!Z12</f>
        <v>1E-3</v>
      </c>
      <c r="AL12" s="207"/>
      <c r="AM12" s="50"/>
      <c r="AN12" s="220" t="s">
        <v>434</v>
      </c>
      <c r="AO12" s="238" t="str">
        <f>$A$1</f>
        <v>ILS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INDEX('STATIC DATA'!C39:AB39,1,MATCH($A$1,'STATIC DATA'!$C$4:$AB$4,0))</f>
        <v>NYB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335</v>
      </c>
      <c r="BO12" s="5">
        <f t="shared" si="6"/>
        <v>-37</v>
      </c>
      <c r="BP12" s="5" t="b">
        <v>1</v>
      </c>
      <c r="BQ12" s="5"/>
      <c r="BR12" s="391">
        <f>ILS_DATA!AZ12</f>
        <v>-37</v>
      </c>
      <c r="BT12" s="50"/>
      <c r="BU12" s="238" t="s">
        <v>434</v>
      </c>
      <c r="BV12" s="238" t="s">
        <v>985</v>
      </c>
      <c r="BW12" s="52"/>
      <c r="BX12" s="299"/>
      <c r="BY12" s="378" t="s">
        <v>335</v>
      </c>
      <c r="BZ12" s="373">
        <f>ILS_DATA!AW12</f>
        <v>-41</v>
      </c>
      <c r="CA12" s="373">
        <f>ILS_DATA!AX12</f>
        <v>-33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2"/>
      <c r="CM12" s="546"/>
      <c r="CN12" s="436"/>
      <c r="CO12" s="513"/>
      <c r="CP12" s="513"/>
      <c r="CQ12" s="316"/>
      <c r="CR12" s="316"/>
      <c r="CS12" s="300"/>
      <c r="CT12" s="206"/>
      <c r="CU12" s="206"/>
      <c r="CV12" s="206"/>
      <c r="CW12" s="206"/>
    </row>
    <row r="13" spans="1:101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316</v>
      </c>
      <c r="L13" s="402">
        <f t="shared" si="2"/>
        <v>1.4499999999999999E-3</v>
      </c>
      <c r="M13" s="5" t="b">
        <v>1</v>
      </c>
      <c r="N13" s="5">
        <f t="shared" si="3"/>
        <v>0</v>
      </c>
      <c r="O13" s="367">
        <f t="shared" si="7"/>
        <v>1.4499999999999999E-3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495</v>
      </c>
      <c r="W13" s="367">
        <f t="shared" si="0"/>
        <v>7.000000000000001E-4</v>
      </c>
      <c r="X13" s="5" t="b">
        <v>1</v>
      </c>
      <c r="Y13" s="5">
        <f t="shared" si="1"/>
        <v>0</v>
      </c>
      <c r="Z13" s="368">
        <f>ILS_DATA!U14</f>
        <v>7.000000000000001E-4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ZAR_DATA!Z13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tr">
        <f>IF(INDEX('STATIC DATA'!C56:AB56,1,MATCH(A1,'STATIC DATA'!C4:AB4,0))="1Y","ANNUAL",(IF(INDEX('STATIC DATA'!C56:AB56,1,MATCH($A$1,'STATIC DATA'!C4:AB4,0))="6M","SEMI-ANNUAL","QUARTERLY")))</f>
        <v>QUARTERLY</v>
      </c>
      <c r="BL13" s="53"/>
      <c r="BN13" t="s">
        <v>49</v>
      </c>
      <c r="BO13" s="5">
        <f t="shared" si="6"/>
        <v>-61</v>
      </c>
      <c r="BP13" s="5" t="b">
        <v>1</v>
      </c>
      <c r="BQ13" s="5"/>
      <c r="BR13" s="391">
        <f>ILS_DATA!AZ13</f>
        <v>-61</v>
      </c>
      <c r="BT13" s="50"/>
      <c r="BU13" s="216" t="s">
        <v>724</v>
      </c>
      <c r="BV13" s="216" t="s">
        <v>1591</v>
      </c>
      <c r="BW13" s="52"/>
      <c r="BX13" s="299"/>
      <c r="BY13" s="378" t="s">
        <v>49</v>
      </c>
      <c r="BZ13" s="373">
        <f>ILS_DATA!AW13</f>
        <v>-67</v>
      </c>
      <c r="CA13" s="373">
        <f>ILS_DATA!AX13</f>
        <v>-55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2"/>
      <c r="CM13" s="546"/>
      <c r="CN13" s="436"/>
      <c r="CO13" s="513"/>
      <c r="CP13" s="513"/>
      <c r="CQ13" s="316"/>
      <c r="CR13" s="316"/>
      <c r="CS13" s="300"/>
      <c r="CT13" s="206"/>
      <c r="CU13" s="206"/>
      <c r="CV13" s="206"/>
      <c r="CW13" s="206"/>
    </row>
    <row r="14" spans="1:101" x14ac:dyDescent="0.25">
      <c r="F14" s="50"/>
      <c r="G14" s="214" t="s">
        <v>672</v>
      </c>
      <c r="H14" s="215" t="s">
        <v>426</v>
      </c>
      <c r="I14" s="53"/>
      <c r="K14" t="s">
        <v>324</v>
      </c>
      <c r="L14" s="402">
        <f t="shared" si="2"/>
        <v>2.0499999999999997E-3</v>
      </c>
      <c r="M14" s="5" t="b">
        <v>1</v>
      </c>
      <c r="N14" s="5">
        <f t="shared" si="3"/>
        <v>0</v>
      </c>
      <c r="O14" s="367">
        <f t="shared" si="7"/>
        <v>2.0499999999999997E-3</v>
      </c>
      <c r="Q14" s="50"/>
      <c r="R14" s="222" t="s">
        <v>672</v>
      </c>
      <c r="S14" s="223" t="s">
        <v>714</v>
      </c>
      <c r="T14" s="53"/>
      <c r="V14" t="s">
        <v>496</v>
      </c>
      <c r="W14" s="367">
        <f t="shared" si="0"/>
        <v>7.000000000000001E-4</v>
      </c>
      <c r="X14" s="5" t="b">
        <v>1</v>
      </c>
      <c r="Y14" s="5">
        <f t="shared" si="1"/>
        <v>0</v>
      </c>
      <c r="Z14" s="368">
        <f>ILS_DATA!U15</f>
        <v>7.000000000000001E-4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ZAR_DATA!Z14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46</v>
      </c>
      <c r="BO14" s="5">
        <f t="shared" si="6"/>
        <v>-130</v>
      </c>
      <c r="BP14" s="5" t="b">
        <v>1</v>
      </c>
      <c r="BQ14" s="5"/>
      <c r="BR14" s="391">
        <f>ILS_DATA!AZ14</f>
        <v>-130</v>
      </c>
      <c r="BT14" s="50"/>
      <c r="BU14" s="216" t="s">
        <v>435</v>
      </c>
      <c r="BV14" s="216" t="s">
        <v>820</v>
      </c>
      <c r="BW14" s="52"/>
      <c r="BX14" s="299"/>
      <c r="BY14" s="378" t="s">
        <v>46</v>
      </c>
      <c r="BZ14" s="373">
        <f>ILS_DATA!AW14</f>
        <v>-140</v>
      </c>
      <c r="CA14" s="373">
        <f>ILS_DATA!AX14</f>
        <v>-120</v>
      </c>
      <c r="CC14" s="50"/>
      <c r="CD14" s="222" t="s">
        <v>672</v>
      </c>
      <c r="CE14" s="473" t="s">
        <v>1092</v>
      </c>
      <c r="CF14" s="53"/>
      <c r="CI14" s="50"/>
      <c r="CJ14" s="222" t="s">
        <v>672</v>
      </c>
      <c r="CK14" s="216" t="s">
        <v>1127</v>
      </c>
      <c r="CL14" s="52"/>
      <c r="CM14" s="546"/>
      <c r="CN14" s="436"/>
      <c r="CO14" s="513"/>
      <c r="CP14" s="513"/>
      <c r="CQ14" s="316"/>
      <c r="CR14" s="316"/>
      <c r="CS14" s="300"/>
      <c r="CT14" s="206"/>
      <c r="CU14" s="206"/>
      <c r="CV14" s="206"/>
      <c r="CW14" s="206"/>
    </row>
    <row r="15" spans="1:101" x14ac:dyDescent="0.25">
      <c r="F15" s="50"/>
      <c r="G15" s="235" t="s">
        <v>673</v>
      </c>
      <c r="H15" s="236" t="str">
        <f>H14&amp;":"&amp;$A$1&amp;H12</f>
        <v>OIS:ILSOIS</v>
      </c>
      <c r="I15" s="53" t="s">
        <v>424</v>
      </c>
      <c r="K15" t="s">
        <v>331</v>
      </c>
      <c r="L15" s="402">
        <f t="shared" si="2"/>
        <v>2.7000000000000001E-3</v>
      </c>
      <c r="M15" s="5" t="b">
        <v>1</v>
      </c>
      <c r="N15" s="5">
        <f t="shared" si="3"/>
        <v>0</v>
      </c>
      <c r="O15" s="367">
        <f t="shared" si="7"/>
        <v>2.7000000000000001E-3</v>
      </c>
      <c r="Q15" s="50"/>
      <c r="R15" s="233" t="s">
        <v>673</v>
      </c>
      <c r="S15" s="230" t="s">
        <v>984</v>
      </c>
      <c r="T15" s="53"/>
      <c r="V15" t="s">
        <v>497</v>
      </c>
      <c r="W15" s="367">
        <f t="shared" si="0"/>
        <v>7.000000000000001E-4</v>
      </c>
      <c r="X15" s="5" t="b">
        <v>1</v>
      </c>
      <c r="Y15" s="5">
        <f t="shared" si="1"/>
        <v>0</v>
      </c>
      <c r="Z15" s="368">
        <f>ILS_DATA!U16</f>
        <v>7.000000000000001E-4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ZAR_DATA!Z15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990</v>
      </c>
      <c r="BL15" s="53"/>
      <c r="BN15" t="s">
        <v>376</v>
      </c>
      <c r="BO15" s="5">
        <f t="shared" si="6"/>
        <v>-205</v>
      </c>
      <c r="BP15" s="5" t="b">
        <v>1</v>
      </c>
      <c r="BQ15" s="5"/>
      <c r="BR15" s="391">
        <f>ILS_DATA!AZ15</f>
        <v>-205</v>
      </c>
      <c r="BT15" s="50"/>
      <c r="BU15" s="219" t="s">
        <v>826</v>
      </c>
      <c r="BV15" s="219" t="s">
        <v>828</v>
      </c>
      <c r="BW15" s="52"/>
      <c r="BX15" s="299"/>
      <c r="BY15" s="378" t="s">
        <v>376</v>
      </c>
      <c r="BZ15" s="373">
        <f>ILS_DATA!AW15</f>
        <v>-215</v>
      </c>
      <c r="CA15" s="373">
        <f>ILS_DATA!AX15</f>
        <v>-195</v>
      </c>
      <c r="CC15" s="50"/>
      <c r="CD15" s="222" t="s">
        <v>673</v>
      </c>
      <c r="CE15" s="216" t="s">
        <v>1608</v>
      </c>
      <c r="CF15" s="53"/>
      <c r="CI15" s="50"/>
      <c r="CJ15" s="222" t="s">
        <v>673</v>
      </c>
      <c r="CK15" s="216" t="s">
        <v>1612</v>
      </c>
      <c r="CL15" s="52"/>
      <c r="CM15" s="546"/>
      <c r="CN15" s="436"/>
      <c r="CO15" s="513"/>
      <c r="CP15" s="513"/>
      <c r="CQ15" s="316"/>
      <c r="CR15" s="316"/>
      <c r="CS15" s="300"/>
      <c r="CT15" s="206"/>
      <c r="CU15" s="206"/>
      <c r="CV15" s="206"/>
      <c r="CW15" s="206"/>
    </row>
    <row r="16" spans="1:101" x14ac:dyDescent="0.25">
      <c r="F16" s="50"/>
      <c r="G16" s="214" t="s">
        <v>434</v>
      </c>
      <c r="H16" s="216" t="str">
        <f>$A$1</f>
        <v>ILS</v>
      </c>
      <c r="I16" s="53"/>
      <c r="K16" t="s">
        <v>339</v>
      </c>
      <c r="L16" s="402">
        <f t="shared" si="2"/>
        <v>3.5999999999999999E-3</v>
      </c>
      <c r="M16" s="5" t="b">
        <v>1</v>
      </c>
      <c r="N16" s="5">
        <f t="shared" si="3"/>
        <v>0</v>
      </c>
      <c r="O16" s="367">
        <f t="shared" si="7"/>
        <v>3.5999999999999999E-3</v>
      </c>
      <c r="Q16" s="50"/>
      <c r="R16" s="222" t="s">
        <v>434</v>
      </c>
      <c r="S16" s="223" t="str">
        <f>$A$1</f>
        <v>ILS</v>
      </c>
      <c r="T16" s="53"/>
      <c r="V16" t="s">
        <v>498</v>
      </c>
      <c r="W16" s="367">
        <f t="shared" si="0"/>
        <v>7.000000000000001E-4</v>
      </c>
      <c r="X16" s="5" t="b">
        <v>1</v>
      </c>
      <c r="Y16" s="5">
        <f t="shared" si="1"/>
        <v>0</v>
      </c>
      <c r="Z16" s="368">
        <f>ILS_DATA!U17</f>
        <v>7.000000000000001E-4</v>
      </c>
      <c r="AA16" s="203"/>
      <c r="AB16" s="50"/>
      <c r="AC16" s="233" t="s">
        <v>673</v>
      </c>
      <c r="AD16" s="230" t="s">
        <v>1053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ZAR_DATA!Z16</f>
        <v>1E-3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T16" t="b">
        <v>1</v>
      </c>
      <c r="AX16" s="50"/>
      <c r="AY16" s="233" t="s">
        <v>673</v>
      </c>
      <c r="AZ16" s="230" t="s">
        <v>796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ILS</v>
      </c>
      <c r="BL16" s="53"/>
      <c r="BN16" t="s">
        <v>47</v>
      </c>
      <c r="BO16" s="358">
        <f>BR16+BQ16/10000</f>
        <v>-5.7999999999999996E-3</v>
      </c>
      <c r="BP16" s="5" t="b">
        <v>1</v>
      </c>
      <c r="BQ16" s="5">
        <f>$BQ$4</f>
        <v>0</v>
      </c>
      <c r="BR16" s="368">
        <f>ILS_DATA!AR7</f>
        <v>-5.7999999999999996E-3</v>
      </c>
      <c r="BT16" s="50"/>
      <c r="BU16" s="57"/>
      <c r="BV16" s="57"/>
      <c r="BW16" s="52"/>
      <c r="BX16" s="299"/>
      <c r="BY16" s="378" t="s">
        <v>322</v>
      </c>
      <c r="BZ16" s="373">
        <f>ILS_DATA!AW16</f>
        <v>-285</v>
      </c>
      <c r="CA16" s="373">
        <f>ILS_DATA!AX16</f>
        <v>-255</v>
      </c>
      <c r="CC16" s="50"/>
      <c r="CD16" s="233" t="s">
        <v>434</v>
      </c>
      <c r="CE16" s="230" t="s">
        <v>189</v>
      </c>
      <c r="CF16" s="53"/>
      <c r="CI16" s="50"/>
      <c r="CJ16" s="233" t="s">
        <v>434</v>
      </c>
      <c r="CK16" s="230" t="s">
        <v>189</v>
      </c>
      <c r="CL16" s="52"/>
      <c r="CM16" s="546"/>
      <c r="CN16" s="436"/>
      <c r="CO16" s="513"/>
      <c r="CP16" s="513"/>
      <c r="CQ16" s="316"/>
      <c r="CR16" s="316"/>
      <c r="CS16" s="300"/>
      <c r="CT16" s="206"/>
      <c r="CU16" s="206"/>
      <c r="CV16" s="206"/>
      <c r="CW16" s="206"/>
    </row>
    <row r="17" spans="6:101" x14ac:dyDescent="0.25">
      <c r="F17" s="50"/>
      <c r="G17" s="217" t="s">
        <v>674</v>
      </c>
      <c r="H17" s="216" t="s">
        <v>675</v>
      </c>
      <c r="I17" s="53"/>
      <c r="K17" t="s">
        <v>342</v>
      </c>
      <c r="L17" s="402">
        <f t="shared" si="2"/>
        <v>4.45E-3</v>
      </c>
      <c r="M17" s="5" t="b">
        <v>1</v>
      </c>
      <c r="N17" s="5">
        <f t="shared" si="3"/>
        <v>0</v>
      </c>
      <c r="O17" s="367">
        <f t="shared" si="7"/>
        <v>4.45E-3</v>
      </c>
      <c r="Q17" s="50"/>
      <c r="R17" s="222" t="s">
        <v>674</v>
      </c>
      <c r="S17" s="223" t="s">
        <v>715</v>
      </c>
      <c r="T17" s="53"/>
      <c r="V17" t="s">
        <v>47</v>
      </c>
      <c r="W17" s="367">
        <f t="shared" si="0"/>
        <v>7.000000000000001E-4</v>
      </c>
      <c r="X17" s="5" t="b">
        <v>1</v>
      </c>
      <c r="Y17" s="5">
        <f t="shared" si="1"/>
        <v>0</v>
      </c>
      <c r="Z17" s="368">
        <f>ILS_DATA!U18</f>
        <v>7.000000000000001E-4</v>
      </c>
      <c r="AA17" s="203"/>
      <c r="AB17" s="50"/>
      <c r="AC17" s="222" t="s">
        <v>674</v>
      </c>
      <c r="AD17" s="216" t="s">
        <v>675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ZAR_DATA!Z17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N17" t="s">
        <v>308</v>
      </c>
      <c r="BO17" s="358">
        <f t="shared" ref="BO17:BO21" si="8">BR17+BQ17/10000</f>
        <v>-6.0000000000000001E-3</v>
      </c>
      <c r="BP17" s="5" t="b">
        <v>1</v>
      </c>
      <c r="BQ17" s="5">
        <f t="shared" ref="BQ17:BQ21" si="9">$BQ$4</f>
        <v>0</v>
      </c>
      <c r="BR17" s="368">
        <f>ILS_DATA!AR8</f>
        <v>-6.0000000000000001E-3</v>
      </c>
      <c r="BT17" s="50"/>
      <c r="BU17" s="57"/>
      <c r="BV17" s="57"/>
      <c r="BW17" s="52"/>
      <c r="BX17" s="299"/>
      <c r="BY17" s="388"/>
      <c r="BZ17" s="389"/>
      <c r="CA17" s="389"/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2"/>
      <c r="CM17" s="546"/>
      <c r="CN17" s="436"/>
      <c r="CO17" s="513"/>
      <c r="CP17" s="513"/>
      <c r="CQ17" s="316"/>
      <c r="CR17" s="316"/>
      <c r="CS17" s="300"/>
      <c r="CT17" s="206"/>
      <c r="CU17" s="206"/>
      <c r="CV17" s="206"/>
      <c r="CW17" s="206"/>
    </row>
    <row r="18" spans="6:101" x14ac:dyDescent="0.25">
      <c r="F18" s="50"/>
      <c r="G18" s="214" t="s">
        <v>676</v>
      </c>
      <c r="H18" s="216" t="s">
        <v>675</v>
      </c>
      <c r="I18" s="53"/>
      <c r="K18" t="s">
        <v>355</v>
      </c>
      <c r="L18" s="402">
        <f t="shared" si="2"/>
        <v>5.1999999999999998E-3</v>
      </c>
      <c r="M18" s="5" t="b">
        <v>1</v>
      </c>
      <c r="N18" s="5">
        <f t="shared" si="3"/>
        <v>0</v>
      </c>
      <c r="O18" s="367">
        <f t="shared" si="7"/>
        <v>5.1999999999999998E-3</v>
      </c>
      <c r="Q18" s="50"/>
      <c r="R18" s="222" t="s">
        <v>676</v>
      </c>
      <c r="S18" s="223" t="s">
        <v>715</v>
      </c>
      <c r="T18" s="53"/>
      <c r="V18" t="s">
        <v>308</v>
      </c>
      <c r="W18" s="367">
        <f t="shared" si="0"/>
        <v>9.5E-4</v>
      </c>
      <c r="X18" s="5" t="b">
        <v>1</v>
      </c>
      <c r="Y18" s="5">
        <f t="shared" si="1"/>
        <v>0</v>
      </c>
      <c r="Z18" s="368">
        <f>ILS_DATA!U19</f>
        <v>9.5E-4</v>
      </c>
      <c r="AA18" s="203"/>
      <c r="AB18" s="50"/>
      <c r="AC18" s="222" t="s">
        <v>676</v>
      </c>
      <c r="AD18" s="216" t="s">
        <v>675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ZAR_DATA!Z18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t="s">
        <v>316</v>
      </c>
      <c r="BO18" s="358">
        <f t="shared" si="8"/>
        <v>-6.1000000000000004E-3</v>
      </c>
      <c r="BP18" s="5" t="b">
        <v>1</v>
      </c>
      <c r="BQ18" s="5">
        <f t="shared" si="9"/>
        <v>0</v>
      </c>
      <c r="BR18" s="368">
        <f>ILS_DATA!AR9</f>
        <v>-6.1000000000000004E-3</v>
      </c>
      <c r="BT18" s="50"/>
      <c r="BU18" s="57"/>
      <c r="BV18" s="57"/>
      <c r="BW18" s="52"/>
      <c r="BX18" s="299"/>
      <c r="BY18" s="388"/>
      <c r="BZ18" s="389"/>
      <c r="CA18" s="389"/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2"/>
      <c r="CM18" s="546"/>
      <c r="CN18" s="436"/>
      <c r="CO18" s="513"/>
      <c r="CP18" s="513"/>
      <c r="CQ18" s="316"/>
      <c r="CR18" s="316"/>
      <c r="CS18" s="300"/>
      <c r="CT18" s="206"/>
      <c r="CU18" s="206"/>
      <c r="CV18" s="206"/>
      <c r="CW18" s="206"/>
    </row>
    <row r="19" spans="6:101" x14ac:dyDescent="0.25">
      <c r="F19" s="50"/>
      <c r="G19" s="214"/>
      <c r="H19" s="216"/>
      <c r="I19" s="53"/>
      <c r="K19" t="s">
        <v>364</v>
      </c>
      <c r="L19" s="402">
        <f t="shared" si="2"/>
        <v>5.9499999999999996E-3</v>
      </c>
      <c r="M19" s="5" t="b">
        <v>1</v>
      </c>
      <c r="N19" s="5">
        <f t="shared" si="3"/>
        <v>0</v>
      </c>
      <c r="O19" s="367">
        <f t="shared" si="7"/>
        <v>5.9499999999999996E-3</v>
      </c>
      <c r="Q19" s="50"/>
      <c r="R19" s="222" t="s">
        <v>716</v>
      </c>
      <c r="S19" s="223" t="s">
        <v>715</v>
      </c>
      <c r="T19" s="53"/>
      <c r="V19" t="s">
        <v>316</v>
      </c>
      <c r="W19" s="367">
        <f t="shared" si="0"/>
        <v>1.4499999999999999E-3</v>
      </c>
      <c r="X19" s="5" t="b">
        <v>1</v>
      </c>
      <c r="Y19" s="5">
        <f t="shared" si="1"/>
        <v>0</v>
      </c>
      <c r="Z19" s="368">
        <f>ILS_DATA!U20</f>
        <v>1.4499999999999999E-3</v>
      </c>
      <c r="AA19" s="203"/>
      <c r="AB19" s="50"/>
      <c r="AC19" s="222" t="s">
        <v>746</v>
      </c>
      <c r="AD19" s="216" t="s">
        <v>675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ZAR_DATA!Z19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324</v>
      </c>
      <c r="BO19" s="358">
        <f t="shared" si="8"/>
        <v>-6.1999999999999998E-3</v>
      </c>
      <c r="BP19" s="5" t="b">
        <v>1</v>
      </c>
      <c r="BQ19" s="5">
        <f t="shared" si="9"/>
        <v>0</v>
      </c>
      <c r="BR19" s="368">
        <f>ILS_DATA!AR10</f>
        <v>-6.1999999999999998E-3</v>
      </c>
      <c r="BT19" s="50"/>
      <c r="BU19" s="56" t="s">
        <v>814</v>
      </c>
      <c r="BV19" s="57"/>
      <c r="BW19" s="262"/>
      <c r="BX19" s="303"/>
      <c r="BY19" s="388"/>
      <c r="BZ19" s="389"/>
      <c r="CA19" s="389"/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2"/>
      <c r="CM19" s="546"/>
      <c r="CN19" s="436"/>
      <c r="CO19" s="513"/>
      <c r="CP19" s="513"/>
      <c r="CQ19" s="316"/>
      <c r="CR19" s="316"/>
      <c r="CS19" s="300"/>
      <c r="CT19" s="206"/>
      <c r="CU19" s="206"/>
      <c r="CV19" s="206"/>
      <c r="CW19" s="206"/>
    </row>
    <row r="20" spans="6:101" x14ac:dyDescent="0.25">
      <c r="F20" s="50"/>
      <c r="G20" s="218"/>
      <c r="H20" s="219"/>
      <c r="I20" s="53"/>
      <c r="K20" t="s">
        <v>349</v>
      </c>
      <c r="L20" s="402">
        <f t="shared" si="2"/>
        <v>6.5500000000000003E-3</v>
      </c>
      <c r="M20" s="5" t="b">
        <v>1</v>
      </c>
      <c r="N20" s="5">
        <f t="shared" si="3"/>
        <v>0</v>
      </c>
      <c r="O20" s="367">
        <f t="shared" si="7"/>
        <v>6.5500000000000003E-3</v>
      </c>
      <c r="Q20" s="50"/>
      <c r="R20" s="233" t="s">
        <v>717</v>
      </c>
      <c r="S20" s="230" t="s">
        <v>718</v>
      </c>
      <c r="T20" s="53"/>
      <c r="V20" t="s">
        <v>324</v>
      </c>
      <c r="W20" s="367">
        <f t="shared" si="0"/>
        <v>2.0499999999999997E-3</v>
      </c>
      <c r="X20" s="5" t="b">
        <v>1</v>
      </c>
      <c r="Y20" s="5">
        <f t="shared" si="1"/>
        <v>0</v>
      </c>
      <c r="Z20" s="368">
        <f>ILS_DATA!U21</f>
        <v>2.0499999999999997E-3</v>
      </c>
      <c r="AA20" s="203"/>
      <c r="AB20" s="50"/>
      <c r="AC20" s="222" t="s">
        <v>747</v>
      </c>
      <c r="AD20" s="216" t="s">
        <v>720</v>
      </c>
      <c r="AE20" s="53"/>
      <c r="AG20" t="s">
        <v>382</v>
      </c>
      <c r="AH20" s="358">
        <f t="shared" si="4"/>
        <v>1E-3</v>
      </c>
      <c r="AI20" s="5" t="b">
        <v>1</v>
      </c>
      <c r="AJ20" s="5">
        <f t="shared" si="5"/>
        <v>0</v>
      </c>
      <c r="AK20" s="357">
        <f>ZAR_DATA!Z20</f>
        <v>1E-3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331</v>
      </c>
      <c r="BO20" s="358">
        <f t="shared" si="8"/>
        <v>-6.1999999999999998E-3</v>
      </c>
      <c r="BP20" s="5" t="b">
        <v>1</v>
      </c>
      <c r="BQ20" s="5">
        <f t="shared" si="9"/>
        <v>0</v>
      </c>
      <c r="BR20" s="368">
        <f>ILS_DATA!AR11</f>
        <v>-6.1999999999999998E-3</v>
      </c>
      <c r="BT20" s="50"/>
      <c r="BU20" s="147" t="s">
        <v>704</v>
      </c>
      <c r="BV20" s="221">
        <f>INDEX('STATIC DATA'!C30:AB30,1,MATCH($A$1,'STATIC DATA'!$C$4:$AB$4,0))</f>
        <v>0</v>
      </c>
      <c r="BW20" s="52"/>
      <c r="BX20" s="299"/>
      <c r="BY20" s="388"/>
      <c r="BZ20" s="389"/>
      <c r="CA20" s="389"/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2"/>
      <c r="CM20" s="546"/>
      <c r="CN20" s="436"/>
      <c r="CO20" s="513"/>
      <c r="CP20" s="513"/>
      <c r="CQ20" s="316"/>
      <c r="CR20" s="316"/>
      <c r="CS20" s="300"/>
      <c r="CT20" s="206"/>
      <c r="CU20" s="206"/>
      <c r="CV20" s="206"/>
      <c r="CW20" s="206"/>
    </row>
    <row r="21" spans="6:101" x14ac:dyDescent="0.25">
      <c r="F21" s="50"/>
      <c r="G21" s="52"/>
      <c r="H21" s="52"/>
      <c r="I21" s="53"/>
      <c r="L21" s="5"/>
      <c r="M21" s="5"/>
      <c r="N21" s="5"/>
      <c r="O21" s="5"/>
      <c r="Q21" s="50"/>
      <c r="R21" s="233" t="s">
        <v>719</v>
      </c>
      <c r="S21" s="230" t="s">
        <v>720</v>
      </c>
      <c r="T21" s="53"/>
      <c r="V21" t="s">
        <v>331</v>
      </c>
      <c r="W21" s="367">
        <f t="shared" si="0"/>
        <v>2.7000000000000001E-3</v>
      </c>
      <c r="X21" s="5" t="b">
        <v>1</v>
      </c>
      <c r="Y21" s="5">
        <f t="shared" si="1"/>
        <v>0</v>
      </c>
      <c r="Z21" s="368">
        <f>ILS_DATA!U22</f>
        <v>2.7000000000000001E-3</v>
      </c>
      <c r="AA21" s="203"/>
      <c r="AB21" s="50"/>
      <c r="AC21" s="234" t="s">
        <v>748</v>
      </c>
      <c r="AD21" s="232" t="s">
        <v>991</v>
      </c>
      <c r="AE21" s="53"/>
      <c r="AG21" t="s">
        <v>389</v>
      </c>
      <c r="AH21" s="358">
        <f t="shared" si="4"/>
        <v>1E-3</v>
      </c>
      <c r="AI21" s="5" t="b">
        <v>1</v>
      </c>
      <c r="AJ21" s="5">
        <f t="shared" si="5"/>
        <v>0</v>
      </c>
      <c r="AK21" s="357">
        <f>ZAR_DATA!Z21</f>
        <v>1E-3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790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349</v>
      </c>
      <c r="BO21" s="358">
        <f t="shared" si="8"/>
        <v>-6.3E-3</v>
      </c>
      <c r="BP21" s="5" t="b">
        <v>1</v>
      </c>
      <c r="BQ21" s="5">
        <f t="shared" si="9"/>
        <v>0</v>
      </c>
      <c r="BR21" s="368">
        <f>ILS_DATA!AR12</f>
        <v>-6.3E-3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s="388"/>
      <c r="BZ21" s="389"/>
      <c r="CA21" s="389"/>
      <c r="CM21" s="546"/>
      <c r="CN21" s="436"/>
      <c r="CO21" s="513"/>
      <c r="CP21" s="513"/>
      <c r="CQ21" s="316"/>
      <c r="CR21" s="316"/>
      <c r="CS21" s="300"/>
      <c r="CT21" s="206"/>
      <c r="CU21" s="206"/>
      <c r="CV21" s="206"/>
      <c r="CW21" s="206"/>
    </row>
    <row r="22" spans="6:101" x14ac:dyDescent="0.25">
      <c r="F22" s="50"/>
      <c r="G22" s="54" t="s">
        <v>426</v>
      </c>
      <c r="H22" s="52"/>
      <c r="I22" s="53"/>
      <c r="L22" s="5"/>
      <c r="M22" s="5"/>
      <c r="N22" s="5"/>
      <c r="O22" s="5"/>
      <c r="Q22" s="50"/>
      <c r="R22" s="222" t="s">
        <v>706</v>
      </c>
      <c r="S22" s="223" t="s">
        <v>721</v>
      </c>
      <c r="T22" s="53"/>
      <c r="V22" t="s">
        <v>339</v>
      </c>
      <c r="W22" s="367">
        <f t="shared" si="0"/>
        <v>3.5999999999999999E-3</v>
      </c>
      <c r="X22" s="5" t="b">
        <v>1</v>
      </c>
      <c r="Y22" s="5">
        <f t="shared" si="1"/>
        <v>0</v>
      </c>
      <c r="Z22" s="368">
        <f>ILS_DATA!U23</f>
        <v>3.5999999999999999E-3</v>
      </c>
      <c r="AA22" s="203"/>
      <c r="AB22" s="50"/>
      <c r="AC22" s="222" t="s">
        <v>713</v>
      </c>
      <c r="AD22" s="216" t="s">
        <v>713</v>
      </c>
      <c r="AE22" s="53"/>
      <c r="AG22" t="s">
        <v>445</v>
      </c>
      <c r="AH22" s="358">
        <f t="shared" si="4"/>
        <v>1E-3</v>
      </c>
      <c r="AI22" s="5" t="b">
        <v>1</v>
      </c>
      <c r="AJ22" s="5">
        <f t="shared" si="5"/>
        <v>0</v>
      </c>
      <c r="AK22" s="357">
        <f>ZAR_DATA!Z22</f>
        <v>1E-3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O22" s="358"/>
      <c r="BP22" s="5"/>
      <c r="BQ22" s="5"/>
      <c r="BR22" s="368"/>
      <c r="BT22" s="50"/>
      <c r="BU22" s="149" t="s">
        <v>707</v>
      </c>
      <c r="BV22" s="223" t="s">
        <v>687</v>
      </c>
      <c r="BW22" s="52"/>
      <c r="BX22" s="299"/>
      <c r="BY22" s="388"/>
      <c r="BZ22" s="389"/>
      <c r="CA22" s="389"/>
      <c r="CM22" s="546"/>
      <c r="CN22" s="436"/>
      <c r="CO22" s="513"/>
      <c r="CP22" s="513"/>
      <c r="CQ22" s="316"/>
      <c r="CR22" s="316"/>
      <c r="CS22" s="300"/>
      <c r="CT22" s="206"/>
      <c r="CU22" s="206"/>
      <c r="CV22" s="206"/>
      <c r="CW22" s="206"/>
    </row>
    <row r="23" spans="6:101" x14ac:dyDescent="0.25">
      <c r="F23" s="50"/>
      <c r="G23" s="220" t="s">
        <v>677</v>
      </c>
      <c r="H23" s="221" t="str">
        <f>INDEX('STATIC DATA'!C43:AB43,1,MATCH($A$1,'STATIC DATA'!$C$4:$AB$4,0))</f>
        <v>NYB</v>
      </c>
      <c r="I23" s="53"/>
      <c r="L23" s="5"/>
      <c r="M23" s="5"/>
      <c r="N23" s="5"/>
      <c r="O23" s="5"/>
      <c r="Q23" s="50"/>
      <c r="R23" s="222" t="s">
        <v>722</v>
      </c>
      <c r="S23" s="223" t="s">
        <v>718</v>
      </c>
      <c r="T23" s="53"/>
      <c r="V23" t="s">
        <v>342</v>
      </c>
      <c r="W23" s="367">
        <f t="shared" si="0"/>
        <v>4.45E-3</v>
      </c>
      <c r="X23" s="5" t="b">
        <v>1</v>
      </c>
      <c r="Y23" s="5">
        <f t="shared" si="1"/>
        <v>0</v>
      </c>
      <c r="Z23" s="368">
        <f>ILS_DATA!U24</f>
        <v>4.45E-3</v>
      </c>
      <c r="AA23" s="203"/>
      <c r="AB23" s="50"/>
      <c r="AC23" s="234" t="s">
        <v>713</v>
      </c>
      <c r="AD23" s="232" t="s">
        <v>713</v>
      </c>
      <c r="AE23" s="53"/>
      <c r="AG23" t="s">
        <v>448</v>
      </c>
      <c r="AH23" s="358">
        <f t="shared" si="4"/>
        <v>1E-3</v>
      </c>
      <c r="AI23" s="5" t="b">
        <v>1</v>
      </c>
      <c r="AJ23" s="5">
        <f t="shared" si="5"/>
        <v>0</v>
      </c>
      <c r="AK23" s="357">
        <f>ZAR_DATA!Z23</f>
        <v>1E-3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O23" s="358"/>
      <c r="BP23" s="5"/>
      <c r="BQ23" s="5"/>
      <c r="BR23" s="368"/>
      <c r="BT23" s="50"/>
      <c r="BU23" s="149" t="s">
        <v>689</v>
      </c>
      <c r="BV23" s="223" t="b">
        <v>1</v>
      </c>
      <c r="BW23" s="52"/>
      <c r="BX23" s="299"/>
      <c r="BY23" s="390"/>
      <c r="BZ23" s="375"/>
      <c r="CA23" s="375"/>
      <c r="CM23" s="546"/>
      <c r="CN23" s="436"/>
      <c r="CO23" s="513"/>
      <c r="CP23" s="513"/>
      <c r="CQ23" s="316"/>
      <c r="CR23" s="316"/>
      <c r="CS23" s="300"/>
      <c r="CT23" s="206"/>
      <c r="CU23" s="206"/>
      <c r="CV23" s="206"/>
      <c r="CW23" s="206"/>
    </row>
    <row r="24" spans="6:101" x14ac:dyDescent="0.25">
      <c r="F24" s="50"/>
      <c r="G24" s="222" t="s">
        <v>678</v>
      </c>
      <c r="H24" s="223" t="str">
        <f>INDEX('STATIC DATA'!C59:AB59,1,MATCH($A$1,'STATIC DATA'!C4:AB4,0))</f>
        <v>ACT/365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V24" t="s">
        <v>355</v>
      </c>
      <c r="W24" s="367">
        <f t="shared" si="0"/>
        <v>5.1999999999999998E-3</v>
      </c>
      <c r="X24" s="5" t="b">
        <v>1</v>
      </c>
      <c r="Y24" s="5">
        <f t="shared" si="1"/>
        <v>0</v>
      </c>
      <c r="Z24" s="368">
        <f>ILS_DATA!U25</f>
        <v>5.1999999999999998E-3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459"/>
      <c r="BK24" s="460"/>
      <c r="BL24" s="53"/>
      <c r="BO24" s="358"/>
      <c r="BP24" s="5"/>
      <c r="BQ24" s="5"/>
      <c r="BR24" s="368"/>
      <c r="BT24" s="50"/>
      <c r="BU24" s="149" t="s">
        <v>688</v>
      </c>
      <c r="BV24" s="223">
        <v>31</v>
      </c>
      <c r="BW24" s="52"/>
      <c r="BX24" s="299"/>
      <c r="BY24" s="379"/>
      <c r="BZ24" s="5"/>
      <c r="CA24" s="5"/>
      <c r="CM24" s="546"/>
      <c r="CN24" s="436"/>
      <c r="CO24" s="513"/>
      <c r="CP24" s="513"/>
      <c r="CQ24" s="316"/>
      <c r="CR24" s="316"/>
      <c r="CS24" s="300"/>
      <c r="CT24" s="206"/>
      <c r="CU24" s="206"/>
      <c r="CV24" s="206"/>
      <c r="CW24" s="206"/>
    </row>
    <row r="25" spans="6:101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L25" s="5"/>
      <c r="M25" s="5"/>
      <c r="N25" s="5"/>
      <c r="O25" s="5"/>
      <c r="Q25" s="50"/>
      <c r="R25" s="234" t="s">
        <v>724</v>
      </c>
      <c r="S25" s="232" t="s">
        <v>725</v>
      </c>
      <c r="T25" s="53"/>
      <c r="V25" t="s">
        <v>364</v>
      </c>
      <c r="W25" s="367">
        <f t="shared" si="0"/>
        <v>5.9499999999999996E-3</v>
      </c>
      <c r="X25" s="5" t="b">
        <v>1</v>
      </c>
      <c r="Y25" s="5">
        <f t="shared" si="1"/>
        <v>0</v>
      </c>
      <c r="Z25" s="368">
        <f>ILS_DATA!U26</f>
        <v>5.9499999999999996E-3</v>
      </c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255" t="s">
        <v>814</v>
      </c>
      <c r="BK25" s="256"/>
      <c r="BL25" s="53"/>
      <c r="BO25" s="358"/>
      <c r="BP25" s="5"/>
      <c r="BQ25" s="5"/>
      <c r="BR25" s="368"/>
      <c r="BT25" s="50"/>
      <c r="BU25" s="151" t="s">
        <v>819</v>
      </c>
      <c r="BV25" s="226" t="b">
        <v>0</v>
      </c>
      <c r="BW25" s="52"/>
      <c r="BX25" s="299"/>
      <c r="BY25" s="379"/>
      <c r="BZ25" s="5"/>
      <c r="CA25" s="5"/>
      <c r="CM25" s="546"/>
      <c r="CN25" s="436"/>
      <c r="CO25" s="513"/>
      <c r="CP25" s="513"/>
      <c r="CQ25" s="316"/>
      <c r="CR25" s="316"/>
      <c r="CS25" s="300"/>
      <c r="CT25" s="206"/>
      <c r="CU25" s="206"/>
      <c r="CV25" s="206"/>
      <c r="CW25" s="206"/>
    </row>
    <row r="26" spans="6:101" x14ac:dyDescent="0.25">
      <c r="F26" s="50"/>
      <c r="G26" s="222" t="s">
        <v>681</v>
      </c>
      <c r="H26" s="223" t="s">
        <v>682</v>
      </c>
      <c r="I26" s="53"/>
      <c r="L26" s="5"/>
      <c r="M26" s="5"/>
      <c r="N26" s="5"/>
      <c r="O26" s="5"/>
      <c r="Q26" s="50"/>
      <c r="R26" s="52" t="s">
        <v>713</v>
      </c>
      <c r="S26" s="52" t="s">
        <v>713</v>
      </c>
      <c r="T26" s="53"/>
      <c r="V26" t="s">
        <v>349</v>
      </c>
      <c r="W26" s="367">
        <f t="shared" si="0"/>
        <v>6.5500000000000003E-3</v>
      </c>
      <c r="X26" s="5" t="b">
        <v>1</v>
      </c>
      <c r="Y26" s="5">
        <f t="shared" si="1"/>
        <v>0</v>
      </c>
      <c r="Z26" s="368">
        <f>ILS_DATA!U27</f>
        <v>6.5500000000000003E-3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25" t="s">
        <v>677</v>
      </c>
      <c r="BK26" s="240" t="str">
        <f>INDEX('STATIC DATA'!C39:AB39,1,MATCH($A$1,'STATIC DATA'!$C$4:$AB$4,0))</f>
        <v>NYB</v>
      </c>
      <c r="BL26" s="53"/>
      <c r="BO26" s="358"/>
      <c r="BP26" s="5"/>
      <c r="BQ26" s="5"/>
      <c r="BR26" s="368"/>
      <c r="BT26" s="50"/>
      <c r="BU26" s="52"/>
      <c r="BV26" s="52"/>
      <c r="BW26" s="52"/>
      <c r="BX26" s="299"/>
      <c r="BY26" s="379"/>
      <c r="BZ26" s="5"/>
      <c r="CA26" s="5"/>
      <c r="CD26" s="442" t="s">
        <v>1084</v>
      </c>
      <c r="CE26" t="s">
        <v>713</v>
      </c>
      <c r="CJ26" s="442" t="s">
        <v>1084</v>
      </c>
      <c r="CK26" t="s">
        <v>713</v>
      </c>
      <c r="CM26" s="546"/>
      <c r="CN26" s="436"/>
      <c r="CO26" s="513"/>
      <c r="CP26" s="513"/>
      <c r="CQ26" s="316"/>
      <c r="CR26" s="316"/>
      <c r="CS26" s="300"/>
      <c r="CT26" s="206"/>
      <c r="CU26" s="206"/>
      <c r="CV26" s="206"/>
      <c r="CW26" s="206"/>
    </row>
    <row r="27" spans="6:101" x14ac:dyDescent="0.25">
      <c r="F27" s="50"/>
      <c r="G27" s="222" t="s">
        <v>683</v>
      </c>
      <c r="H27" s="223" t="str">
        <f>INDEX('STATIC DATA'!C15:AB15,1,MATCH($A$1,'STATIC DATA'!C4:AB4,0))</f>
        <v>1d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683</v>
      </c>
      <c r="BK27" s="257" t="str">
        <f>INDEX('STATIC DATA'!C19:AB19,1,MATCH($A$1,'STATIC DATA'!$C$4:$AB$4,0))</f>
        <v>2D</v>
      </c>
      <c r="BL27" s="53"/>
      <c r="BO27" s="358"/>
      <c r="BP27" s="5"/>
      <c r="BQ27" s="5"/>
      <c r="BR27" s="368"/>
      <c r="BT27" s="50"/>
      <c r="BU27" s="52"/>
      <c r="BV27" s="52"/>
      <c r="BW27" s="52"/>
      <c r="BX27" s="299"/>
      <c r="BY27" s="379"/>
      <c r="BZ27" s="5"/>
      <c r="CA27" s="5"/>
      <c r="CD27" s="57" t="s">
        <v>1085</v>
      </c>
      <c r="CE27" s="57" t="s">
        <v>1093</v>
      </c>
      <c r="CJ27" s="57" t="s">
        <v>1085</v>
      </c>
      <c r="CK27" s="57" t="s">
        <v>1128</v>
      </c>
      <c r="CM27" s="546"/>
      <c r="CN27" s="436"/>
      <c r="CO27" s="513"/>
      <c r="CP27" s="513"/>
      <c r="CQ27" s="316"/>
      <c r="CR27" s="316"/>
      <c r="CS27" s="300"/>
      <c r="CT27" s="206"/>
      <c r="CU27" s="206"/>
      <c r="CV27" s="206"/>
      <c r="CW27" s="206"/>
    </row>
    <row r="28" spans="6:101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NYB</v>
      </c>
      <c r="T28" s="53"/>
      <c r="W28" s="367"/>
      <c r="X28" s="5"/>
      <c r="Z28" s="368"/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25" t="s">
        <v>686</v>
      </c>
      <c r="BK28" s="240" t="s">
        <v>816</v>
      </c>
      <c r="BL28" s="53"/>
      <c r="BO28" s="358"/>
      <c r="BP28" s="5"/>
      <c r="BQ28" s="5"/>
      <c r="BR28" s="368"/>
      <c r="BT28" s="50"/>
      <c r="BU28" s="52"/>
      <c r="BV28" s="52"/>
      <c r="BW28" s="52"/>
      <c r="BX28" s="299"/>
      <c r="BY28" s="379"/>
      <c r="BZ28" s="5"/>
      <c r="CA28" s="5"/>
      <c r="CD28" s="57" t="s">
        <v>1086</v>
      </c>
      <c r="CE28" s="57" t="s">
        <v>1089</v>
      </c>
      <c r="CJ28" s="57" t="s">
        <v>1086</v>
      </c>
      <c r="CK28" s="57" t="s">
        <v>1129</v>
      </c>
      <c r="CM28" s="546"/>
      <c r="CN28" s="436"/>
      <c r="CO28" s="513"/>
      <c r="CP28" s="513"/>
      <c r="CQ28" s="316"/>
      <c r="CR28" s="316"/>
      <c r="CS28" s="300"/>
      <c r="CT28" s="206"/>
      <c r="CU28" s="206"/>
      <c r="CV28" s="206"/>
      <c r="CW28" s="206"/>
    </row>
    <row r="29" spans="6:101" x14ac:dyDescent="0.25">
      <c r="F29" s="50"/>
      <c r="G29" s="222" t="s">
        <v>686</v>
      </c>
      <c r="H29" s="223" t="s">
        <v>687</v>
      </c>
      <c r="I29" s="53"/>
      <c r="Q29" s="50"/>
      <c r="R29" s="222" t="s">
        <v>678</v>
      </c>
      <c r="S29" s="223" t="str">
        <f>INDEX('STATIC DATA'!C55:AB55,1,MATCH($A$1,'STATIC DATA'!C4:AB4,0))</f>
        <v>ACT/365</v>
      </c>
      <c r="T29" s="53"/>
      <c r="W29" s="367"/>
      <c r="X29" s="5"/>
      <c r="Z29" s="368"/>
      <c r="AA29" s="203"/>
      <c r="AB29" s="50"/>
      <c r="AC29" s="222" t="s">
        <v>751</v>
      </c>
      <c r="AD29" s="216" t="str">
        <f>INDEX('STATIC DATA'!C39:AB39,1,MATCH($A$1,'STATIC DATA'!$C$4:$AB$4,0))</f>
        <v>NYB</v>
      </c>
      <c r="AE29" s="53"/>
      <c r="AH29" s="5"/>
      <c r="AI29" s="5"/>
      <c r="AJ29" s="5"/>
      <c r="AK29" s="5"/>
      <c r="AM29" s="50"/>
      <c r="AN29" s="222" t="s">
        <v>751</v>
      </c>
      <c r="AO29" s="216" t="s">
        <v>608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5" t="s">
        <v>689</v>
      </c>
      <c r="BK29" s="240" t="b">
        <v>1</v>
      </c>
      <c r="BL29" s="53"/>
      <c r="BT29" s="50"/>
      <c r="BU29" s="52"/>
      <c r="BV29" s="52"/>
      <c r="BW29" s="55"/>
      <c r="BX29" s="332"/>
      <c r="BY29" s="379"/>
      <c r="BZ29" s="5"/>
      <c r="CA29" s="5"/>
      <c r="CD29" s="57" t="s">
        <v>1087</v>
      </c>
      <c r="CE29" s="57" t="s">
        <v>1609</v>
      </c>
      <c r="CJ29" s="57" t="s">
        <v>1087</v>
      </c>
      <c r="CK29" s="57" t="s">
        <v>1609</v>
      </c>
      <c r="CM29" s="546"/>
      <c r="CN29" s="436"/>
      <c r="CO29" s="513"/>
      <c r="CP29" s="513"/>
      <c r="CQ29" s="316"/>
      <c r="CR29" s="316"/>
      <c r="CS29" s="300"/>
      <c r="CT29" s="206"/>
      <c r="CU29" s="206"/>
      <c r="CV29" s="206"/>
      <c r="CW29" s="206"/>
    </row>
    <row r="30" spans="6:101" x14ac:dyDescent="0.25">
      <c r="F30" s="50"/>
      <c r="G30" s="222" t="s">
        <v>688</v>
      </c>
      <c r="H30" s="216">
        <v>31</v>
      </c>
      <c r="I30" s="53"/>
      <c r="Q30" s="50"/>
      <c r="R30" s="225" t="s">
        <v>686</v>
      </c>
      <c r="S30" s="226" t="s">
        <v>728</v>
      </c>
      <c r="T30" s="53"/>
      <c r="W30" s="5"/>
      <c r="X30" s="5"/>
      <c r="Z30" s="5"/>
      <c r="AA30" s="203"/>
      <c r="AB30" s="50"/>
      <c r="AC30" s="222" t="s">
        <v>752</v>
      </c>
      <c r="AD30" s="216" t="str">
        <f>INDEX('STATIC DATA'!C55:AB55,1,MATCH($A$1,'STATIC DATA'!C4:AB4,0))</f>
        <v>ACT/365</v>
      </c>
      <c r="AE30" s="53"/>
      <c r="AH30" s="5"/>
      <c r="AI30" s="5"/>
      <c r="AJ30" s="5"/>
      <c r="AK30" s="5"/>
      <c r="AM30" s="50"/>
      <c r="AN30" s="222" t="s">
        <v>752</v>
      </c>
      <c r="AO30" s="216" t="s">
        <v>48</v>
      </c>
      <c r="AP30" s="53"/>
      <c r="AX30" s="50"/>
      <c r="AY30" s="222" t="s">
        <v>752</v>
      </c>
      <c r="AZ30" s="216" t="e">
        <f>INDEX('STATIC DATA'!Y55:AY55,1,MATCH($A$1,'STATIC DATA'!Y4:AV4,0))</f>
        <v>#N/A</v>
      </c>
      <c r="BA30" s="53"/>
      <c r="BI30" s="50"/>
      <c r="BJ30" s="225" t="s">
        <v>688</v>
      </c>
      <c r="BK30" s="257">
        <v>31</v>
      </c>
      <c r="BL30" s="53"/>
      <c r="BT30" s="50"/>
      <c r="BU30" s="55"/>
      <c r="BV30" s="55"/>
      <c r="BW30" s="55"/>
      <c r="BX30" s="332"/>
      <c r="BY30" s="302"/>
      <c r="BZ30" s="374"/>
      <c r="CA30" s="374"/>
      <c r="CB30" s="302"/>
      <c r="CD30" s="57" t="s">
        <v>1088</v>
      </c>
      <c r="CE30" s="443" t="s">
        <v>1609</v>
      </c>
      <c r="CJ30" s="57" t="s">
        <v>1088</v>
      </c>
      <c r="CK30" s="443" t="s">
        <v>1609</v>
      </c>
      <c r="CM30" s="546"/>
      <c r="CN30" s="436"/>
      <c r="CO30" s="513"/>
      <c r="CP30" s="513"/>
      <c r="CQ30" s="316"/>
      <c r="CR30" s="316"/>
      <c r="CS30" s="300"/>
      <c r="CT30" s="206"/>
      <c r="CU30" s="206"/>
      <c r="CV30" s="206"/>
      <c r="CW30" s="206"/>
    </row>
    <row r="31" spans="6:101" x14ac:dyDescent="0.25">
      <c r="F31" s="50"/>
      <c r="G31" s="222" t="s">
        <v>689</v>
      </c>
      <c r="H31" s="224" t="b">
        <v>1</v>
      </c>
      <c r="I31" s="53"/>
      <c r="Q31" s="50"/>
      <c r="R31" s="52" t="s">
        <v>713</v>
      </c>
      <c r="S31" s="52" t="s">
        <v>713</v>
      </c>
      <c r="T31" s="53"/>
      <c r="W31" s="5"/>
      <c r="X31" s="5"/>
      <c r="Z31" s="5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34" t="s">
        <v>817</v>
      </c>
      <c r="BK31" s="258">
        <f>IF(INDEX('STATIC DATA'!C49:AB49,1,MATCH($A$1,'STATIC DATA'!C4:AB4,0))=4,10000,IF(INDEX('STATIC DATA'!C49:AB49,1,MATCH($A$1,'STATIC DATA'!C4:AB4,0))=3,1000,100))</f>
        <v>10000</v>
      </c>
      <c r="BL31" s="53"/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M31" s="546"/>
      <c r="CN31" s="436"/>
      <c r="CO31" s="513"/>
      <c r="CP31" s="513"/>
      <c r="CQ31" s="316"/>
      <c r="CR31" s="316"/>
      <c r="CS31" s="300"/>
      <c r="CT31" s="206"/>
      <c r="CU31" s="206"/>
      <c r="CV31" s="206"/>
      <c r="CW31" s="206"/>
    </row>
    <row r="32" spans="6:101" x14ac:dyDescent="0.25">
      <c r="F32" s="50"/>
      <c r="G32" s="222" t="s">
        <v>690</v>
      </c>
      <c r="H32" s="223" t="s">
        <v>691</v>
      </c>
      <c r="I32" s="53"/>
      <c r="Q32" s="50"/>
      <c r="R32" s="54" t="s">
        <v>460</v>
      </c>
      <c r="S32" s="52" t="s">
        <v>713</v>
      </c>
      <c r="T32" s="53"/>
      <c r="W32" s="5"/>
      <c r="X32" s="5"/>
      <c r="Z32" s="5"/>
      <c r="AA32" s="203"/>
      <c r="AB32" s="50"/>
      <c r="AC32" s="222" t="s">
        <v>754</v>
      </c>
      <c r="AD32" s="216" t="s">
        <v>687</v>
      </c>
      <c r="AE32" s="53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818</v>
      </c>
      <c r="BK32" s="259" t="b">
        <v>1</v>
      </c>
      <c r="BL32" s="53"/>
      <c r="BT32" s="50"/>
      <c r="BU32" s="55"/>
      <c r="BV32" s="55"/>
      <c r="BW32" s="55"/>
      <c r="BX32" s="332"/>
      <c r="BY32" s="206"/>
      <c r="BZ32" s="206"/>
      <c r="CA32" s="299"/>
      <c r="CB32" s="299"/>
      <c r="CM32" s="546"/>
      <c r="CN32" s="436"/>
      <c r="CO32" s="513"/>
      <c r="CP32" s="513"/>
      <c r="CQ32" s="316"/>
      <c r="CR32" s="316"/>
      <c r="CS32" s="300"/>
      <c r="CT32" s="206"/>
      <c r="CU32" s="206"/>
      <c r="CV32" s="206"/>
      <c r="CW32" s="206"/>
    </row>
    <row r="33" spans="6:101" x14ac:dyDescent="0.25">
      <c r="F33" s="50"/>
      <c r="G33" s="222" t="s">
        <v>695</v>
      </c>
      <c r="H33" s="223" t="s">
        <v>696</v>
      </c>
      <c r="I33" s="53"/>
      <c r="Q33" s="50"/>
      <c r="R33" s="220" t="s">
        <v>677</v>
      </c>
      <c r="S33" s="221" t="str">
        <f>INDEX('STATIC DATA'!C39:AB39,1,MATCH($A$1,'STATIC DATA'!$C$4:$AB$4,0))</f>
        <v>NYB</v>
      </c>
      <c r="T33" s="53"/>
      <c r="W33" s="5"/>
      <c r="X33" s="5"/>
      <c r="Z33" s="5"/>
      <c r="AB33" s="50"/>
      <c r="AC33" s="222" t="s">
        <v>755</v>
      </c>
      <c r="AD33" s="216" t="str">
        <f>INDEX('STATIC DATA'!C7:AB7,1,MATCH($A$1,'STATIC DATA'!$C$4:$AB$4,0))</f>
        <v>2D</v>
      </c>
      <c r="AE33" s="53"/>
      <c r="AM33" s="50"/>
      <c r="AN33" s="222" t="s">
        <v>755</v>
      </c>
      <c r="AO33" s="216">
        <v>0</v>
      </c>
      <c r="AP33" s="53"/>
      <c r="AX33" s="50"/>
      <c r="AY33" s="222" t="s">
        <v>755</v>
      </c>
      <c r="AZ33" s="216">
        <v>0</v>
      </c>
      <c r="BA33" s="53"/>
      <c r="BI33" s="50"/>
      <c r="BJ33" s="225" t="s">
        <v>679</v>
      </c>
      <c r="BK33" s="240" t="s">
        <v>729</v>
      </c>
      <c r="BL33" s="53"/>
      <c r="BT33" s="50"/>
      <c r="BU33" s="55"/>
      <c r="BV33" s="55"/>
      <c r="BW33" s="55"/>
      <c r="BX33" s="332"/>
      <c r="BY33" s="206"/>
      <c r="BZ33" s="206"/>
      <c r="CA33" s="305"/>
      <c r="CB33" s="299"/>
      <c r="CM33" s="546"/>
      <c r="CN33" s="436"/>
      <c r="CO33" s="513"/>
      <c r="CP33" s="513"/>
      <c r="CQ33" s="316"/>
      <c r="CR33" s="316"/>
      <c r="CS33" s="300"/>
      <c r="CT33" s="206"/>
      <c r="CU33" s="206"/>
      <c r="CV33" s="206"/>
      <c r="CW33" s="206"/>
    </row>
    <row r="34" spans="6:101" x14ac:dyDescent="0.25">
      <c r="F34" s="50"/>
      <c r="G34" s="222" t="s">
        <v>697</v>
      </c>
      <c r="H34" s="223">
        <v>1E-10</v>
      </c>
      <c r="I34" s="53"/>
      <c r="Q34" s="50"/>
      <c r="R34" s="222" t="s">
        <v>678</v>
      </c>
      <c r="S34" s="223" t="str">
        <f>INDEX('STATIC DATA'!C55:AB55,1,MATCH($A$1,'STATIC DATA'!C4:AB4,0))</f>
        <v>ACT/365</v>
      </c>
      <c r="T34" s="53"/>
      <c r="W34" s="5"/>
      <c r="X34" s="5"/>
      <c r="Z34" s="5"/>
      <c r="AB34" s="50"/>
      <c r="AC34" s="245" t="s">
        <v>756</v>
      </c>
      <c r="AD34" s="247" t="s">
        <v>991</v>
      </c>
      <c r="AE34" s="249" t="s">
        <v>801</v>
      </c>
      <c r="AM34" s="50"/>
      <c r="AN34" s="234" t="s">
        <v>756</v>
      </c>
      <c r="AO34" s="247" t="s">
        <v>790</v>
      </c>
      <c r="AP34" s="249" t="s">
        <v>801</v>
      </c>
      <c r="AX34" s="50"/>
      <c r="AY34" s="245" t="s">
        <v>756</v>
      </c>
      <c r="AZ34" s="244" t="s">
        <v>797</v>
      </c>
      <c r="BA34" s="53"/>
      <c r="BI34" s="50"/>
      <c r="BJ34" s="234" t="s">
        <v>819</v>
      </c>
      <c r="BK34" s="259" t="b">
        <v>0</v>
      </c>
      <c r="BL34" s="53"/>
      <c r="BT34" s="50"/>
      <c r="BU34" s="55"/>
      <c r="BV34" s="55"/>
      <c r="BW34" s="55"/>
      <c r="BX34" s="332"/>
      <c r="BY34" s="206"/>
      <c r="BZ34" s="206"/>
      <c r="CA34" s="305"/>
      <c r="CB34" s="299"/>
      <c r="CM34" s="546"/>
      <c r="CN34" s="436"/>
      <c r="CO34" s="513"/>
      <c r="CP34" s="513"/>
      <c r="CQ34" s="316"/>
      <c r="CR34" s="316"/>
      <c r="CS34" s="300"/>
      <c r="CT34" s="206"/>
      <c r="CU34" s="206"/>
      <c r="CV34" s="206"/>
      <c r="CW34" s="206"/>
    </row>
    <row r="35" spans="6:101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W35" s="5"/>
      <c r="X35" s="5"/>
      <c r="Z35" s="5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">
        <v>790</v>
      </c>
      <c r="AP35" s="53"/>
      <c r="AX35" s="50"/>
      <c r="AY35" s="233" t="s">
        <v>757</v>
      </c>
      <c r="AZ35" s="244" t="s">
        <v>797</v>
      </c>
      <c r="BA35" s="53"/>
      <c r="BI35" s="50"/>
      <c r="BJ35" s="85"/>
      <c r="BK35" s="85"/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M35" s="299"/>
      <c r="CN35" s="299"/>
      <c r="CO35" s="299"/>
      <c r="CP35" s="299"/>
      <c r="CQ35" s="299"/>
      <c r="CR35" s="299"/>
      <c r="CS35" s="300"/>
      <c r="CT35" s="206"/>
      <c r="CU35" s="206"/>
      <c r="CV35" s="206"/>
      <c r="CW35" s="206"/>
    </row>
    <row r="36" spans="6:101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DATA'!C7:AB7,1,MATCH($A$1,'STATIC DATA'!$C$4:$AB$4,0))</f>
        <v>2D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54" t="s">
        <v>807</v>
      </c>
      <c r="BK36" s="85"/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M36" s="299"/>
      <c r="CN36" s="299"/>
      <c r="CO36" s="299"/>
      <c r="CP36" s="299"/>
      <c r="CQ36" s="299"/>
      <c r="CR36" s="299"/>
      <c r="CS36" s="300"/>
      <c r="CT36" s="206"/>
      <c r="CU36" s="206"/>
      <c r="CV36" s="206"/>
      <c r="CW36" s="206"/>
    </row>
    <row r="37" spans="6:101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ACT/365</v>
      </c>
      <c r="AE37" s="53"/>
      <c r="AG37" s="2" t="s">
        <v>662</v>
      </c>
      <c r="AM37" s="50"/>
      <c r="AN37" s="222" t="s">
        <v>759</v>
      </c>
      <c r="AO37" s="216" t="s">
        <v>48</v>
      </c>
      <c r="AP37" s="53"/>
      <c r="AX37" s="50"/>
      <c r="AY37" s="222" t="s">
        <v>759</v>
      </c>
      <c r="AZ37" s="216" t="e">
        <f>INDEX('STATIC DATA'!Y55:AY55,1,MATCH($A$1,'STATIC DATA'!Y4:AV4,0))</f>
        <v>#N/A</v>
      </c>
      <c r="BA37" s="53"/>
      <c r="BI37" s="50"/>
      <c r="BJ37" s="245" t="s">
        <v>749</v>
      </c>
      <c r="BK37" s="243" t="s">
        <v>803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M37" s="299"/>
      <c r="CN37" s="299"/>
      <c r="CO37" s="299"/>
      <c r="CP37" s="299"/>
      <c r="CQ37" s="299"/>
      <c r="CR37" s="299"/>
      <c r="CS37" s="300"/>
      <c r="CT37" s="206"/>
      <c r="CU37" s="206"/>
      <c r="CV37" s="206"/>
      <c r="CW37" s="206"/>
    </row>
    <row r="38" spans="6:101" x14ac:dyDescent="0.25">
      <c r="F38" s="50"/>
      <c r="G38" s="225"/>
      <c r="H38" s="226"/>
      <c r="I38" s="53"/>
      <c r="K38" t="s">
        <v>434</v>
      </c>
      <c r="L38" t="str">
        <f>$A$1</f>
        <v>ILS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ILS</v>
      </c>
      <c r="AB38" s="50"/>
      <c r="AC38" s="222" t="s">
        <v>760</v>
      </c>
      <c r="AD38" s="216" t="str">
        <f>INDEX('STATIC DATA'!C39:AB39,1,MATCH($A$1,'STATIC DATA'!$C$4:$AB$4,0))</f>
        <v>NYB</v>
      </c>
      <c r="AE38" s="53"/>
      <c r="AG38" t="s">
        <v>434</v>
      </c>
      <c r="AH38" t="str">
        <f>$A$1</f>
        <v>ILS</v>
      </c>
      <c r="AM38" s="50"/>
      <c r="AN38" s="222" t="s">
        <v>760</v>
      </c>
      <c r="AO38" s="216" t="s">
        <v>608</v>
      </c>
      <c r="AP38" s="53"/>
      <c r="AX38" s="50"/>
      <c r="AY38" s="222" t="s">
        <v>760</v>
      </c>
      <c r="AZ38" s="216" t="str">
        <f>INDEX('STATIC DATA'!C39:AB39,1,MATCH($A$1,'STATIC DATA'!$C$4:$AB$4,0))</f>
        <v>NYB</v>
      </c>
      <c r="BA38" s="53"/>
      <c r="BI38" s="50"/>
      <c r="BJ38" s="233" t="s">
        <v>750</v>
      </c>
      <c r="BK38" s="230" t="b">
        <v>0</v>
      </c>
      <c r="BL38" s="53"/>
      <c r="BN38" t="s">
        <v>434</v>
      </c>
      <c r="BO38" t="str">
        <f>$A$1</f>
        <v>ILS</v>
      </c>
      <c r="BT38" s="50"/>
      <c r="BU38" s="55"/>
      <c r="BV38" s="55"/>
      <c r="BW38" s="55"/>
      <c r="BX38" s="332"/>
      <c r="BY38" s="147" t="s">
        <v>434</v>
      </c>
      <c r="BZ38" s="238" t="s">
        <v>985</v>
      </c>
      <c r="CA38" s="305"/>
      <c r="CB38" s="299"/>
      <c r="CD38" t="s">
        <v>434</v>
      </c>
      <c r="CE38" t="s">
        <v>189</v>
      </c>
      <c r="CJ38" t="s">
        <v>434</v>
      </c>
      <c r="CK38" t="str">
        <f>$A$1</f>
        <v>ILS</v>
      </c>
      <c r="CM38" s="299"/>
      <c r="CN38" s="299"/>
      <c r="CO38" s="299"/>
      <c r="CP38" s="299"/>
      <c r="CQ38" s="299"/>
      <c r="CR38" s="299"/>
      <c r="CS38" s="300"/>
      <c r="CT38" s="206"/>
      <c r="CU38" s="206"/>
      <c r="CV38" s="206"/>
      <c r="CW38" s="206"/>
    </row>
    <row r="39" spans="6:101" x14ac:dyDescent="0.25">
      <c r="F39" s="50"/>
      <c r="G39" s="52"/>
      <c r="H39" s="52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22" t="s">
        <v>751</v>
      </c>
      <c r="BK39" s="216" t="s">
        <v>609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M39" s="299"/>
      <c r="CN39" s="299"/>
      <c r="CO39" s="299"/>
      <c r="CP39" s="299"/>
      <c r="CQ39" s="299"/>
      <c r="CR39" s="299"/>
      <c r="CS39" s="300"/>
      <c r="CT39" s="206"/>
      <c r="CU39" s="206"/>
      <c r="CV39" s="206"/>
      <c r="CW39" s="206"/>
    </row>
    <row r="40" spans="6:101" x14ac:dyDescent="0.25">
      <c r="F40" s="50"/>
      <c r="G40" s="54" t="s">
        <v>702</v>
      </c>
      <c r="H40" s="227" t="s">
        <v>703</v>
      </c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NYB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NYB</v>
      </c>
      <c r="AE40" s="53"/>
      <c r="AG40" t="s">
        <v>438</v>
      </c>
      <c r="AH40" t="s">
        <v>459</v>
      </c>
      <c r="AM40" s="50"/>
      <c r="AN40" s="225" t="s">
        <v>762</v>
      </c>
      <c r="AO40" s="219" t="s">
        <v>608</v>
      </c>
      <c r="AP40" s="53"/>
      <c r="AX40" s="50"/>
      <c r="AY40" s="225" t="s">
        <v>762</v>
      </c>
      <c r="AZ40" s="219" t="str">
        <f>INDEX('STATIC DATA'!C39:AB39,1,MATCH($A$1,'STATIC DATA'!$C$4:$AB$4,0))</f>
        <v>NYB</v>
      </c>
      <c r="BA40" s="53"/>
      <c r="BI40" s="50"/>
      <c r="BJ40" s="222" t="s">
        <v>752</v>
      </c>
      <c r="BK40" s="216" t="str">
        <f>INDEX('STATIC DATA'!C55:AB55,1,MATCH("USD",'STATIC DATA'!C4:AB4,0))</f>
        <v>ACT/360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75">
        <f>TODAY()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M40" s="299"/>
      <c r="CN40" s="299"/>
      <c r="CO40" s="299"/>
      <c r="CP40" s="299"/>
      <c r="CQ40" s="299"/>
      <c r="CR40" s="299"/>
      <c r="CS40" s="300"/>
      <c r="CT40" s="206"/>
      <c r="CU40" s="206"/>
      <c r="CV40" s="206"/>
      <c r="CW40" s="206"/>
    </row>
    <row r="41" spans="6:101" x14ac:dyDescent="0.25">
      <c r="F41" s="50"/>
      <c r="G41" s="220" t="s">
        <v>704</v>
      </c>
      <c r="H41" s="221" t="str">
        <f>INDEX('STATIC DATA'!C43:AB43,1,MATCH(A1,'STATIC DATA'!$C$4:$AB$4,0))</f>
        <v>NYB</v>
      </c>
      <c r="I41" s="53"/>
      <c r="K41" t="s">
        <v>440</v>
      </c>
      <c r="L41" s="200">
        <f>TODAY()</f>
        <v>44083</v>
      </c>
      <c r="Q41" s="50"/>
      <c r="R41" s="222" t="s">
        <v>731</v>
      </c>
      <c r="S41" s="223" t="str">
        <f>INDEX('STATIC DATA'!C55:AB55,1,MATCH($A$1,'STATIC DATA'!C4:AB4,0))</f>
        <v>ACT/365</v>
      </c>
      <c r="T41" s="53"/>
      <c r="V41" t="s">
        <v>440</v>
      </c>
      <c r="W41" s="200">
        <f>TODAY()</f>
        <v>44083</v>
      </c>
      <c r="AB41" s="50"/>
      <c r="AC41" s="225" t="s">
        <v>763</v>
      </c>
      <c r="AD41" s="219" t="str">
        <f>INDEX('STATIC DATA'!C7:AB7,1,MATCH($A$1,'STATIC DATA'!$C$4:$AB$4,0))</f>
        <v>2D</v>
      </c>
      <c r="AE41" s="53"/>
      <c r="AG41" t="s">
        <v>440</v>
      </c>
      <c r="AH41" s="200">
        <f>TODAY()</f>
        <v>44083</v>
      </c>
      <c r="AM41" s="50"/>
      <c r="AN41" s="225" t="s">
        <v>763</v>
      </c>
      <c r="AO41" s="219">
        <v>0</v>
      </c>
      <c r="AP41" s="53"/>
      <c r="AX41" s="50"/>
      <c r="AY41" s="225" t="s">
        <v>763</v>
      </c>
      <c r="AZ41" s="219">
        <v>0</v>
      </c>
      <c r="BA41" s="53"/>
      <c r="BI41" s="50"/>
      <c r="BJ41" s="225" t="s">
        <v>753</v>
      </c>
      <c r="BK41" s="219" t="s">
        <v>458</v>
      </c>
      <c r="BL41" s="249"/>
      <c r="BN41" t="s">
        <v>440</v>
      </c>
      <c r="BO41" s="200">
        <f>TODAY()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DATA'!Z5</f>
        <v>44083</v>
      </c>
      <c r="CJ41" t="s">
        <v>440</v>
      </c>
      <c r="CK41" s="275">
        <f>'STATIC DATA'!Z5</f>
        <v>44083</v>
      </c>
      <c r="CM41" s="299"/>
      <c r="CN41" s="299"/>
      <c r="CO41" s="299"/>
      <c r="CP41" s="299"/>
      <c r="CQ41" s="299"/>
      <c r="CR41" s="299"/>
      <c r="CS41" s="300"/>
      <c r="CT41" s="206"/>
      <c r="CU41" s="206"/>
      <c r="CV41" s="206"/>
      <c r="CW41" s="206"/>
    </row>
    <row r="42" spans="6:101" x14ac:dyDescent="0.25">
      <c r="F42" s="50"/>
      <c r="G42" s="222" t="s">
        <v>705</v>
      </c>
      <c r="H42" s="223" t="str">
        <f>INDEX('STATIC DATA'!C55:AB55,1,MATCH(A1,'STATIC DATA'!C4:AB4,0))</f>
        <v>ACT/365</v>
      </c>
      <c r="I42" s="53"/>
      <c r="Q42" s="50"/>
      <c r="R42" s="222" t="s">
        <v>732</v>
      </c>
      <c r="S42" s="223" t="str">
        <f>INDEX('STATIC DATA'!C7:AB7,1,MATCH($A$1,'STATIC DATA'!$C$4:$AB$4,0))</f>
        <v>2D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2" t="s">
        <v>754</v>
      </c>
      <c r="BK42" s="216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M42" s="299"/>
      <c r="CN42" s="299"/>
      <c r="CO42" s="299"/>
      <c r="CP42" s="299"/>
      <c r="CQ42" s="299"/>
      <c r="CR42" s="299"/>
      <c r="CS42" s="300"/>
      <c r="CT42" s="206"/>
      <c r="CU42" s="206"/>
      <c r="CV42" s="206"/>
      <c r="CW42" s="206"/>
    </row>
    <row r="43" spans="6:101" x14ac:dyDescent="0.25">
      <c r="F43" s="50"/>
      <c r="G43" s="222" t="s">
        <v>706</v>
      </c>
      <c r="H43" s="223" t="str">
        <f>IF(INDEX('STATIC DATA'!C56:AB56,1,MATCH(A1,'STATIC DATA'!C4:AB4,0))="1Y","ANNUAL",(IF(INDEX('STATIC DATA'!C56:AB56,1,MATCH(A1,'STATIC DATA'!C4:AB4,0))="6M","SEMI-ANNUAL", "QUARTERLY")))</f>
        <v>QUARTERLY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NYB</v>
      </c>
      <c r="AE43" s="53"/>
      <c r="AG43" s="2" t="s">
        <v>441</v>
      </c>
      <c r="AM43" s="50"/>
      <c r="AN43" s="222" t="s">
        <v>765</v>
      </c>
      <c r="AO43" s="216" t="s">
        <v>608</v>
      </c>
      <c r="AP43" s="53"/>
      <c r="AX43" s="50"/>
      <c r="AY43" s="222" t="s">
        <v>765</v>
      </c>
      <c r="AZ43" s="216" t="s">
        <v>608</v>
      </c>
      <c r="BA43" s="53"/>
      <c r="BI43" s="50"/>
      <c r="BJ43" s="222" t="s">
        <v>755</v>
      </c>
      <c r="BK43" s="216" t="str">
        <f>INDEX('STATIC DATA'!C7:AB7,1,MATCH($A$1,'STATIC DATA'!$C$4:$AB$4,0))</f>
        <v>2D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M43" s="299"/>
      <c r="CN43" s="299"/>
      <c r="CO43" s="299"/>
      <c r="CP43" s="299"/>
      <c r="CQ43" s="299"/>
      <c r="CR43" s="299"/>
      <c r="CS43" s="300"/>
      <c r="CT43" s="206"/>
      <c r="CU43" s="206"/>
      <c r="CV43" s="206"/>
      <c r="CW43" s="206"/>
    </row>
    <row r="44" spans="6:101" x14ac:dyDescent="0.25">
      <c r="F44" s="50"/>
      <c r="G44" s="225" t="s">
        <v>707</v>
      </c>
      <c r="H44" s="226" t="s">
        <v>687</v>
      </c>
      <c r="I44" s="53"/>
      <c r="K44" t="s">
        <v>442</v>
      </c>
      <c r="L44" s="206" t="str">
        <f>L38&amp;"_"&amp;L39&amp;"_CURVE_MARKETDATA"</f>
        <v>ILS_OIS_CURVE_MARKETDATA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ILS_SWAP_3M_CURVE_MARKETDATA</v>
      </c>
      <c r="AB44" s="50"/>
      <c r="AC44" s="222" t="s">
        <v>766</v>
      </c>
      <c r="AD44" s="216" t="str">
        <f>INDEX('STATIC DATA'!C55:AB55,1,MATCH($A$1,'STATIC DATA'!C4:AB4,0))</f>
        <v>ACT/365</v>
      </c>
      <c r="AE44" s="53"/>
      <c r="AG44" t="s">
        <v>442</v>
      </c>
      <c r="AH44" t="str">
        <f>A1&amp;"_BASIS_3X6_MARKETDATA"</f>
        <v>ILS_BASIS_3X6_MARKETDATA</v>
      </c>
      <c r="AM44" s="50"/>
      <c r="AN44" s="222" t="s">
        <v>766</v>
      </c>
      <c r="AO44" s="216" t="s">
        <v>48</v>
      </c>
      <c r="AP44" s="53"/>
      <c r="AX44" s="50"/>
      <c r="AY44" s="222" t="s">
        <v>766</v>
      </c>
      <c r="AZ44" s="216" t="e">
        <f>INDEX('STATIC DATA'!Y55:AY55,1,MATCH($A$1,'STATIC DATA'!Y4:AV4,0))</f>
        <v>#N/A</v>
      </c>
      <c r="BA44" s="53"/>
      <c r="BI44" s="50"/>
      <c r="BJ44" s="234" t="s">
        <v>757</v>
      </c>
      <c r="BK44" s="260" t="s">
        <v>773</v>
      </c>
      <c r="BL44" s="53"/>
      <c r="BN44" t="s">
        <v>442</v>
      </c>
      <c r="BO44" t="str">
        <f>A1&amp;"_"&amp;BO39&amp;"_CURVE_MARKETDATA"</f>
        <v>ILS_XCCYBASIS_CURVE_MARKETDATA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987</v>
      </c>
      <c r="CA44" s="325"/>
      <c r="CB44" s="303"/>
      <c r="CD44" t="s">
        <v>442</v>
      </c>
      <c r="CE44" t="str">
        <f>$A$1&amp;"_FXFWD_MARKET_DATA"</f>
        <v>ILS_FXFWD_MARKET_DATA</v>
      </c>
      <c r="CJ44" t="s">
        <v>442</v>
      </c>
      <c r="CK44" t="str">
        <f>$A$1&amp;"_FXFWD_MARKET_DATA"</f>
        <v>ILS_FXFWD_MARKET_DATA</v>
      </c>
      <c r="CM44" s="299"/>
      <c r="CN44" s="299"/>
      <c r="CO44" s="299"/>
      <c r="CP44" s="299"/>
      <c r="CQ44" s="299"/>
      <c r="CR44" s="299"/>
      <c r="CS44" s="300"/>
      <c r="CT44" s="206"/>
      <c r="CU44" s="206"/>
      <c r="CV44" s="206"/>
      <c r="CW44" s="206"/>
    </row>
    <row r="45" spans="6:101" x14ac:dyDescent="0.25">
      <c r="F45" s="50"/>
      <c r="G45" s="52"/>
      <c r="H45" s="52"/>
      <c r="I45" s="53"/>
      <c r="K45" t="s">
        <v>444</v>
      </c>
      <c r="L45" s="206" t="str">
        <f>_xll.meLWOCurveMarketDataCreate(L44,"MarketDataProperties",K38:L41,"OIS",K7:L20)</f>
        <v>ILS_OIS_CURVE_MARKETDATA@133:42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_xll.meLWOCurveMarketDataCreate(W44,V37,V38:W42,"LIBORFIXINGS",V7:X11,"FRAS",V12:X16,"SWAPS",V17:X26)</f>
        <v>ILS_SWAP_3M_CURVE_MARKETDATA@131:42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_xll.meLWOCurveMarketDataCreate(AH44,"MARKETDATAPROPERTIES",AG38:AH42,"BASISSWAPS",AG7:AI16)</f>
        <v>ILS_BASIS_3X6_MARKETDATA@5:42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34" t="s">
        <v>756</v>
      </c>
      <c r="BK45" s="260" t="s">
        <v>809</v>
      </c>
      <c r="BL45" s="53"/>
      <c r="BN45" t="s">
        <v>444</v>
      </c>
      <c r="BO45" t="str">
        <f>_xll.meLWOCurveMarketDataCreate(BO44,"MARKETDATAPROPERTIES",BN38:BO42,"FXSPOTS",BN7:BP7,"FXFWDS",BN8:BP15,"XCCYSWAPS",BN16:BP21)</f>
        <v>ILS_XCCYBASIS_CURVE_MARKETDATA@132:42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_xll.meLWOCurveMarketDataCreate(BZ44,"MARKETDATAPROPERTIES",BY38:BZ41,"FXSPOTS",BZ7:CA7,"FXFWDS",BY8:CA16)</f>
        <v>MKTDATA_USDILS@287:42</v>
      </c>
      <c r="CA45" s="313"/>
      <c r="CB45" s="313"/>
      <c r="CD45" t="s">
        <v>444</v>
      </c>
      <c r="CE45" t="str">
        <f>_xll.meLWOCurveMarketDataCreate(CE44,CD37,CD38:CE41)</f>
        <v>ILS_FXFWD_MARKET_DATA@38:42</v>
      </c>
      <c r="CJ45" t="s">
        <v>444</v>
      </c>
      <c r="CK45" t="str">
        <f>_xll.meLWOCurveMarketDataCreate(CK44,CJ37,CJ38:CK41)</f>
        <v>ILS_FXFWD_MARKET_DATA@20:42</v>
      </c>
      <c r="CM45" s="299"/>
      <c r="CN45" s="299"/>
      <c r="CO45" s="299"/>
      <c r="CP45" s="299"/>
      <c r="CQ45" s="299"/>
      <c r="CR45" s="299"/>
      <c r="CS45" s="300"/>
      <c r="CT45" s="206"/>
      <c r="CU45" s="206"/>
      <c r="CV45" s="206"/>
      <c r="CW45" s="206"/>
    </row>
    <row r="46" spans="6:101" x14ac:dyDescent="0.25">
      <c r="F46" s="50"/>
      <c r="G46" s="54" t="s">
        <v>428</v>
      </c>
      <c r="H46" s="227" t="s">
        <v>708</v>
      </c>
      <c r="I46" s="53"/>
      <c r="L46" s="206"/>
      <c r="Q46" s="50"/>
      <c r="R46" s="52" t="s">
        <v>713</v>
      </c>
      <c r="S46" s="52" t="s">
        <v>713</v>
      </c>
      <c r="T46" s="53"/>
      <c r="AB46" s="50"/>
      <c r="AC46" s="222" t="s">
        <v>769</v>
      </c>
      <c r="AD46" s="216" t="s">
        <v>687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45" t="s">
        <v>758</v>
      </c>
      <c r="BK46" s="260" t="s">
        <v>49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M46" s="299"/>
      <c r="CN46" s="299"/>
      <c r="CO46" s="299"/>
      <c r="CP46" s="299"/>
      <c r="CQ46" s="299"/>
      <c r="CR46" s="299"/>
      <c r="CS46" s="300"/>
      <c r="CT46" s="206"/>
      <c r="CU46" s="206"/>
      <c r="CV46" s="206"/>
      <c r="CW46" s="206"/>
    </row>
    <row r="47" spans="6:101" x14ac:dyDescent="0.25">
      <c r="F47" s="50"/>
      <c r="G47" s="220" t="s">
        <v>677</v>
      </c>
      <c r="H47" s="221" t="str">
        <f>INDEX('STATIC DATA'!C43:AB43,1,MATCH(A1,'STATIC DATA'!$C$4:$AB$4,0))</f>
        <v>NYB</v>
      </c>
      <c r="I47" s="53"/>
      <c r="K47" s="2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25" t="s">
        <v>770</v>
      </c>
      <c r="AD47" s="219" t="str">
        <f>INDEX('STATIC DATA'!C7:AB7,1,MATCH($A$1,'STATIC DATA'!$C$4:$AB$4,0))</f>
        <v>2D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22" t="s">
        <v>759</v>
      </c>
      <c r="BK47" s="216" t="str">
        <f>INDEX('STATIC DATA'!C55:AB55,1,MATCH("USD",'STATIC DATA'!C4:AB4,0))</f>
        <v>ACT/360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M47" s="299"/>
      <c r="CN47" s="299"/>
      <c r="CO47" s="299"/>
      <c r="CP47" s="299"/>
      <c r="CQ47" s="299"/>
      <c r="CR47" s="299"/>
      <c r="CS47" s="300"/>
      <c r="CT47" s="206"/>
      <c r="CU47" s="206"/>
      <c r="CV47" s="206"/>
      <c r="CW47" s="206"/>
    </row>
    <row r="48" spans="6:101" x14ac:dyDescent="0.25">
      <c r="F48" s="50"/>
      <c r="G48" s="222" t="s">
        <v>709</v>
      </c>
      <c r="H48" s="223" t="str">
        <f>INDEX('STATIC DATA'!C53:AB53,1,MATCH(A1,'STATIC DATA'!C4:AB4,0))</f>
        <v>ACT/365</v>
      </c>
      <c r="I48" s="53"/>
      <c r="K48" t="s">
        <v>442</v>
      </c>
      <c r="L48" s="206" t="str">
        <f>L38&amp;"_"&amp;L39&amp;"_CURVE"</f>
        <v>ILS_OIS_CURVE</v>
      </c>
      <c r="Q48" s="50"/>
      <c r="R48" s="220" t="s">
        <v>704</v>
      </c>
      <c r="S48" s="221" t="str">
        <f>INDEX('STATIC DATA'!C43:AB43,1,MATCH($A$1,'STATIC DATA'!$C$4:$AB$4,0))</f>
        <v>NYB</v>
      </c>
      <c r="T48" s="53"/>
      <c r="V48" t="s">
        <v>442</v>
      </c>
      <c r="W48" t="str">
        <f>W38&amp;"_"&amp;W39&amp;"_"&amp;INDEX('STATIC DATA'!$C$56:$AB$56,1,MATCH($W38,'STATIC DATA'!$C$4:$AB$4,0))&amp;"_CURVE"</f>
        <v>ILS_SWAP_3M_CURVE</v>
      </c>
      <c r="AB48" s="50"/>
      <c r="AC48" s="234" t="s">
        <v>771</v>
      </c>
      <c r="AD48" s="242" t="s">
        <v>1052</v>
      </c>
      <c r="AE48" s="53"/>
      <c r="AG48" t="s">
        <v>442</v>
      </c>
      <c r="AH48" t="str">
        <f>A1&amp;"_BASIS_6M_CURVE"</f>
        <v>ILS_BASIS_6M_CURVE</v>
      </c>
      <c r="AM48" s="50"/>
      <c r="AN48" s="225" t="s">
        <v>770</v>
      </c>
      <c r="AO48" s="219">
        <v>0</v>
      </c>
      <c r="AP48" s="53"/>
      <c r="AX48" s="50"/>
      <c r="AY48" s="225" t="s">
        <v>770</v>
      </c>
      <c r="AZ48" s="219">
        <v>0</v>
      </c>
      <c r="BA48" s="53"/>
      <c r="BI48" s="50"/>
      <c r="BJ48" s="222" t="s">
        <v>760</v>
      </c>
      <c r="BK48" s="216" t="s">
        <v>609</v>
      </c>
      <c r="BL48" s="53"/>
      <c r="BN48" t="s">
        <v>442</v>
      </c>
      <c r="BO48" t="str">
        <f>A1&amp;"_"&amp;BO39&amp;"_CURVE"</f>
        <v>ILS_XCCYBASIS_CURVE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1610</v>
      </c>
      <c r="CJ48" t="s">
        <v>442</v>
      </c>
      <c r="CK48" t="s">
        <v>1613</v>
      </c>
      <c r="CM48" s="299"/>
      <c r="CN48" s="299"/>
      <c r="CO48" s="299"/>
      <c r="CP48" s="299"/>
      <c r="CQ48" s="299"/>
      <c r="CR48" s="299"/>
      <c r="CS48" s="300"/>
      <c r="CT48" s="206"/>
      <c r="CU48" s="206"/>
      <c r="CV48" s="206"/>
      <c r="CW48" s="206"/>
    </row>
    <row r="49" spans="6:101" x14ac:dyDescent="0.25">
      <c r="F49" s="50"/>
      <c r="G49" s="222" t="s">
        <v>710</v>
      </c>
      <c r="H49" s="223" t="str">
        <f>IF(INDEX('STATIC DATA'!C54:AB54,1,MATCH(A1,'STATIC DATA'!C4:AB4,0))="1Y","ANNUAL",(IF(INDEX('STATIC DATA'!C54:AB54,1,MATCH(A1,'STATIC DATA'!C4:AB4,0))="6M","SEMI-ANNUAL", "QUARTERLY")))</f>
        <v>ANNUAL</v>
      </c>
      <c r="I49" s="53"/>
      <c r="K49" t="s">
        <v>450</v>
      </c>
      <c r="L49" s="206" t="str">
        <f>H8</f>
        <v>ILS_OIS@375:6</v>
      </c>
      <c r="Q49" s="50"/>
      <c r="R49" s="222" t="s">
        <v>731</v>
      </c>
      <c r="S49" s="223" t="str">
        <f>INDEX('STATIC DATA'!C53:AB53,1,MATCH(A1,'STATIC DATA'!C4:AB4,0))</f>
        <v>ACT/365</v>
      </c>
      <c r="T49" s="53"/>
      <c r="V49" t="s">
        <v>450</v>
      </c>
      <c r="W49" t="str">
        <f>S8</f>
        <v>ILS_SWAP_3M@371:6</v>
      </c>
      <c r="AB49" s="50"/>
      <c r="AC49" s="234" t="s">
        <v>772</v>
      </c>
      <c r="AD49" s="242" t="s">
        <v>1052</v>
      </c>
      <c r="AE49" s="53"/>
      <c r="AG49" t="s">
        <v>450</v>
      </c>
      <c r="AH49" t="str">
        <f>AD8</f>
        <v>ILS_BASIS_3M6M@374:6</v>
      </c>
      <c r="AM49" s="50"/>
      <c r="AN49" s="234" t="s">
        <v>771</v>
      </c>
      <c r="AO49" s="242" t="s">
        <v>792</v>
      </c>
      <c r="AP49" s="53"/>
      <c r="AX49" s="50"/>
      <c r="AY49" s="234" t="s">
        <v>771</v>
      </c>
      <c r="AZ49" s="248" t="s">
        <v>790</v>
      </c>
      <c r="BA49" s="249" t="s">
        <v>801</v>
      </c>
      <c r="BI49" s="50"/>
      <c r="BJ49" s="225" t="s">
        <v>761</v>
      </c>
      <c r="BK49" s="219" t="s">
        <v>458</v>
      </c>
      <c r="BL49" s="53"/>
      <c r="BN49" t="s">
        <v>450</v>
      </c>
      <c r="BO49" t="str">
        <f>BK8</f>
        <v>ILS_XCCY@376:6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ILS_EURCSA@370:6</v>
      </c>
      <c r="CJ49" t="s">
        <v>450</v>
      </c>
      <c r="CK49" t="str">
        <f>CK8</f>
        <v>ILS_JPYCSA@372:6</v>
      </c>
      <c r="CM49" s="299"/>
      <c r="CN49" s="299"/>
      <c r="CO49" s="299"/>
      <c r="CP49" s="299"/>
      <c r="CQ49" s="299"/>
      <c r="CR49" s="299"/>
      <c r="CS49" s="300"/>
      <c r="CT49" s="206"/>
      <c r="CU49" s="206"/>
      <c r="CV49" s="206"/>
      <c r="CW49" s="206"/>
    </row>
    <row r="50" spans="6:101" x14ac:dyDescent="0.25">
      <c r="F50" s="50"/>
      <c r="G50" s="225" t="s">
        <v>686</v>
      </c>
      <c r="H50" s="226" t="s">
        <v>687</v>
      </c>
      <c r="I50" s="53"/>
      <c r="K50" t="s">
        <v>452</v>
      </c>
      <c r="L50" s="206" t="str">
        <f>$A$1&amp;"YC"</f>
        <v>ILSYC</v>
      </c>
      <c r="Q50" s="50"/>
      <c r="R50" s="222" t="s">
        <v>734</v>
      </c>
      <c r="S50" s="223" t="str">
        <f>INDEX('STATIC DATA'!C55:AB55,1,MATCH(A1,'STATIC DATA'!C4:AB4,0))</f>
        <v>ACT/365</v>
      </c>
      <c r="T50" s="53"/>
      <c r="V50" t="s">
        <v>452</v>
      </c>
      <c r="W50" t="str">
        <f>$A$1&amp;"YC"</f>
        <v>ILSYC</v>
      </c>
      <c r="AB50" s="50"/>
      <c r="AC50" s="245" t="s">
        <v>774</v>
      </c>
      <c r="AD50" s="244" t="s">
        <v>49</v>
      </c>
      <c r="AE50" s="53"/>
      <c r="AG50" t="s">
        <v>452</v>
      </c>
      <c r="AH50" t="str">
        <f>$A$1&amp;"YC"</f>
        <v>ILSYC</v>
      </c>
      <c r="AM50" s="50"/>
      <c r="AN50" s="234" t="s">
        <v>772</v>
      </c>
      <c r="AO50" s="242" t="s">
        <v>792</v>
      </c>
      <c r="AP50" s="53"/>
      <c r="AX50" s="50"/>
      <c r="AY50" s="234" t="s">
        <v>772</v>
      </c>
      <c r="AZ50" s="242" t="s">
        <v>790</v>
      </c>
      <c r="BA50" s="53"/>
      <c r="BI50" s="50"/>
      <c r="BJ50" s="225" t="s">
        <v>762</v>
      </c>
      <c r="BK50" s="216" t="s">
        <v>609</v>
      </c>
      <c r="BL50" s="53"/>
      <c r="BN50" t="s">
        <v>452</v>
      </c>
      <c r="BO50" t="str">
        <f>A1&amp;"YC"</f>
        <v>ILSYC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1028</v>
      </c>
      <c r="CJ50" t="s">
        <v>452</v>
      </c>
      <c r="CK50" t="s">
        <v>1028</v>
      </c>
      <c r="CM50" s="299"/>
      <c r="CN50" s="299"/>
      <c r="CO50" s="299"/>
      <c r="CP50" s="299"/>
      <c r="CQ50" s="299"/>
      <c r="CR50" s="299"/>
      <c r="CS50" s="300"/>
      <c r="CT50" s="206"/>
      <c r="CU50" s="206"/>
      <c r="CV50" s="206"/>
      <c r="CW50" s="206"/>
    </row>
    <row r="51" spans="6:101" x14ac:dyDescent="0.25">
      <c r="F51" s="50"/>
      <c r="G51" s="52"/>
      <c r="H51" s="52"/>
      <c r="I51" s="53"/>
      <c r="K51" t="s">
        <v>453</v>
      </c>
      <c r="Q51" s="50"/>
      <c r="R51" s="222" t="s">
        <v>706</v>
      </c>
      <c r="S51" s="223" t="str">
        <f>IF(INDEX('STATIC DATA'!C54:AB54,1,MATCH(A1,'STATIC DATA'!C4:AB4,0))="1Y","ANNUAL",(IF(INDEX('STATIC DATA'!C54:AB54,1,MATCH(A1,'STATIC DATA'!C4:AB4,0))="6M","SEMI-ANNUAL", "QUARTERLY")))</f>
        <v>ANNUAL</v>
      </c>
      <c r="T51" s="53"/>
      <c r="V51" t="s">
        <v>453</v>
      </c>
      <c r="AB51" s="50"/>
      <c r="AC51" s="222" t="s">
        <v>775</v>
      </c>
      <c r="AD51" s="216" t="str">
        <f>INDEX('STATIC DATA'!C55:AB55,1,MATCH($A$1,'STATIC DATA'!C4:AB4,0))</f>
        <v>ACT/365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5" t="s">
        <v>763</v>
      </c>
      <c r="BK51" s="219" t="str">
        <f>INDEX('STATIC DATA'!C7:AB7,1,MATCH($A$1,'STATIC DATA'!$C$4:$AB$4,0))</f>
        <v>2D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M51" s="299"/>
      <c r="CN51" s="299"/>
      <c r="CO51" s="299"/>
      <c r="CP51" s="299"/>
      <c r="CQ51" s="299"/>
      <c r="CR51" s="299"/>
      <c r="CS51" s="300"/>
      <c r="CT51" s="206"/>
      <c r="CU51" s="206"/>
      <c r="CV51" s="206"/>
      <c r="CW51" s="206"/>
    </row>
    <row r="52" spans="6:101" x14ac:dyDescent="0.25">
      <c r="F52" s="50"/>
      <c r="G52" s="52"/>
      <c r="H52" s="52"/>
      <c r="I52" s="53"/>
      <c r="Q52" s="50"/>
      <c r="R52" s="222" t="s">
        <v>735</v>
      </c>
      <c r="S52" s="223" t="str">
        <f>IF(INDEX('STATIC DATA'!C56:AB56,1,MATCH(A1,'STATIC DATA'!C4:AB4,0))="1Y","ANNUAL",(IF(INDEX('STATIC DATA'!C56:AB56,1,MATCH(A1,'STATIC DATA'!C4:AB4,0))="6M","SEMI-ANNUAL", "QUARTERLY")))</f>
        <v>QUARTERLY</v>
      </c>
      <c r="T52" s="53"/>
      <c r="AB52" s="50"/>
      <c r="AC52" s="222" t="s">
        <v>776</v>
      </c>
      <c r="AD52" s="216" t="str">
        <f>INDEX('STATIC DATA'!C39:AB39,1,MATCH($A$1,'STATIC DATA'!$C$4:$AB$4,0))</f>
        <v>NYB</v>
      </c>
      <c r="AE52" s="53"/>
      <c r="AM52" s="50"/>
      <c r="AN52" s="222" t="s">
        <v>775</v>
      </c>
      <c r="AO52" s="216" t="s">
        <v>48</v>
      </c>
      <c r="AP52" s="53"/>
      <c r="AX52" s="50"/>
      <c r="AY52" s="222" t="s">
        <v>775</v>
      </c>
      <c r="AZ52" s="216" t="e">
        <f>INDEX('STATIC DATA'!Y55:AY55,1,MATCH($A$1,'STATIC DATA'!Y4:AV4,0))</f>
        <v>#N/A</v>
      </c>
      <c r="BA52" s="53"/>
      <c r="BI52" s="50"/>
      <c r="BJ52" s="220" t="s">
        <v>764</v>
      </c>
      <c r="BK52" s="238" t="s">
        <v>687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M52" s="299"/>
      <c r="CN52" s="299"/>
      <c r="CO52" s="299"/>
      <c r="CP52" s="299"/>
      <c r="CQ52" s="299"/>
      <c r="CR52" s="299"/>
      <c r="CS52" s="300"/>
      <c r="CT52" s="206"/>
      <c r="CU52" s="206"/>
      <c r="CV52" s="206"/>
      <c r="CW52" s="206"/>
    </row>
    <row r="53" spans="6:101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2" t="s">
        <v>777</v>
      </c>
      <c r="AD53" s="216" t="s">
        <v>721</v>
      </c>
      <c r="AE53" s="53"/>
      <c r="AG53" s="2" t="s">
        <v>454</v>
      </c>
      <c r="AM53" s="50"/>
      <c r="AN53" s="222" t="s">
        <v>776</v>
      </c>
      <c r="AO53" s="216" t="s">
        <v>608</v>
      </c>
      <c r="AP53" s="53"/>
      <c r="AX53" s="50"/>
      <c r="AY53" s="222" t="s">
        <v>776</v>
      </c>
      <c r="AZ53" s="216" t="str">
        <f>INDEX('STATIC DATA'!C39:AB39,1,MATCH($A$1,'STATIC DATA'!$C$4:$AB$4,0))</f>
        <v>NYB</v>
      </c>
      <c r="BA53" s="53"/>
      <c r="BI53" s="50"/>
      <c r="BJ53" s="222" t="s">
        <v>765</v>
      </c>
      <c r="BK53" s="216" t="s">
        <v>606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M53" s="332"/>
      <c r="CN53" s="332"/>
      <c r="CO53" s="332"/>
      <c r="CP53" s="332"/>
      <c r="CQ53" s="332"/>
      <c r="CR53" s="332"/>
      <c r="CS53" s="300"/>
      <c r="CT53" s="206"/>
      <c r="CU53" s="206"/>
      <c r="CV53" s="206"/>
      <c r="CW53" s="206"/>
    </row>
    <row r="54" spans="6:101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ILS_OIS_CURVE@134:10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IF(ExistsILSOIS,_xll.meLWOCurveCalibrate(W48,W49,W45,W50),"LOAD DEPENDENCY")</f>
        <v>ILS_SWAP_3M_CURVE@453:10</v>
      </c>
      <c r="AB54" s="50"/>
      <c r="AC54" s="222" t="s">
        <v>778</v>
      </c>
      <c r="AD54" s="216" t="str">
        <f>INDEX('STATIC DATA'!C39:AB39,1,MATCH($A$1,'STATIC DATA'!$C$4:$AB$4,0))</f>
        <v>NYB</v>
      </c>
      <c r="AE54" s="53"/>
      <c r="AG54" t="s">
        <v>442</v>
      </c>
      <c r="AH54" s="647" t="str">
        <f t="array" ref="AH54:AH57">IF(ExistsILS3M,_xll.meLWOCurveCalibrate($AH$48,$AH$49,$AH$45,$AH$50),"LOAD DEPENDENCY")</f>
        <v>ILS_BASIS_6M_CURVE@454:10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766</v>
      </c>
      <c r="BK54" s="216" t="str">
        <f>INDEX('STATIC DATA'!C55:AB55,1,MATCH($A$1,'STATIC DATA'!C4:AB4,0))</f>
        <v>ACT/365</v>
      </c>
      <c r="BL54" s="53"/>
      <c r="BN54" t="s">
        <v>442</v>
      </c>
      <c r="BO54" s="647" t="str">
        <f t="array" ref="BO54:BO57">IF(AND(ExistsILS3M,ExistsUSD3M),_xll.meLWOCurveCalibrate($BO$48,$BO$49,$BO$45,$BO$50,$BO$51),"LOAD DEPENDENCY")</f>
        <v>ILS_XCCYBASIS_CURVE@490:2</v>
      </c>
      <c r="BT54" s="50"/>
      <c r="BU54" s="55"/>
      <c r="BV54" s="55"/>
      <c r="BW54" s="55"/>
      <c r="BX54" s="332"/>
      <c r="BY54" s="270" t="s">
        <v>831</v>
      </c>
      <c r="BZ54" s="271" t="s">
        <v>988</v>
      </c>
      <c r="CA54" s="283"/>
      <c r="CB54" s="299"/>
      <c r="CD54" t="s">
        <v>442</v>
      </c>
      <c r="CE54" s="647" t="str">
        <f t="array" ref="CE54:CE57">IF(AND(ExistsILSXCCY,ExistsEURXCCY),_xll.meLWOCurveCalibrate(CE48,CE49,CE45,CE50,CE51),"LOAD DEPENDENCY")</f>
        <v>ILS_EURCSA_CURVE@516:2</v>
      </c>
      <c r="CJ54" t="s">
        <v>442</v>
      </c>
      <c r="CK54" s="647" t="str">
        <f t="array" ref="CK54:CK57">IF(AND(ExistsILSXCCY,ExistsJPYXCCY),_xll.meLWOCurveCalibrate(CK48,CK49,CK45,CK50,CK51),"LOAD DEPENDENCY")</f>
        <v>ILS_JPYCSA_CURVE@520:2</v>
      </c>
      <c r="CM54" s="332"/>
      <c r="CN54" s="332"/>
      <c r="CO54" s="332"/>
      <c r="CP54" s="332"/>
      <c r="CQ54" s="332"/>
      <c r="CR54" s="332"/>
      <c r="CS54" s="300"/>
      <c r="CT54" s="206"/>
      <c r="CU54" s="206"/>
      <c r="CV54" s="206"/>
      <c r="CW54" s="206"/>
    </row>
    <row r="55" spans="6:101" x14ac:dyDescent="0.25">
      <c r="F55" s="50"/>
      <c r="G55" s="52"/>
      <c r="H55" s="52"/>
      <c r="I55" s="53"/>
      <c r="K55" t="s">
        <v>455</v>
      </c>
      <c r="L55" t="str">
        <v>ILSYC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ILSYC</v>
      </c>
      <c r="AB55" s="50"/>
      <c r="AC55" s="222" t="s">
        <v>779</v>
      </c>
      <c r="AD55" s="216" t="str">
        <f>INDEX('STATIC DATA'!C7:AB7,1,MATCH($A$1,'STATIC DATA'!$C$4:$AB$4,0))</f>
        <v>2D</v>
      </c>
      <c r="AE55" s="53"/>
      <c r="AG55" t="s">
        <v>455</v>
      </c>
      <c r="AH55" t="str">
        <v>ILSYC</v>
      </c>
      <c r="AM55" s="50"/>
      <c r="AN55" s="222" t="s">
        <v>778</v>
      </c>
      <c r="AO55" s="216" t="s">
        <v>608</v>
      </c>
      <c r="AP55" s="53"/>
      <c r="AX55" s="50"/>
      <c r="AY55" s="222" t="s">
        <v>778</v>
      </c>
      <c r="AZ55" s="216" t="str">
        <f>INDEX('STATIC DATA'!C39:AB39,1,MATCH($A$1,'STATIC DATA'!$C$4:$AB$4,0))</f>
        <v>NYB</v>
      </c>
      <c r="BA55" s="53"/>
      <c r="BI55" s="50"/>
      <c r="BJ55" s="222" t="s">
        <v>767</v>
      </c>
      <c r="BK55" s="216" t="s">
        <v>458</v>
      </c>
      <c r="BL55" s="53"/>
      <c r="BN55" t="s">
        <v>455</v>
      </c>
      <c r="BO55" t="str">
        <v>ILSYC</v>
      </c>
      <c r="BT55" s="50"/>
      <c r="BU55" s="55"/>
      <c r="BV55" s="55"/>
      <c r="BW55" s="55"/>
      <c r="BX55" s="332"/>
      <c r="BZ55" s="263" t="str">
        <f>_xll.meLWOFXCurveCreate(BZ54,BV8,BZ45)</f>
        <v>FX_CURVE_USDILS@292:10</v>
      </c>
      <c r="CA55" s="283"/>
      <c r="CB55" s="299"/>
      <c r="CD55" t="s">
        <v>455</v>
      </c>
      <c r="CE55" t="str">
        <v>ILSYC</v>
      </c>
      <c r="CJ55" t="s">
        <v>455</v>
      </c>
      <c r="CK55" t="str">
        <v>ILSYC</v>
      </c>
      <c r="CM55" s="332"/>
      <c r="CN55" s="332"/>
      <c r="CO55" s="332"/>
      <c r="CP55" s="332"/>
      <c r="CQ55" s="332"/>
      <c r="CR55" s="332"/>
      <c r="CS55" s="300"/>
      <c r="CT55" s="206"/>
      <c r="CU55" s="206"/>
      <c r="CV55" s="206"/>
      <c r="CW55" s="206"/>
    </row>
    <row r="56" spans="6:101" x14ac:dyDescent="0.25">
      <c r="F56" s="50"/>
      <c r="G56" s="52"/>
      <c r="H56" s="52"/>
      <c r="I56" s="53"/>
      <c r="K56" t="s">
        <v>456</v>
      </c>
      <c r="L56" t="str">
        <v>OIS:ILSOIS</v>
      </c>
      <c r="Q56" s="50"/>
      <c r="R56" s="222" t="s">
        <v>739</v>
      </c>
      <c r="S56" s="223" t="str">
        <f>INDEX('STATIC DATA'!C7:AB7,1,MATCH($A$1,'STATIC DATA'!$C$4:$AB$4,0))</f>
        <v>2D</v>
      </c>
      <c r="T56" s="53"/>
      <c r="V56" t="s">
        <v>456</v>
      </c>
      <c r="W56" s="206" t="str">
        <v>STD:TEL3M</v>
      </c>
      <c r="AB56" s="50"/>
      <c r="AC56" s="222" t="s">
        <v>780</v>
      </c>
      <c r="AD56" s="216" t="s">
        <v>687</v>
      </c>
      <c r="AE56" s="53"/>
      <c r="AG56" t="s">
        <v>456</v>
      </c>
      <c r="AH56" t="str">
        <v>3M6MBasis:TEL6M</v>
      </c>
      <c r="AM56" s="50"/>
      <c r="AN56" s="222" t="s">
        <v>779</v>
      </c>
      <c r="AO56" s="216">
        <v>0</v>
      </c>
      <c r="AP56" s="53"/>
      <c r="AX56" s="50"/>
      <c r="AY56" s="222" t="s">
        <v>779</v>
      </c>
      <c r="AZ56" s="216">
        <v>0</v>
      </c>
      <c r="BA56" s="53"/>
      <c r="BI56" s="50"/>
      <c r="BJ56" s="222" t="s">
        <v>769</v>
      </c>
      <c r="BK56" s="239" t="s">
        <v>687</v>
      </c>
      <c r="BL56" s="53"/>
      <c r="BN56" t="s">
        <v>456</v>
      </c>
      <c r="BO56" t="str">
        <v>XccyBasis:ILSDF_USDCSA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FwdFXConstEUR:ILSDF_EURCSA</v>
      </c>
      <c r="CJ56" t="s">
        <v>456</v>
      </c>
      <c r="CK56" t="str">
        <v>FwdFXConstJPY:ILSDF_JPYCSA</v>
      </c>
      <c r="CM56" s="332"/>
      <c r="CN56" s="332"/>
      <c r="CO56" s="332"/>
      <c r="CP56" s="332"/>
      <c r="CQ56" s="332"/>
      <c r="CR56" s="332"/>
      <c r="CS56" s="300"/>
      <c r="CT56" s="206"/>
      <c r="CU56" s="206"/>
      <c r="CV56" s="206"/>
      <c r="CW56" s="206"/>
    </row>
    <row r="57" spans="6:101" x14ac:dyDescent="0.25">
      <c r="F57" s="50"/>
      <c r="G57" s="52"/>
      <c r="H57" s="52"/>
      <c r="I57" s="53"/>
      <c r="K57" t="s">
        <v>664</v>
      </c>
      <c r="L57" t="str">
        <v>0.009000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0.005000 sec</v>
      </c>
      <c r="AB57" s="50"/>
      <c r="AC57" s="233" t="s">
        <v>781</v>
      </c>
      <c r="AD57" s="241" t="s">
        <v>782</v>
      </c>
      <c r="AE57" s="53"/>
      <c r="AG57" t="s">
        <v>664</v>
      </c>
      <c r="AH57" t="str">
        <v>0.007000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22" t="s">
        <v>770</v>
      </c>
      <c r="BK57" s="216" t="str">
        <f>INDEX('STATIC DATA'!C7:AB7,1,MATCH($A$1,'STATIC DATA'!$C$4:$AB$4,0))</f>
        <v>2D</v>
      </c>
      <c r="BL57" s="53"/>
      <c r="BN57" t="s">
        <v>664</v>
      </c>
      <c r="BO57" t="str">
        <v>0.006000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M57" s="332"/>
      <c r="CN57" s="332"/>
      <c r="CO57" s="332"/>
      <c r="CP57" s="332"/>
      <c r="CQ57" s="332"/>
      <c r="CR57" s="332"/>
      <c r="CS57" s="300"/>
      <c r="CT57" s="206"/>
      <c r="CU57" s="206"/>
      <c r="CV57" s="206"/>
      <c r="CW57" s="206"/>
    </row>
    <row r="58" spans="6:101" x14ac:dyDescent="0.25">
      <c r="F58" s="50"/>
      <c r="G58" s="52"/>
      <c r="H58" s="52"/>
      <c r="I58" s="53"/>
      <c r="Q58" s="50"/>
      <c r="R58" s="222" t="s">
        <v>740</v>
      </c>
      <c r="S58" s="223" t="s">
        <v>718</v>
      </c>
      <c r="T58" s="53"/>
      <c r="AB58" s="50"/>
      <c r="AC58" s="222" t="s">
        <v>783</v>
      </c>
      <c r="AD58" s="216" t="s">
        <v>718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34" t="s">
        <v>772</v>
      </c>
      <c r="BK58" s="247" t="s">
        <v>991</v>
      </c>
      <c r="BL58" s="249" t="s">
        <v>801</v>
      </c>
      <c r="BT58" s="50"/>
      <c r="BU58" s="55"/>
      <c r="BV58" s="55"/>
      <c r="BW58" s="55"/>
      <c r="BX58" s="332"/>
      <c r="BY58" s="279"/>
      <c r="BZ58" s="282"/>
      <c r="CA58" s="283"/>
      <c r="CB58" s="299"/>
      <c r="CM58" s="332"/>
      <c r="CN58" s="332"/>
      <c r="CO58" s="332"/>
      <c r="CP58" s="332"/>
      <c r="CQ58" s="332"/>
      <c r="CR58" s="332"/>
      <c r="CS58" s="300"/>
      <c r="CT58" s="206"/>
      <c r="CU58" s="206"/>
      <c r="CV58" s="206"/>
      <c r="CW58" s="206"/>
    </row>
    <row r="59" spans="6:101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22" t="s">
        <v>784</v>
      </c>
      <c r="AD59" s="216" t="s">
        <v>675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771</v>
      </c>
      <c r="BK59" s="242" t="s">
        <v>991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M59" s="332"/>
      <c r="CN59" s="332"/>
      <c r="CO59" s="332"/>
      <c r="CP59" s="332"/>
      <c r="CQ59" s="332"/>
      <c r="CR59" s="332"/>
      <c r="CS59" s="300"/>
      <c r="CT59" s="206"/>
      <c r="CU59" s="206"/>
      <c r="CV59" s="206"/>
      <c r="CW59" s="206"/>
    </row>
    <row r="60" spans="6:101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22" t="s">
        <v>785</v>
      </c>
      <c r="AD60" s="216" t="s">
        <v>718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45" t="s">
        <v>774</v>
      </c>
      <c r="BK60" s="244" t="s">
        <v>49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C60" s="299"/>
      <c r="CD60" s="299"/>
      <c r="CE60" s="299"/>
      <c r="CF60" s="332"/>
      <c r="CG60" s="332"/>
      <c r="CH60" s="332"/>
      <c r="CI60" s="332"/>
      <c r="CJ60" s="332"/>
      <c r="CK60" s="332"/>
      <c r="CL60" s="332"/>
      <c r="CM60" s="332"/>
      <c r="CN60" s="332"/>
      <c r="CO60" s="332"/>
      <c r="CP60" s="332"/>
      <c r="CQ60" s="332"/>
      <c r="CR60" s="332"/>
      <c r="CS60" s="300"/>
      <c r="CT60" s="206"/>
      <c r="CU60" s="206"/>
      <c r="CV60" s="206"/>
      <c r="CW60" s="206"/>
    </row>
    <row r="61" spans="6:101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33" t="s">
        <v>786</v>
      </c>
      <c r="AD61" s="246" t="s">
        <v>46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775</v>
      </c>
      <c r="BK61" s="216" t="str">
        <f>INDEX('STATIC DATA'!C55:AB55,1,MATCH($A$1,'STATIC DATA'!C4:AB4,0))</f>
        <v>ACT/365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  <c r="CO61" s="299"/>
      <c r="CP61" s="299"/>
      <c r="CQ61" s="299"/>
      <c r="CR61" s="299"/>
      <c r="CS61" s="300"/>
      <c r="CT61" s="206"/>
      <c r="CU61" s="206"/>
      <c r="CV61" s="206"/>
      <c r="CW61" s="206"/>
    </row>
    <row r="62" spans="6:101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22" t="s">
        <v>787</v>
      </c>
      <c r="AD62" s="216" t="s">
        <v>720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776</v>
      </c>
      <c r="BK62" s="216" t="str">
        <f>INDEX('STATIC DATA'!C39:AB39,1,MATCH($A$1,'STATIC DATA'!$C$4:$AB$4,0))</f>
        <v>NYB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299"/>
      <c r="CO62" s="299"/>
      <c r="CP62" s="299"/>
      <c r="CQ62" s="299"/>
      <c r="CR62" s="299"/>
      <c r="CS62" s="300"/>
      <c r="CT62" s="206"/>
      <c r="CU62" s="206"/>
      <c r="CV62" s="206"/>
      <c r="CW62" s="206"/>
    </row>
    <row r="63" spans="6:101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5" t="s">
        <v>697</v>
      </c>
      <c r="AD63" s="240">
        <v>1.0000000000000003E-9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777</v>
      </c>
      <c r="BK63" s="216" t="s">
        <v>458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99"/>
      <c r="CP63" s="299"/>
      <c r="CQ63" s="299"/>
      <c r="CR63" s="299"/>
      <c r="CS63" s="300"/>
      <c r="CT63" s="206"/>
      <c r="CU63" s="206"/>
      <c r="CV63" s="206"/>
      <c r="CW63" s="206"/>
    </row>
    <row r="64" spans="6:101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698</v>
      </c>
      <c r="AD64" s="219">
        <v>1000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778</v>
      </c>
      <c r="BK64" s="216" t="str">
        <f>INDEX('STATIC DATA'!C40:AB40,1,MATCH($A$1,'STATIC DATA'!$C$4:$AB$4,0))</f>
        <v>NYB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  <c r="CO64" s="299"/>
      <c r="CP64" s="299"/>
      <c r="CQ64" s="299"/>
      <c r="CR64" s="299"/>
      <c r="CS64" s="300"/>
      <c r="CT64" s="206"/>
      <c r="CU64" s="206"/>
      <c r="CV64" s="206"/>
      <c r="CW64" s="206"/>
    </row>
    <row r="65" spans="6:102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5" t="s">
        <v>788</v>
      </c>
      <c r="AD65" s="219" t="b">
        <v>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779</v>
      </c>
      <c r="BK65" s="216" t="str">
        <f>INDEX('STATIC DATA'!C7:AB7,1,MATCH($A$1,'STATIC DATA'!$C$4:$AB$4,0))</f>
        <v>2D</v>
      </c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99"/>
      <c r="CP65" s="299"/>
      <c r="CQ65" s="299"/>
      <c r="CR65" s="299"/>
      <c r="CS65" s="300"/>
      <c r="CT65" s="206"/>
      <c r="CU65" s="206"/>
      <c r="CV65" s="206"/>
      <c r="CW65" s="206"/>
    </row>
    <row r="66" spans="6:102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789</v>
      </c>
      <c r="AD66" s="219" t="s">
        <v>718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780</v>
      </c>
      <c r="BK66" s="216" t="s">
        <v>687</v>
      </c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99"/>
      <c r="CP66" s="299"/>
      <c r="CQ66" s="299"/>
      <c r="CR66" s="299"/>
      <c r="CS66" s="300"/>
      <c r="CT66" s="206"/>
      <c r="CU66" s="206"/>
      <c r="CV66" s="206"/>
      <c r="CW66" s="206"/>
    </row>
    <row r="67" spans="6:102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688</v>
      </c>
      <c r="AD67" s="219">
        <v>31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33" t="s">
        <v>781</v>
      </c>
      <c r="BK67" s="241" t="s">
        <v>810</v>
      </c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  <c r="CO67" s="299"/>
      <c r="CP67" s="299"/>
      <c r="CQ67" s="299"/>
      <c r="CR67" s="299"/>
      <c r="CS67" s="300"/>
      <c r="CT67" s="206"/>
      <c r="CU67" s="206"/>
      <c r="CV67" s="206"/>
      <c r="CW67" s="206"/>
    </row>
    <row r="68" spans="6:102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85"/>
      <c r="AD68" s="85"/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2" t="s">
        <v>811</v>
      </c>
      <c r="BK68" s="216" t="b">
        <v>0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  <c r="CO68" s="299"/>
      <c r="CP68" s="299"/>
      <c r="CQ68" s="299"/>
      <c r="CR68" s="299"/>
      <c r="CS68" s="300"/>
      <c r="CT68" s="206"/>
      <c r="CU68" s="206"/>
      <c r="CV68" s="206"/>
      <c r="CW68" s="206"/>
      <c r="CX68" s="206"/>
    </row>
    <row r="69" spans="6:102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2" t="s">
        <v>812</v>
      </c>
      <c r="BK69" s="216" t="b">
        <v>1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  <c r="CO69" s="299"/>
      <c r="CP69" s="299"/>
      <c r="CQ69" s="299"/>
      <c r="CR69" s="299"/>
      <c r="CS69" s="300"/>
      <c r="CT69" s="206"/>
      <c r="CU69" s="206"/>
      <c r="CV69" s="206"/>
      <c r="CW69" s="206"/>
      <c r="CX69" s="206"/>
    </row>
    <row r="70" spans="6:102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688</v>
      </c>
      <c r="BK70" s="216">
        <v>31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  <c r="CO70" s="299"/>
      <c r="CP70" s="299"/>
      <c r="CQ70" s="299"/>
      <c r="CR70" s="299"/>
      <c r="CS70" s="300"/>
      <c r="CT70" s="206"/>
      <c r="CU70" s="206"/>
      <c r="CV70" s="206"/>
      <c r="CW70" s="206"/>
      <c r="CX70" s="206"/>
    </row>
    <row r="71" spans="6:102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689</v>
      </c>
      <c r="BK71" s="216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  <c r="CO71" s="299"/>
      <c r="CP71" s="299"/>
      <c r="CQ71" s="299"/>
      <c r="CR71" s="299"/>
      <c r="CS71" s="300"/>
      <c r="CT71" s="206"/>
      <c r="CU71" s="206"/>
      <c r="CV71" s="206"/>
      <c r="CW71" s="206"/>
      <c r="CX71" s="206"/>
    </row>
    <row r="72" spans="6:102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740</v>
      </c>
      <c r="BK72" s="216" t="b">
        <v>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  <c r="CO72" s="299"/>
      <c r="CP72" s="299"/>
      <c r="CQ72" s="299"/>
      <c r="CR72" s="299"/>
      <c r="CS72" s="300"/>
      <c r="CT72" s="206"/>
      <c r="CU72" s="206"/>
      <c r="CV72" s="206"/>
      <c r="CW72" s="206"/>
      <c r="CX72" s="206"/>
    </row>
    <row r="73" spans="6:102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22" t="s">
        <v>813</v>
      </c>
      <c r="BK73" s="216" t="b">
        <v>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  <c r="CO73" s="299"/>
      <c r="CP73" s="299"/>
      <c r="CQ73" s="299"/>
      <c r="CR73" s="299"/>
      <c r="CS73" s="300"/>
      <c r="CT73" s="206"/>
      <c r="CU73" s="206"/>
      <c r="CV73" s="206"/>
      <c r="CW73" s="206"/>
      <c r="CX73" s="206"/>
    </row>
    <row r="74" spans="6:102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3" t="s">
        <v>786</v>
      </c>
      <c r="BK74" s="246" t="s">
        <v>49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  <c r="CO74" s="299"/>
      <c r="CP74" s="299"/>
      <c r="CQ74" s="299"/>
      <c r="CR74" s="299"/>
      <c r="CS74" s="300"/>
      <c r="CT74" s="206"/>
      <c r="CU74" s="206"/>
      <c r="CV74" s="206"/>
      <c r="CW74" s="206"/>
      <c r="CX74" s="206"/>
    </row>
    <row r="75" spans="6:102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52"/>
      <c r="BK75" s="253"/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  <c r="CO75" s="299"/>
      <c r="CP75" s="299"/>
      <c r="CQ75" s="299"/>
      <c r="CR75" s="299"/>
      <c r="CS75" s="300"/>
      <c r="CT75" s="206"/>
      <c r="CU75" s="206"/>
      <c r="CV75" s="206"/>
      <c r="CW75" s="206"/>
      <c r="CX75" s="206"/>
    </row>
    <row r="76" spans="6:102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50"/>
      <c r="BK76" s="254"/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99"/>
      <c r="CP76" s="299"/>
      <c r="CQ76" s="299"/>
      <c r="CR76" s="299"/>
      <c r="CS76" s="300"/>
      <c r="CT76" s="206"/>
      <c r="CU76" s="206"/>
      <c r="CV76" s="206"/>
      <c r="CW76" s="206"/>
      <c r="CX76" s="206"/>
    </row>
    <row r="77" spans="6:102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  <c r="CO77" s="299"/>
      <c r="CP77" s="299"/>
      <c r="CQ77" s="299"/>
      <c r="CR77" s="299"/>
      <c r="CS77" s="300"/>
      <c r="CT77" s="206"/>
      <c r="CU77" s="206"/>
      <c r="CV77" s="206"/>
      <c r="CW77" s="206"/>
      <c r="CX77" s="206"/>
    </row>
    <row r="78" spans="6:102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  <c r="CO78" s="299"/>
      <c r="CP78" s="299"/>
      <c r="CQ78" s="299"/>
      <c r="CR78" s="299"/>
      <c r="CS78" s="300"/>
      <c r="CT78" s="206"/>
      <c r="CU78" s="206"/>
      <c r="CV78" s="206"/>
      <c r="CW78" s="206"/>
      <c r="CX78" s="206"/>
    </row>
    <row r="79" spans="6:102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99"/>
      <c r="CP79" s="299"/>
      <c r="CQ79" s="299"/>
      <c r="CR79" s="299"/>
      <c r="CS79" s="300"/>
      <c r="CT79" s="206"/>
      <c r="CU79" s="206"/>
      <c r="CV79" s="206"/>
      <c r="CW79" s="206"/>
      <c r="CX79" s="206"/>
    </row>
    <row r="80" spans="6:102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99"/>
      <c r="CP80" s="299"/>
      <c r="CQ80" s="299"/>
      <c r="CR80" s="299"/>
      <c r="CS80" s="300"/>
      <c r="CT80" s="206"/>
      <c r="CU80" s="206"/>
      <c r="CV80" s="206"/>
      <c r="CW80" s="206"/>
      <c r="CX80" s="206"/>
    </row>
    <row r="81" spans="6:102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  <c r="CO81" s="299"/>
      <c r="CP81" s="299"/>
      <c r="CQ81" s="299"/>
      <c r="CR81" s="299"/>
      <c r="CS81" s="300"/>
      <c r="CT81" s="206"/>
      <c r="CU81" s="206"/>
      <c r="CV81" s="206"/>
      <c r="CW81" s="206"/>
      <c r="CX81" s="206"/>
    </row>
    <row r="82" spans="6:102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  <c r="CO82" s="299"/>
      <c r="CP82" s="299"/>
      <c r="CQ82" s="299"/>
      <c r="CR82" s="299"/>
      <c r="CS82" s="300"/>
      <c r="CT82" s="206"/>
      <c r="CU82" s="206"/>
      <c r="CV82" s="206"/>
      <c r="CW82" s="206"/>
      <c r="CX82" s="206"/>
    </row>
    <row r="83" spans="6:102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  <c r="CO83" s="299"/>
      <c r="CP83" s="299"/>
      <c r="CQ83" s="299"/>
      <c r="CR83" s="299"/>
      <c r="CS83" s="300"/>
      <c r="CT83" s="206"/>
      <c r="CU83" s="206"/>
      <c r="CV83" s="206"/>
      <c r="CW83" s="206"/>
      <c r="CX83" s="206"/>
    </row>
    <row r="84" spans="6:102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332"/>
      <c r="CE84" s="332"/>
      <c r="CF84" s="299"/>
      <c r="CG84" s="299"/>
      <c r="CH84" s="299"/>
      <c r="CI84" s="299"/>
      <c r="CJ84" s="299"/>
      <c r="CK84" s="299"/>
      <c r="CL84" s="299"/>
      <c r="CM84" s="299"/>
      <c r="CN84" s="299"/>
      <c r="CO84" s="299"/>
      <c r="CP84" s="299"/>
      <c r="CQ84" s="299"/>
      <c r="CR84" s="299"/>
      <c r="CS84" s="300"/>
      <c r="CT84" s="206"/>
      <c r="CU84" s="206"/>
      <c r="CV84" s="206"/>
      <c r="CW84" s="206"/>
      <c r="CX84" s="206"/>
    </row>
    <row r="85" spans="6:102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M85" s="299"/>
      <c r="CN85" s="299"/>
      <c r="CO85" s="299"/>
      <c r="CP85" s="299"/>
      <c r="CQ85" s="299"/>
      <c r="CR85" s="299"/>
      <c r="CS85" s="300"/>
      <c r="CT85" s="206"/>
      <c r="CU85" s="206"/>
      <c r="CV85" s="206"/>
      <c r="CW85" s="206"/>
      <c r="CX85" s="206"/>
    </row>
    <row r="86" spans="6:102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M86" s="299"/>
      <c r="CN86" s="299"/>
      <c r="CO86" s="299"/>
      <c r="CP86" s="299"/>
      <c r="CQ86" s="299"/>
      <c r="CR86" s="299"/>
      <c r="CS86" s="300"/>
      <c r="CT86" s="206"/>
      <c r="CU86" s="206"/>
      <c r="CV86" s="206"/>
      <c r="CW86" s="206"/>
      <c r="CX86" s="206"/>
    </row>
    <row r="87" spans="6:102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M87" s="299"/>
      <c r="CN87" s="299"/>
      <c r="CO87" s="299"/>
      <c r="CP87" s="299"/>
      <c r="CQ87" s="299"/>
      <c r="CR87" s="299"/>
      <c r="CS87" s="300"/>
      <c r="CT87" s="206"/>
      <c r="CU87" s="206"/>
      <c r="CV87" s="206"/>
      <c r="CW87" s="206"/>
      <c r="CX87" s="206"/>
    </row>
    <row r="88" spans="6:102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M88" s="299"/>
      <c r="CN88" s="299"/>
      <c r="CO88" s="299"/>
      <c r="CP88" s="299"/>
      <c r="CQ88" s="299"/>
      <c r="CR88" s="299"/>
      <c r="CS88" s="300"/>
      <c r="CT88" s="206"/>
      <c r="CU88" s="206"/>
      <c r="CV88" s="206"/>
      <c r="CW88" s="206"/>
      <c r="CX88" s="206"/>
    </row>
    <row r="89" spans="6:102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M89" s="299"/>
      <c r="CN89" s="299"/>
      <c r="CO89" s="299"/>
      <c r="CP89" s="299"/>
      <c r="CQ89" s="299"/>
      <c r="CR89" s="299"/>
      <c r="CS89" s="300"/>
      <c r="CT89" s="206"/>
      <c r="CU89" s="206"/>
      <c r="CV89" s="206"/>
      <c r="CW89" s="206"/>
      <c r="CX89" s="206"/>
    </row>
    <row r="90" spans="6:102" x14ac:dyDescent="0.25">
      <c r="F90" s="75"/>
      <c r="G90" s="76"/>
      <c r="H90" s="76"/>
      <c r="I90" s="77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M90" s="299"/>
      <c r="CN90" s="299"/>
      <c r="CO90" s="299"/>
      <c r="CP90" s="299"/>
      <c r="CQ90" s="299"/>
      <c r="CR90" s="299"/>
      <c r="CS90" s="300"/>
      <c r="CT90" s="206"/>
      <c r="CU90" s="206"/>
      <c r="CV90" s="206"/>
      <c r="CW90" s="206"/>
      <c r="CX90" s="206"/>
    </row>
    <row r="91" spans="6:102" x14ac:dyDescent="0.25"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M91" s="299"/>
      <c r="CN91" s="299"/>
      <c r="CO91" s="299"/>
      <c r="CP91" s="299"/>
      <c r="CQ91" s="299"/>
      <c r="CR91" s="299"/>
      <c r="CS91" s="300"/>
      <c r="CT91" s="206"/>
      <c r="CU91" s="206"/>
      <c r="CV91" s="206"/>
      <c r="CW91" s="206"/>
      <c r="CX91" s="206"/>
    </row>
    <row r="92" spans="6:102" x14ac:dyDescent="0.25"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300"/>
      <c r="CT92" s="206"/>
      <c r="CU92" s="206"/>
      <c r="CV92" s="206"/>
      <c r="CW92" s="206"/>
      <c r="CX92" s="206"/>
    </row>
    <row r="93" spans="6:102" x14ac:dyDescent="0.25"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  <c r="CO93" s="299"/>
      <c r="CP93" s="299"/>
      <c r="CQ93" s="299"/>
      <c r="CR93" s="299"/>
      <c r="CS93" s="300"/>
      <c r="CT93" s="206"/>
      <c r="CU93" s="206"/>
      <c r="CV93" s="206"/>
      <c r="CW93" s="206"/>
      <c r="CX93" s="206"/>
    </row>
    <row r="94" spans="6:102" x14ac:dyDescent="0.25"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8"/>
      <c r="CG94" s="298"/>
      <c r="CH94" s="298"/>
      <c r="CI94" s="298"/>
      <c r="CJ94" s="298"/>
      <c r="CK94" s="298"/>
      <c r="CL94" s="298"/>
      <c r="CM94" s="299"/>
      <c r="CN94" s="299"/>
      <c r="CO94" s="299"/>
      <c r="CP94" s="299"/>
      <c r="CQ94" s="299"/>
      <c r="CR94" s="299"/>
      <c r="CS94" s="300"/>
      <c r="CT94" s="206"/>
      <c r="CU94" s="206"/>
      <c r="CV94" s="206"/>
      <c r="CW94" s="206"/>
      <c r="CX94" s="206"/>
    </row>
    <row r="95" spans="6:102" x14ac:dyDescent="0.25"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06"/>
      <c r="CG95" s="206"/>
      <c r="CH95" s="206"/>
      <c r="CI95" s="206"/>
      <c r="CJ95" s="206"/>
      <c r="CK95" s="206"/>
      <c r="CL95" s="206"/>
      <c r="CM95" s="299"/>
      <c r="CN95" s="299"/>
      <c r="CO95" s="299"/>
      <c r="CP95" s="299"/>
      <c r="CQ95" s="299"/>
      <c r="CR95" s="299"/>
      <c r="CS95" s="299"/>
      <c r="CT95" s="206"/>
      <c r="CU95" s="206"/>
      <c r="CV95" s="206"/>
      <c r="CW95" s="206"/>
      <c r="CX95" s="206"/>
    </row>
    <row r="96" spans="6:102" x14ac:dyDescent="0.25"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06"/>
      <c r="CG96" s="206"/>
      <c r="CH96" s="206"/>
      <c r="CI96" s="206"/>
      <c r="CJ96" s="206"/>
      <c r="CK96" s="206"/>
      <c r="CL96" s="206"/>
      <c r="CM96" s="299"/>
      <c r="CN96" s="299"/>
      <c r="CO96" s="299"/>
      <c r="CP96" s="299"/>
      <c r="CQ96" s="299"/>
      <c r="CR96" s="299"/>
      <c r="CS96" s="299"/>
      <c r="CT96" s="206"/>
      <c r="CU96" s="206"/>
      <c r="CV96" s="206"/>
      <c r="CW96" s="206"/>
      <c r="CX96" s="206"/>
    </row>
    <row r="97" spans="28:109" x14ac:dyDescent="0.25">
      <c r="AB97" s="75"/>
      <c r="AC97" s="76"/>
      <c r="AD97" s="76"/>
      <c r="AE97" s="77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</row>
    <row r="98" spans="28:109" x14ac:dyDescent="0.25"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</row>
    <row r="99" spans="28:109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Y99" s="206"/>
      <c r="CZ99" s="206"/>
      <c r="DA99" s="206"/>
      <c r="DB99" s="206"/>
      <c r="DC99" s="206"/>
      <c r="DD99" s="206"/>
      <c r="DE99" s="206"/>
    </row>
    <row r="100" spans="28:109" x14ac:dyDescent="0.25"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Y100" s="206"/>
      <c r="CZ100" s="206"/>
      <c r="DA100" s="206"/>
      <c r="DB100" s="206"/>
      <c r="DC100" s="206"/>
      <c r="DD100" s="206"/>
      <c r="DE100" s="206"/>
    </row>
    <row r="101" spans="28:109" x14ac:dyDescent="0.25"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Y101" s="206"/>
      <c r="CZ101" s="206"/>
      <c r="DA101" s="206"/>
      <c r="DB101" s="206"/>
      <c r="DC101" s="206"/>
      <c r="DD101" s="206"/>
      <c r="DE101" s="206"/>
    </row>
    <row r="102" spans="28:109" x14ac:dyDescent="0.25"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Y102" s="206"/>
      <c r="CZ102" s="206"/>
      <c r="DA102" s="206"/>
      <c r="DB102" s="206"/>
      <c r="DC102" s="206"/>
      <c r="DD102" s="206"/>
      <c r="DE102" s="206"/>
    </row>
    <row r="103" spans="28:109" x14ac:dyDescent="0.25"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Y103" s="206"/>
      <c r="CZ103" s="206"/>
      <c r="DA103" s="206"/>
      <c r="DB103" s="206"/>
      <c r="DC103" s="206"/>
      <c r="DD103" s="206"/>
      <c r="DE103" s="206"/>
    </row>
    <row r="104" spans="28:109" x14ac:dyDescent="0.25"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Y104" s="206"/>
      <c r="CZ104" s="206"/>
      <c r="DA104" s="206"/>
      <c r="DB104" s="206"/>
      <c r="DC104" s="206"/>
      <c r="DD104" s="206"/>
      <c r="DE104" s="206"/>
    </row>
    <row r="105" spans="28:109" x14ac:dyDescent="0.25"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Y105" s="206"/>
      <c r="CZ105" s="206"/>
      <c r="DA105" s="206"/>
      <c r="DB105" s="206"/>
      <c r="DC105" s="206"/>
      <c r="DD105" s="206"/>
      <c r="DE105" s="206"/>
    </row>
    <row r="106" spans="28:109" x14ac:dyDescent="0.25"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Y106" s="206"/>
      <c r="CZ106" s="206"/>
      <c r="DA106" s="206"/>
      <c r="DB106" s="206"/>
      <c r="DC106" s="206"/>
      <c r="DD106" s="206"/>
      <c r="DE106" s="206"/>
    </row>
    <row r="107" spans="28:109" x14ac:dyDescent="0.25"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Y107" s="206"/>
      <c r="CZ107" s="206"/>
      <c r="DA107" s="206"/>
      <c r="DB107" s="206"/>
      <c r="DC107" s="206"/>
      <c r="DD107" s="206"/>
      <c r="DE107" s="206"/>
    </row>
    <row r="108" spans="28:109" x14ac:dyDescent="0.25"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Y108" s="206"/>
      <c r="CZ108" s="206"/>
      <c r="DA108" s="206"/>
      <c r="DB108" s="206"/>
      <c r="DC108" s="206"/>
      <c r="DD108" s="206"/>
      <c r="DE108" s="206"/>
    </row>
    <row r="109" spans="28:109" x14ac:dyDescent="0.25"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Y109" s="206"/>
      <c r="CZ109" s="206"/>
      <c r="DA109" s="206"/>
      <c r="DB109" s="206"/>
      <c r="DC109" s="206"/>
      <c r="DD109" s="206"/>
      <c r="DE109" s="206"/>
    </row>
    <row r="110" spans="28:109" x14ac:dyDescent="0.25"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Y110" s="206"/>
      <c r="CZ110" s="206"/>
      <c r="DA110" s="206"/>
      <c r="DB110" s="206"/>
      <c r="DC110" s="206"/>
      <c r="DD110" s="206"/>
      <c r="DE110" s="206"/>
    </row>
    <row r="111" spans="28:109" x14ac:dyDescent="0.25"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Y111" s="206"/>
      <c r="CZ111" s="206"/>
      <c r="DA111" s="206"/>
      <c r="DB111" s="206"/>
      <c r="DC111" s="206"/>
      <c r="DD111" s="206"/>
      <c r="DE111" s="206"/>
    </row>
    <row r="112" spans="28:109" x14ac:dyDescent="0.25"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Y112" s="206"/>
      <c r="CZ112" s="206"/>
      <c r="DA112" s="206"/>
      <c r="DB112" s="206"/>
      <c r="DC112" s="206"/>
      <c r="DD112" s="206"/>
      <c r="DE112" s="206"/>
    </row>
    <row r="113" spans="72:109" x14ac:dyDescent="0.25"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Y113" s="206"/>
      <c r="CZ113" s="206"/>
      <c r="DA113" s="206"/>
      <c r="DB113" s="206"/>
      <c r="DC113" s="206"/>
      <c r="DD113" s="206"/>
      <c r="DE113" s="206"/>
    </row>
    <row r="114" spans="72:109" x14ac:dyDescent="0.25"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Y114" s="206"/>
      <c r="CZ114" s="206"/>
      <c r="DA114" s="206"/>
      <c r="DB114" s="206"/>
      <c r="DC114" s="206"/>
      <c r="DD114" s="206"/>
      <c r="DE114" s="206"/>
    </row>
    <row r="115" spans="72:109" x14ac:dyDescent="0.25"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Y115" s="206"/>
      <c r="CZ115" s="206"/>
      <c r="DA115" s="206"/>
      <c r="DB115" s="206"/>
      <c r="DC115" s="206"/>
      <c r="DD115" s="206"/>
      <c r="DE115" s="206"/>
    </row>
    <row r="116" spans="72:109" x14ac:dyDescent="0.25"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Y116" s="206"/>
      <c r="CZ116" s="206"/>
      <c r="DA116" s="206"/>
      <c r="DB116" s="206"/>
      <c r="DC116" s="206"/>
      <c r="DD116" s="206"/>
      <c r="DE116" s="206"/>
    </row>
    <row r="117" spans="72:109" x14ac:dyDescent="0.25"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Y117" s="206"/>
      <c r="CZ117" s="206"/>
      <c r="DA117" s="206"/>
      <c r="DB117" s="206"/>
      <c r="DC117" s="206"/>
      <c r="DD117" s="206"/>
      <c r="DE117" s="206"/>
    </row>
    <row r="118" spans="72:109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Y118" s="206"/>
      <c r="CZ118" s="206"/>
      <c r="DA118" s="206"/>
      <c r="DB118" s="206"/>
      <c r="DC118" s="206"/>
      <c r="DD118" s="206"/>
      <c r="DE118" s="206"/>
    </row>
    <row r="119" spans="72:109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Y119" s="206"/>
      <c r="CZ119" s="206"/>
      <c r="DA119" s="206"/>
      <c r="DB119" s="206"/>
      <c r="DC119" s="206"/>
      <c r="DD119" s="206"/>
      <c r="DE119" s="206"/>
    </row>
    <row r="120" spans="72:109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Y120" s="206"/>
      <c r="CZ120" s="206"/>
      <c r="DA120" s="206"/>
      <c r="DB120" s="206"/>
      <c r="DC120" s="206"/>
      <c r="DD120" s="206"/>
      <c r="DE120" s="206"/>
    </row>
    <row r="121" spans="72:109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Y121" s="206"/>
      <c r="CZ121" s="206"/>
      <c r="DA121" s="206"/>
      <c r="DB121" s="206"/>
      <c r="DC121" s="206"/>
      <c r="DD121" s="206"/>
      <c r="DE121" s="206"/>
    </row>
    <row r="122" spans="72:109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Y122" s="206"/>
      <c r="CZ122" s="206"/>
      <c r="DA122" s="206"/>
      <c r="DB122" s="206"/>
      <c r="DC122" s="206"/>
      <c r="DD122" s="206"/>
      <c r="DE122" s="206"/>
    </row>
    <row r="123" spans="72:109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Y123" s="206"/>
      <c r="CZ123" s="206"/>
      <c r="DA123" s="206"/>
      <c r="DB123" s="206"/>
      <c r="DC123" s="206"/>
      <c r="DD123" s="206"/>
      <c r="DE123" s="206"/>
    </row>
    <row r="124" spans="72:109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D124" s="299"/>
      <c r="CE124" s="299"/>
      <c r="CY124" s="206"/>
      <c r="CZ124" s="206"/>
      <c r="DA124" s="206"/>
      <c r="DB124" s="206"/>
      <c r="DC124" s="206"/>
      <c r="DD124" s="206"/>
      <c r="DE124" s="206"/>
    </row>
    <row r="125" spans="72:109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D125" s="298"/>
      <c r="CE125" s="298"/>
      <c r="CY125" s="206"/>
      <c r="CZ125" s="206"/>
      <c r="DA125" s="206"/>
      <c r="DB125" s="206"/>
      <c r="DC125" s="206"/>
      <c r="DD125" s="206"/>
      <c r="DE125" s="206"/>
    </row>
    <row r="126" spans="72:109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D126" s="206"/>
      <c r="CE126" s="206"/>
      <c r="CY126" s="206"/>
      <c r="CZ126" s="206"/>
      <c r="DA126" s="206"/>
      <c r="DB126" s="206"/>
      <c r="DC126" s="206"/>
      <c r="DD126" s="206"/>
      <c r="DE126" s="206"/>
    </row>
    <row r="127" spans="72:109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D127" s="206"/>
      <c r="CE127" s="206"/>
      <c r="CY127" s="206"/>
      <c r="CZ127" s="206"/>
      <c r="DA127" s="206"/>
      <c r="DB127" s="206"/>
      <c r="DC127" s="206"/>
      <c r="DD127" s="206"/>
      <c r="DE127" s="206"/>
    </row>
  </sheetData>
  <dataValidations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K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DZ155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36.7109375" bestFit="1" customWidth="1" outlineLevel="2"/>
    <col min="9" max="9" width="9.140625" customWidth="1" outlineLevel="2"/>
    <col min="10" max="10" width="9.140625" customWidth="1"/>
    <col min="11" max="11" width="14.7109375" customWidth="1"/>
    <col min="12" max="12" width="15.5703125" customWidth="1"/>
    <col min="13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88.140625" style="209" customWidth="1" outlineLevel="1"/>
    <col min="20" max="20" width="9.140625" customWidth="1" outlineLevel="1"/>
    <col min="21" max="21" width="9.140625" customWidth="1"/>
    <col min="22" max="22" width="26.140625" customWidth="1"/>
    <col min="23" max="23" width="17.5703125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2" max="32" width="24" customWidth="1"/>
    <col min="33" max="33" width="14.85546875" customWidth="1"/>
    <col min="34" max="34" width="39.140625" bestFit="1" customWidth="1"/>
    <col min="35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1"/>
    <col min="51" max="51" width="30.7109375" hidden="1" customWidth="1" outlineLevel="1"/>
    <col min="52" max="52" width="40.7109375" hidden="1" customWidth="1" outlineLevel="1"/>
    <col min="53" max="54" width="9.140625" hidden="1" customWidth="1" outlineLevel="1"/>
    <col min="55" max="55" width="14.28515625" hidden="1" customWidth="1" outlineLevel="1"/>
    <col min="56" max="59" width="10.7109375" hidden="1" customWidth="1" outlineLevel="1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5" max="65" width="17.140625" customWidth="1"/>
    <col min="66" max="66" width="25.28515625" bestFit="1" customWidth="1"/>
    <col min="67" max="67" width="42.5703125" bestFit="1" customWidth="1"/>
    <col min="68" max="68" width="9.28515625" bestFit="1" customWidth="1"/>
    <col min="69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style="299" customWidth="1"/>
    <col min="78" max="78" width="25.42578125" style="299" bestFit="1" customWidth="1"/>
    <col min="79" max="79" width="13" style="299" bestFit="1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5" width="9.140625" customWidth="1"/>
    <col min="86" max="86" width="25.7109375" bestFit="1" customWidth="1"/>
    <col min="87" max="87" width="13.5703125" bestFit="1" customWidth="1"/>
    <col min="88" max="88" width="29.7109375" bestFit="1" customWidth="1"/>
    <col min="89" max="89" width="34.28515625" bestFit="1" customWidth="1"/>
    <col min="90" max="90" width="9.140625" customWidth="1"/>
    <col min="91" max="91" width="9.140625" style="299" customWidth="1"/>
    <col min="92" max="92" width="20.7109375" style="299" customWidth="1"/>
    <col min="93" max="93" width="15.140625" style="390" bestFit="1" customWidth="1"/>
    <col min="94" max="94" width="9.85546875" style="403" bestFit="1" customWidth="1"/>
    <col min="95" max="95" width="10.140625" style="403" customWidth="1"/>
    <col min="96" max="96" width="10.140625" style="403" bestFit="1" customWidth="1"/>
    <col min="97" max="97" width="15.140625" style="403" bestFit="1" customWidth="1"/>
    <col min="98" max="98" width="9.140625" style="544"/>
    <col min="99" max="99" width="9.140625" style="203"/>
    <col min="120" max="120" width="58.140625" bestFit="1" customWidth="1"/>
    <col min="121" max="121" width="20.7109375" customWidth="1"/>
    <col min="122" max="122" width="22.28515625" customWidth="1"/>
    <col min="123" max="123" width="10.85546875" bestFit="1" customWidth="1"/>
    <col min="124" max="124" width="20.7109375" customWidth="1"/>
    <col min="125" max="125" width="11.140625" bestFit="1" customWidth="1"/>
    <col min="126" max="128" width="20.7109375" customWidth="1"/>
    <col min="129" max="129" width="9.140625" customWidth="1"/>
    <col min="130" max="130" width="20.7109375" customWidth="1"/>
  </cols>
  <sheetData>
    <row r="1" spans="1:130" x14ac:dyDescent="0.25">
      <c r="A1" s="2" t="s">
        <v>1296</v>
      </c>
      <c r="L1" s="5"/>
      <c r="M1" s="5"/>
      <c r="N1" s="5"/>
      <c r="O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313"/>
      <c r="BZ1" s="375"/>
      <c r="CA1" s="375"/>
      <c r="CB1" s="5"/>
      <c r="CU1" s="401"/>
      <c r="CV1" s="206"/>
      <c r="CW1" s="206"/>
      <c r="DP1" s="209"/>
      <c r="DQ1" s="209"/>
      <c r="DR1" s="209"/>
      <c r="DS1" s="304"/>
      <c r="DT1" s="206"/>
      <c r="DU1" s="206"/>
      <c r="DV1" s="206"/>
      <c r="DW1" s="206"/>
      <c r="DX1" s="206"/>
      <c r="DY1" s="299"/>
      <c r="DZ1" s="304"/>
    </row>
    <row r="2" spans="1:130" x14ac:dyDescent="0.25">
      <c r="F2" s="237" t="s">
        <v>712</v>
      </c>
      <c r="K2" s="2" t="str">
        <f>A1&amp;"_OIS"</f>
        <v>INR_OIS</v>
      </c>
      <c r="L2" s="5"/>
      <c r="M2" s="5"/>
      <c r="N2" s="5"/>
      <c r="O2" s="5"/>
      <c r="Q2" s="237"/>
      <c r="V2" s="2" t="str">
        <f>A1&amp;"_SWAP_3M"</f>
        <v>INR_SWAP_3M</v>
      </c>
      <c r="AB2" s="237"/>
      <c r="AG2" s="2" t="str">
        <f>A1&amp;"_BASIS_6M"</f>
        <v>INR_BASIS_6M</v>
      </c>
      <c r="AH2" s="5"/>
      <c r="AI2" s="5"/>
      <c r="AJ2" s="5"/>
      <c r="AK2" s="5"/>
      <c r="AR2" t="str">
        <f>A1&amp;"_BASIS_12M"</f>
        <v>INR_BASIS_12M</v>
      </c>
      <c r="BC2" t="str">
        <f>A1&amp;"_BASIS_1M"</f>
        <v>INR_BASIS_1M</v>
      </c>
      <c r="BN2" s="2" t="str">
        <f>A1&amp;"_XCCYBASIS"</f>
        <v>INR_XCCYBASIS</v>
      </c>
      <c r="BO2" s="5"/>
      <c r="BP2" s="5"/>
      <c r="BQ2" s="5"/>
      <c r="BR2" s="5"/>
      <c r="BZ2" s="375"/>
      <c r="CA2" s="375"/>
      <c r="CB2" s="5"/>
      <c r="CN2" s="332"/>
      <c r="CO2" s="511"/>
      <c r="CP2" s="404"/>
      <c r="CQ2" s="404"/>
      <c r="CR2" s="404"/>
      <c r="CU2" s="401"/>
      <c r="CV2" s="206"/>
      <c r="CW2" s="206"/>
      <c r="DS2" s="306"/>
      <c r="DT2" s="307"/>
      <c r="DU2" s="307"/>
      <c r="DV2" s="307"/>
      <c r="DW2" s="307"/>
      <c r="DX2" s="307"/>
      <c r="DY2" s="299"/>
      <c r="DZ2" s="308"/>
    </row>
    <row r="3" spans="1:130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BZ3" s="375"/>
      <c r="CA3" s="375"/>
      <c r="CB3" s="5"/>
      <c r="CC3" s="45"/>
      <c r="CD3" s="48"/>
      <c r="CE3" s="48"/>
      <c r="CF3" s="49"/>
      <c r="CI3" s="45"/>
      <c r="CJ3" s="48"/>
      <c r="CK3" s="48"/>
      <c r="CL3" s="49"/>
      <c r="CN3" s="436"/>
      <c r="CO3" s="543"/>
      <c r="CP3" s="547"/>
      <c r="CQ3" s="547"/>
      <c r="CR3" s="547"/>
      <c r="CU3" s="401"/>
      <c r="CV3" s="206"/>
      <c r="CW3" s="206"/>
      <c r="DS3" s="309"/>
      <c r="DT3" s="284"/>
      <c r="DU3" s="310"/>
      <c r="DV3" s="285"/>
      <c r="DW3" s="285"/>
      <c r="DX3" s="286"/>
      <c r="DY3" s="299"/>
      <c r="DZ3" s="311"/>
    </row>
    <row r="4" spans="1:130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Y4" s="5">
        <v>0</v>
      </c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BZ4" s="375"/>
      <c r="CA4" s="375"/>
      <c r="CB4" s="5"/>
      <c r="CC4" s="50"/>
      <c r="CD4" s="81"/>
      <c r="CE4" s="228"/>
      <c r="CF4" s="53"/>
      <c r="CI4" s="50"/>
      <c r="CJ4" s="81"/>
      <c r="CK4" s="228"/>
      <c r="CL4" s="53"/>
      <c r="CN4" s="436"/>
      <c r="CO4" s="543"/>
      <c r="CP4" s="547"/>
      <c r="CQ4" s="547"/>
      <c r="CR4" s="547"/>
      <c r="CU4" s="401"/>
      <c r="CV4" s="206"/>
      <c r="CW4" s="206"/>
      <c r="DS4" s="264"/>
      <c r="DT4" s="314"/>
      <c r="DU4" s="315"/>
      <c r="DV4" s="316"/>
      <c r="DW4" s="316"/>
      <c r="DX4" s="317"/>
      <c r="DY4" s="299"/>
      <c r="DZ4" s="318"/>
    </row>
    <row r="5" spans="1:130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20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323"/>
      <c r="BZ5" s="587"/>
      <c r="CA5" s="375"/>
      <c r="CB5" s="5"/>
      <c r="CC5" s="50"/>
      <c r="CD5" s="54" t="s">
        <v>1314</v>
      </c>
      <c r="CE5" s="228"/>
      <c r="CF5" s="53"/>
      <c r="CI5" s="50"/>
      <c r="CJ5" s="54" t="s">
        <v>1605</v>
      </c>
      <c r="CK5" s="228"/>
      <c r="CL5" s="53"/>
      <c r="CN5" s="436"/>
      <c r="CO5" s="543"/>
      <c r="CP5" s="547"/>
      <c r="CQ5" s="547"/>
      <c r="CR5" s="547"/>
      <c r="CU5" s="401"/>
      <c r="CV5" s="206"/>
      <c r="CW5" s="206"/>
      <c r="DS5" s="273"/>
      <c r="DT5" s="274"/>
      <c r="DU5" s="320"/>
      <c r="DV5" s="321"/>
      <c r="DW5" s="321"/>
      <c r="DX5" s="322"/>
      <c r="DY5" s="299"/>
      <c r="DZ5" s="318"/>
    </row>
    <row r="6" spans="1:130" x14ac:dyDescent="0.25">
      <c r="F6" s="50"/>
      <c r="G6" s="51" t="s">
        <v>1583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1581</v>
      </c>
      <c r="S6" s="210" t="b">
        <v>1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1579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1579</v>
      </c>
      <c r="AZ6" s="210" t="b">
        <v>0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0</v>
      </c>
      <c r="BW6" s="52"/>
      <c r="BX6" s="299"/>
      <c r="BZ6" s="375"/>
      <c r="CA6" s="375"/>
      <c r="CB6" s="5"/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3"/>
      <c r="CN6" s="436"/>
      <c r="CO6" s="543"/>
      <c r="CP6" s="547"/>
      <c r="CQ6" s="547"/>
      <c r="CR6" s="547"/>
      <c r="CU6" s="401"/>
      <c r="CV6" s="206"/>
      <c r="CW6" s="206"/>
      <c r="DS6" s="264"/>
      <c r="DT6" s="314"/>
      <c r="DU6" s="315"/>
      <c r="DV6" s="316"/>
      <c r="DW6" s="316"/>
      <c r="DX6" s="317"/>
      <c r="DY6" s="299"/>
      <c r="DZ6" s="318"/>
    </row>
    <row r="7" spans="1:130" x14ac:dyDescent="0.25">
      <c r="F7" s="50"/>
      <c r="G7" s="59" t="s">
        <v>711</v>
      </c>
      <c r="H7" s="211" t="str">
        <f>$A$1&amp;"_OIS"</f>
        <v>INR_OIS</v>
      </c>
      <c r="I7" s="53"/>
      <c r="K7" t="s">
        <v>298</v>
      </c>
      <c r="L7" s="357">
        <f>O7+N7/10000</f>
        <v>0.04</v>
      </c>
      <c r="M7" s="5" t="b">
        <v>1</v>
      </c>
      <c r="N7" s="5">
        <f>$N$4</f>
        <v>0</v>
      </c>
      <c r="O7" s="357">
        <f>RUB_DATA!M7</f>
        <v>0.04</v>
      </c>
      <c r="Q7" s="50"/>
      <c r="R7" s="59" t="s">
        <v>711</v>
      </c>
      <c r="S7" s="211" t="str">
        <f>$A$1&amp;"_SWAP_"&amp;"3M"</f>
        <v>INR_SWAP_3M</v>
      </c>
      <c r="T7" s="53"/>
      <c r="V7" t="s">
        <v>298</v>
      </c>
      <c r="W7" s="203">
        <f t="shared" ref="W7:W29" si="0">Z7+Y7/10000</f>
        <v>4.3799999999999999E-2</v>
      </c>
      <c r="X7" t="b">
        <v>1</v>
      </c>
      <c r="Y7" s="5">
        <f t="shared" ref="Y7:Y29" si="1">$Y$4</f>
        <v>0</v>
      </c>
      <c r="Z7" s="203">
        <f>RUB_DATA!U7</f>
        <v>4.3799999999999999E-2</v>
      </c>
      <c r="AA7" s="203"/>
      <c r="AB7" s="50"/>
      <c r="AC7" s="59" t="s">
        <v>711</v>
      </c>
      <c r="AD7" s="211" t="str">
        <f>$A$1&amp;"_BASIS_3M6M"</f>
        <v>INR_BASIS_3M6M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RUB_DATA!Z7</f>
        <v>1E-3</v>
      </c>
      <c r="AL7" s="207"/>
      <c r="AM7" s="50"/>
      <c r="AN7" s="59" t="s">
        <v>711</v>
      </c>
      <c r="AO7" s="211" t="str">
        <f>A1&amp;"_BASIS_3M12M"</f>
        <v>INR_BASIS_3M12M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INR_BASIS_1M3M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INR_XCCY</v>
      </c>
      <c r="BL7" s="53"/>
      <c r="BM7" t="s">
        <v>822</v>
      </c>
      <c r="BN7" t="s">
        <v>2</v>
      </c>
      <c r="BO7" s="5" t="str">
        <f>A1</f>
        <v>INR</v>
      </c>
      <c r="BP7" s="359">
        <f>BR7</f>
        <v>73.55</v>
      </c>
      <c r="BQ7" s="5"/>
      <c r="BR7" s="359">
        <f>INR_DATA!AZ7</f>
        <v>73.55</v>
      </c>
      <c r="BT7" s="50"/>
      <c r="BU7" s="270" t="s">
        <v>830</v>
      </c>
      <c r="BV7" s="271" t="str">
        <f>"FX_CURVE_"&amp;"USD"&amp;$A$1</f>
        <v>FX_CURVE_USDINR</v>
      </c>
      <c r="BW7" s="52"/>
      <c r="BX7" s="299"/>
      <c r="BZ7" s="582"/>
      <c r="CA7" s="582"/>
      <c r="CB7" s="5"/>
      <c r="CC7" s="50"/>
      <c r="CD7" s="59" t="s">
        <v>711</v>
      </c>
      <c r="CE7" s="211" t="str">
        <f>$A$1&amp;"_EURCSA"</f>
        <v>INR_EURCSA</v>
      </c>
      <c r="CF7" s="53"/>
      <c r="CI7" s="50"/>
      <c r="CJ7" s="59" t="s">
        <v>711</v>
      </c>
      <c r="CK7" s="211" t="str">
        <f>$A$1&amp;"_JPYCSA"</f>
        <v>INR_JPYCSA</v>
      </c>
      <c r="CL7" s="53"/>
      <c r="CN7" s="436"/>
      <c r="CO7" s="543"/>
      <c r="CP7" s="547"/>
      <c r="CQ7" s="547"/>
      <c r="CR7" s="547"/>
      <c r="CU7" s="401"/>
      <c r="CV7" s="206"/>
      <c r="CW7" s="206"/>
      <c r="DS7" s="264"/>
      <c r="DT7" s="314"/>
      <c r="DU7" s="315"/>
      <c r="DV7" s="316"/>
      <c r="DW7" s="316"/>
      <c r="DX7" s="317"/>
      <c r="DY7" s="299"/>
      <c r="DZ7" s="318"/>
    </row>
    <row r="8" spans="1:130" x14ac:dyDescent="0.25">
      <c r="F8" s="50"/>
      <c r="G8" s="72" t="s">
        <v>670</v>
      </c>
      <c r="H8" s="35" t="str">
        <f>IF(H$6,_xll.meLWOCurveGeneratorCreate(H$7,"CURVEPROPERTIES",G12:H18,"OIS",G23:H37,"SWAPS",G48:H51),"Disabled")</f>
        <v>INR_OIS@307:7</v>
      </c>
      <c r="I8" s="53" t="s">
        <v>424</v>
      </c>
      <c r="K8" t="s">
        <v>300</v>
      </c>
      <c r="L8" s="357">
        <f t="shared" ref="L8:L22" si="2">O8+N8/10000</f>
        <v>3.8919999999999996E-2</v>
      </c>
      <c r="M8" s="5" t="b">
        <v>1</v>
      </c>
      <c r="N8" s="5">
        <f t="shared" ref="N8:N22" si="3">$N$4</f>
        <v>0</v>
      </c>
      <c r="O8" s="357">
        <f>INR_DATA!M8</f>
        <v>3.8919999999999996E-2</v>
      </c>
      <c r="Q8" s="50"/>
      <c r="R8" s="72" t="s">
        <v>670</v>
      </c>
      <c r="S8" s="35" t="str">
        <f>IF(S$6,_xll.meLWOCurveGeneratorCreate(S$7,"CURVEPROPERTIES",R12:S25,"MONEYMARKET",R28:S30,"LIBORFIXINGS",R33:S37,"FRAS",R40:S43,"SWAPS",R48:S61),"Disabled")</f>
        <v>INR_SWAP_3M@306:7</v>
      </c>
      <c r="T8" s="53" t="s">
        <v>424</v>
      </c>
      <c r="V8" t="s">
        <v>300</v>
      </c>
      <c r="W8" s="203">
        <f t="shared" si="0"/>
        <v>4.5499999999999999E-2</v>
      </c>
      <c r="X8" t="b">
        <v>1</v>
      </c>
      <c r="Y8" s="5">
        <f t="shared" si="1"/>
        <v>0</v>
      </c>
      <c r="Z8" s="203">
        <f>RUB_DATA!U8</f>
        <v>4.5499999999999999E-2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INR_BASIS_3M6M@305:7</v>
      </c>
      <c r="AE8" s="53" t="s">
        <v>424</v>
      </c>
      <c r="AG8" t="s">
        <v>308</v>
      </c>
      <c r="AH8" s="358">
        <f t="shared" ref="AH8:AH19" si="4">AK8+AJ8/10000</f>
        <v>1E-3</v>
      </c>
      <c r="AI8" s="5" t="b">
        <v>1</v>
      </c>
      <c r="AJ8" s="5">
        <f t="shared" ref="AJ8:AJ19" si="5">$AJ$4</f>
        <v>0</v>
      </c>
      <c r="AK8" s="357">
        <f>RUB_DATA!Z8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Disabled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Disabled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IF(BK$6,_xll.meLWOCurveGeneratorCreate(BK$7,"CURVEPROPERTIES",BJ12:BK23,"FXFWDS",BJ27:BK35,"XCCYSWAPS",BJ38:BK75),"Disabled")</f>
        <v>INR_XCCY@308:7</v>
      </c>
      <c r="BL8" s="53" t="s">
        <v>424</v>
      </c>
      <c r="BM8" t="s">
        <v>814</v>
      </c>
      <c r="BN8" t="s">
        <v>305</v>
      </c>
      <c r="BO8" s="362">
        <f>BR8</f>
        <v>6.0000000000002274</v>
      </c>
      <c r="BP8" s="5" t="b">
        <v>1</v>
      </c>
      <c r="BQ8" s="5"/>
      <c r="BR8" s="362">
        <f>INR_DATA!AZ9</f>
        <v>6.0000000000002274</v>
      </c>
      <c r="BT8" s="50"/>
      <c r="BU8" t="s">
        <v>670</v>
      </c>
      <c r="BV8" s="263" t="str">
        <f>IF(BV6,_xll.meLWOCurveGeneratorCreate(BV7,"CURVEPROPERTIES",BU12:BV15,"FXFWDS",BU20:BV25),"Disabled")</f>
        <v>Disabled</v>
      </c>
      <c r="BW8" s="52"/>
      <c r="BX8" s="299"/>
      <c r="BY8" s="583"/>
      <c r="BZ8" s="389"/>
      <c r="CA8" s="389"/>
      <c r="CB8" s="5"/>
      <c r="CC8" s="50"/>
      <c r="CD8" s="72" t="s">
        <v>670</v>
      </c>
      <c r="CE8" s="35" t="str">
        <f>IF(CE$6,_xll.meLWOCurveGeneratorCreate(CE$7,"CURVEPROPERTIES",CD12:CE20,"FWDFXCONST",CD27:CE31),"Disabled")</f>
        <v>INR_EURCSA@369:6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INR_JPYCSA@368:6</v>
      </c>
      <c r="CL8" s="53" t="s">
        <v>424</v>
      </c>
      <c r="CN8" s="436"/>
      <c r="CO8" s="545"/>
      <c r="CP8" s="547"/>
      <c r="CQ8" s="547"/>
      <c r="CR8" s="547"/>
      <c r="CU8" s="401"/>
      <c r="CV8" s="206"/>
      <c r="CW8" s="206"/>
      <c r="DS8" s="264"/>
      <c r="DT8" s="314"/>
      <c r="DU8" s="315"/>
      <c r="DV8" s="316"/>
      <c r="DW8" s="316"/>
      <c r="DX8" s="317"/>
      <c r="DY8" s="303"/>
      <c r="DZ8" s="318"/>
    </row>
    <row r="9" spans="1:130" x14ac:dyDescent="0.25">
      <c r="F9" s="50"/>
      <c r="G9" s="289"/>
      <c r="H9" s="289"/>
      <c r="I9" s="53" t="s">
        <v>424</v>
      </c>
      <c r="K9" t="s">
        <v>335</v>
      </c>
      <c r="L9" s="357">
        <f t="shared" si="2"/>
        <v>3.916E-2</v>
      </c>
      <c r="M9" s="5" t="b">
        <v>1</v>
      </c>
      <c r="N9" s="5">
        <f t="shared" si="3"/>
        <v>0</v>
      </c>
      <c r="O9" s="357">
        <f>INR_DATA!M9</f>
        <v>3.916E-2</v>
      </c>
      <c r="Q9" s="50"/>
      <c r="R9" s="52"/>
      <c r="S9" s="52"/>
      <c r="T9" s="53"/>
      <c r="V9" t="s">
        <v>49</v>
      </c>
      <c r="W9" s="203">
        <f t="shared" si="0"/>
        <v>4.6799999999999994E-2</v>
      </c>
      <c r="X9" t="b">
        <v>1</v>
      </c>
      <c r="Y9" s="5">
        <f t="shared" si="1"/>
        <v>0</v>
      </c>
      <c r="Z9" s="203">
        <f>RUB_DATA!U9</f>
        <v>4.6799999999999994E-2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RUB_DATA!Z9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300</v>
      </c>
      <c r="BO9" s="5">
        <f t="shared" ref="BO9:BO14" si="6">BR9</f>
        <v>26.999999999999602</v>
      </c>
      <c r="BP9" s="5" t="b">
        <v>1</v>
      </c>
      <c r="BQ9" s="5"/>
      <c r="BR9" s="362">
        <f>INR_DATA!AZ10</f>
        <v>26.999999999999602</v>
      </c>
      <c r="BT9" s="50"/>
      <c r="BU9" s="57"/>
      <c r="BV9" s="57"/>
      <c r="BW9" s="52"/>
      <c r="BX9" s="299"/>
      <c r="BY9" s="583"/>
      <c r="BZ9" s="389"/>
      <c r="CA9" s="389"/>
      <c r="CB9" s="5"/>
      <c r="CC9" s="50"/>
      <c r="CD9" s="52"/>
      <c r="CE9" s="52"/>
      <c r="CF9" s="53"/>
      <c r="CI9" s="50"/>
      <c r="CJ9" s="52"/>
      <c r="CK9" s="52"/>
      <c r="CL9" s="53"/>
      <c r="CN9" s="436"/>
      <c r="CO9" s="545"/>
      <c r="CP9" s="547"/>
      <c r="CQ9" s="547"/>
      <c r="CR9" s="547"/>
      <c r="CU9" s="401"/>
      <c r="CV9" s="206"/>
      <c r="CW9" s="206"/>
      <c r="DS9" s="264"/>
      <c r="DT9" s="314"/>
      <c r="DU9" s="315"/>
      <c r="DV9" s="316"/>
      <c r="DW9" s="316"/>
      <c r="DX9" s="317"/>
      <c r="DY9" s="299"/>
      <c r="DZ9" s="318"/>
    </row>
    <row r="10" spans="1:130" x14ac:dyDescent="0.25">
      <c r="F10" s="50"/>
      <c r="G10" s="289"/>
      <c r="H10" s="289"/>
      <c r="I10" s="53"/>
      <c r="K10" t="s">
        <v>49</v>
      </c>
      <c r="L10" s="357">
        <f t="shared" si="2"/>
        <v>3.9230000000000001E-2</v>
      </c>
      <c r="M10" s="5" t="b">
        <v>1</v>
      </c>
      <c r="N10" s="5">
        <f t="shared" si="3"/>
        <v>0</v>
      </c>
      <c r="O10" s="357">
        <f>INR_DATA!M10</f>
        <v>3.9230000000000001E-2</v>
      </c>
      <c r="Q10" s="50"/>
      <c r="R10" s="52"/>
      <c r="S10" s="52"/>
      <c r="T10" s="53"/>
      <c r="V10" t="s">
        <v>46</v>
      </c>
      <c r="W10" s="203">
        <f t="shared" si="0"/>
        <v>4.7E-2</v>
      </c>
      <c r="X10" t="b">
        <v>0</v>
      </c>
      <c r="Y10" s="5">
        <f t="shared" si="1"/>
        <v>0</v>
      </c>
      <c r="Z10" s="203">
        <f>RUB_DATA!U10</f>
        <v>4.7E-2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RUB_DATA!Z10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335</v>
      </c>
      <c r="BO10" s="5">
        <f t="shared" si="6"/>
        <v>51.000000000000512</v>
      </c>
      <c r="BP10" s="5" t="b">
        <v>1</v>
      </c>
      <c r="BQ10" s="5"/>
      <c r="BR10" s="362">
        <f>INR_DATA!AZ11</f>
        <v>51.000000000000512</v>
      </c>
      <c r="BT10" s="50"/>
      <c r="BU10" s="57"/>
      <c r="BV10" s="57"/>
      <c r="BW10" s="52"/>
      <c r="BX10" s="299"/>
      <c r="BY10" s="583"/>
      <c r="BZ10" s="389"/>
      <c r="CA10" s="389"/>
      <c r="CB10" s="5"/>
      <c r="CC10" s="50"/>
      <c r="CD10" s="52"/>
      <c r="CE10" s="52"/>
      <c r="CF10" s="53"/>
      <c r="CI10" s="50"/>
      <c r="CJ10" s="52"/>
      <c r="CK10" s="52"/>
      <c r="CL10" s="53"/>
      <c r="CN10" s="436"/>
      <c r="CO10" s="545"/>
      <c r="CP10" s="547"/>
      <c r="CQ10" s="547"/>
      <c r="CR10" s="547"/>
      <c r="CU10" s="401"/>
      <c r="CV10" s="206"/>
      <c r="CW10" s="206"/>
      <c r="DS10" s="264"/>
      <c r="DT10" s="314"/>
      <c r="DU10" s="315"/>
      <c r="DV10" s="316"/>
      <c r="DW10" s="316"/>
      <c r="DX10" s="317"/>
      <c r="DY10" s="299"/>
      <c r="DZ10" s="318"/>
    </row>
    <row r="11" spans="1:130" x14ac:dyDescent="0.25">
      <c r="F11" s="50"/>
      <c r="G11" s="54" t="s">
        <v>671</v>
      </c>
      <c r="H11" s="52"/>
      <c r="I11" s="53"/>
      <c r="K11" t="s">
        <v>46</v>
      </c>
      <c r="L11" s="357">
        <f t="shared" si="2"/>
        <v>3.9559999999999998E-2</v>
      </c>
      <c r="M11" s="5" t="b">
        <v>1</v>
      </c>
      <c r="N11" s="5">
        <f t="shared" si="3"/>
        <v>0</v>
      </c>
      <c r="O11" s="357">
        <f>INR_DATA!M11</f>
        <v>3.9559999999999998E-2</v>
      </c>
      <c r="Q11" s="50"/>
      <c r="R11" s="54" t="s">
        <v>671</v>
      </c>
      <c r="S11" s="52" t="s">
        <v>713</v>
      </c>
      <c r="T11" s="53"/>
      <c r="V11" t="s">
        <v>322</v>
      </c>
      <c r="W11" s="203">
        <f t="shared" si="0"/>
        <v>4.7E-2</v>
      </c>
      <c r="X11" t="b">
        <v>0</v>
      </c>
      <c r="Y11" s="5">
        <f t="shared" si="1"/>
        <v>0</v>
      </c>
      <c r="Z11" s="203">
        <f>RUB_DATA!U10</f>
        <v>4.7E-2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RUB_DATA!Z11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49</v>
      </c>
      <c r="BO11" s="5">
        <f t="shared" si="6"/>
        <v>73.000000000000398</v>
      </c>
      <c r="BP11" s="5" t="b">
        <v>1</v>
      </c>
      <c r="BQ11" s="5"/>
      <c r="BR11" s="362">
        <f>INR_DATA!AZ12</f>
        <v>73.000000000000398</v>
      </c>
      <c r="BT11" s="50"/>
      <c r="BU11" s="56" t="s">
        <v>671</v>
      </c>
      <c r="BV11" s="272" t="s">
        <v>825</v>
      </c>
      <c r="BW11" s="52"/>
      <c r="BX11" s="299"/>
      <c r="BY11" s="583"/>
      <c r="BZ11" s="389"/>
      <c r="CA11" s="389"/>
      <c r="CB11" s="5"/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N11" s="436"/>
      <c r="CO11" s="545"/>
      <c r="CP11" s="547"/>
      <c r="CQ11" s="547"/>
      <c r="CR11" s="547"/>
      <c r="CU11" s="401"/>
      <c r="CV11" s="206"/>
      <c r="CW11" s="206"/>
      <c r="DS11" s="264"/>
      <c r="DT11" s="314"/>
      <c r="DU11" s="315"/>
      <c r="DV11" s="316"/>
      <c r="DW11" s="316"/>
      <c r="DX11" s="317"/>
      <c r="DY11" s="299"/>
      <c r="DZ11" s="318"/>
    </row>
    <row r="12" spans="1:130" x14ac:dyDescent="0.25">
      <c r="F12" s="50"/>
      <c r="G12" s="212" t="s">
        <v>435</v>
      </c>
      <c r="H12" s="213" t="s">
        <v>426</v>
      </c>
      <c r="I12" s="53"/>
      <c r="K12" t="s">
        <v>376</v>
      </c>
      <c r="L12" s="357">
        <f t="shared" si="2"/>
        <v>3.9980000000000002E-2</v>
      </c>
      <c r="M12" s="5" t="b">
        <v>1</v>
      </c>
      <c r="N12" s="5">
        <f t="shared" si="3"/>
        <v>0</v>
      </c>
      <c r="O12" s="357">
        <f>INR_DATA!M12</f>
        <v>3.9980000000000002E-2</v>
      </c>
      <c r="Q12" s="50"/>
      <c r="R12" s="220" t="s">
        <v>435</v>
      </c>
      <c r="S12" s="221" t="s">
        <v>463</v>
      </c>
      <c r="T12" s="53"/>
      <c r="V12" t="s">
        <v>1206</v>
      </c>
      <c r="W12" s="203">
        <f t="shared" si="0"/>
        <v>4.7199999999999999E-2</v>
      </c>
      <c r="X12" t="b">
        <v>1</v>
      </c>
      <c r="Y12" s="5">
        <f t="shared" si="1"/>
        <v>0</v>
      </c>
      <c r="Z12" s="203">
        <f>RUB_DATA!U11</f>
        <v>4.7199999999999999E-2</v>
      </c>
      <c r="AA12" s="203"/>
      <c r="AB12" s="50"/>
      <c r="AC12" s="220" t="s">
        <v>434</v>
      </c>
      <c r="AD12" s="238" t="str">
        <f>$A$1</f>
        <v>INR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RUB_DATA!Z12</f>
        <v>1E-3</v>
      </c>
      <c r="AL12" s="207"/>
      <c r="AM12" s="50"/>
      <c r="AN12" s="220" t="s">
        <v>434</v>
      </c>
      <c r="AO12" s="238" t="str">
        <f>$A$1</f>
        <v>INR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INR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46</v>
      </c>
      <c r="BO12" s="5">
        <f t="shared" si="6"/>
        <v>146.99999999999989</v>
      </c>
      <c r="BP12" s="5" t="b">
        <v>1</v>
      </c>
      <c r="BQ12" s="5"/>
      <c r="BR12" s="362">
        <f>INR_DATA!AZ13</f>
        <v>146.99999999999989</v>
      </c>
      <c r="BT12" s="50"/>
      <c r="BU12" s="238" t="s">
        <v>434</v>
      </c>
      <c r="BV12" s="238" t="s">
        <v>1311</v>
      </c>
      <c r="BW12" s="52"/>
      <c r="BX12" s="299"/>
      <c r="BY12" s="583"/>
      <c r="BZ12" s="389"/>
      <c r="CA12" s="389"/>
      <c r="CB12" s="5"/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N12" s="436"/>
      <c r="CO12" s="545"/>
      <c r="CP12" s="547"/>
      <c r="CQ12" s="547"/>
      <c r="CR12" s="547"/>
      <c r="CU12" s="401"/>
      <c r="CV12" s="206"/>
      <c r="CW12" s="206"/>
      <c r="DS12" s="264"/>
      <c r="DT12" s="314"/>
      <c r="DU12" s="315"/>
      <c r="DV12" s="316"/>
      <c r="DW12" s="316"/>
      <c r="DX12" s="317"/>
      <c r="DY12" s="303"/>
      <c r="DZ12" s="318"/>
    </row>
    <row r="13" spans="1:130" x14ac:dyDescent="0.25">
      <c r="F13" s="50"/>
      <c r="G13" s="214" t="s">
        <v>438</v>
      </c>
      <c r="H13" s="215" t="str">
        <f>IF(INDEX('STATIC DATA'!C60:AZ60,1,MATCH($A$1,'STATIC DATA'!C4:AZ4,0))="1D","DAILY","#Not FOUND")</f>
        <v>DAILY</v>
      </c>
      <c r="I13" s="53"/>
      <c r="K13" t="s">
        <v>47</v>
      </c>
      <c r="L13" s="357">
        <f t="shared" si="2"/>
        <v>3.977E-2</v>
      </c>
      <c r="M13" s="5" t="b">
        <v>1</v>
      </c>
      <c r="N13" s="5">
        <f t="shared" si="3"/>
        <v>0</v>
      </c>
      <c r="O13" s="357">
        <f>INR_DATA!M13</f>
        <v>3.977E-2</v>
      </c>
      <c r="Q13" s="50"/>
      <c r="R13" s="222" t="s">
        <v>438</v>
      </c>
      <c r="S13" s="223" t="str">
        <f>IF(INDEX('STATIC DATA'!C56:AZ56,1,MATCH(A1,'STATIC DATA'!C4:AZ4,0))="1Y","ANNUAL",(IF(INDEX('STATIC DATA'!C56:AZ56,1,MATCH($A$1,'STATIC DATA'!C4:AZ4,0))="6M","SEMI-ANNUAL","QUARTERLY")))</f>
        <v>QUARTERLY</v>
      </c>
      <c r="T13" s="53"/>
      <c r="V13" t="s">
        <v>1207</v>
      </c>
      <c r="W13" s="203">
        <f t="shared" si="0"/>
        <v>4.7100000000000003E-2</v>
      </c>
      <c r="X13" t="b">
        <v>1</v>
      </c>
      <c r="Y13" s="5">
        <f t="shared" si="1"/>
        <v>0</v>
      </c>
      <c r="Z13" s="203">
        <f>RUB_DATA!U12</f>
        <v>4.7100000000000003E-2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RUB_DATA!Z13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473" t="s">
        <v>459</v>
      </c>
      <c r="BL13" s="53"/>
      <c r="BN13" t="s">
        <v>376</v>
      </c>
      <c r="BO13" s="5">
        <f t="shared" si="6"/>
        <v>231.00000000000023</v>
      </c>
      <c r="BP13" s="5" t="b">
        <v>1</v>
      </c>
      <c r="BQ13" s="5"/>
      <c r="BR13" s="362">
        <f>INR_DATA!AZ14</f>
        <v>231.00000000000023</v>
      </c>
      <c r="BT13" s="50"/>
      <c r="BU13" s="216" t="s">
        <v>724</v>
      </c>
      <c r="BV13" s="216" t="s">
        <v>1582</v>
      </c>
      <c r="BW13" s="52"/>
      <c r="BX13" s="299"/>
      <c r="BY13" s="583"/>
      <c r="BZ13" s="389"/>
      <c r="CA13" s="389"/>
      <c r="CB13" s="5"/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N13" s="436"/>
      <c r="CO13" s="545"/>
      <c r="CP13" s="547"/>
      <c r="CQ13" s="547"/>
      <c r="CR13" s="547"/>
      <c r="CU13" s="401"/>
      <c r="CV13" s="206"/>
      <c r="CW13" s="206"/>
      <c r="DS13" s="264"/>
      <c r="DT13" s="314"/>
      <c r="DU13" s="315"/>
      <c r="DV13" s="316"/>
      <c r="DW13" s="316"/>
      <c r="DX13" s="317"/>
      <c r="DY13" s="313"/>
      <c r="DZ13" s="318"/>
    </row>
    <row r="14" spans="1:130" x14ac:dyDescent="0.25">
      <c r="F14" s="50"/>
      <c r="G14" s="214" t="s">
        <v>672</v>
      </c>
      <c r="H14" s="215" t="s">
        <v>426</v>
      </c>
      <c r="I14" s="53"/>
      <c r="K14" t="s">
        <v>308</v>
      </c>
      <c r="L14" s="357">
        <f t="shared" si="2"/>
        <v>4.1169999999999998E-2</v>
      </c>
      <c r="M14" s="5" t="b">
        <v>1</v>
      </c>
      <c r="N14" s="5">
        <f t="shared" si="3"/>
        <v>0</v>
      </c>
      <c r="O14" s="357">
        <f>INR_DATA!M14</f>
        <v>4.1169999999999998E-2</v>
      </c>
      <c r="Q14" s="50"/>
      <c r="R14" s="222" t="s">
        <v>672</v>
      </c>
      <c r="S14" s="223" t="s">
        <v>714</v>
      </c>
      <c r="T14" s="53"/>
      <c r="V14" t="s">
        <v>1208</v>
      </c>
      <c r="W14" s="203">
        <f t="shared" si="0"/>
        <v>4.7100000000000003E-2</v>
      </c>
      <c r="X14" t="b">
        <v>1</v>
      </c>
      <c r="Y14" s="5">
        <f t="shared" si="1"/>
        <v>0</v>
      </c>
      <c r="Z14" s="203">
        <f>RUB_DATA!U13</f>
        <v>4.7100000000000003E-2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RUB_DATA!Z14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1309</v>
      </c>
      <c r="BL14" s="53"/>
      <c r="BN14" t="s">
        <v>322</v>
      </c>
      <c r="BO14" s="5">
        <f t="shared" si="6"/>
        <v>312.00000000000045</v>
      </c>
      <c r="BP14" s="5" t="b">
        <v>1</v>
      </c>
      <c r="BQ14" s="5">
        <f t="shared" ref="BQ14:BQ16" si="7">$BQ$4</f>
        <v>0</v>
      </c>
      <c r="BR14" s="362">
        <f>INR_DATA!AZ15</f>
        <v>312.00000000000045</v>
      </c>
      <c r="BT14" s="50"/>
      <c r="BU14" s="216" t="s">
        <v>435</v>
      </c>
      <c r="BV14" s="216" t="s">
        <v>820</v>
      </c>
      <c r="BW14" s="52"/>
      <c r="BX14" s="299"/>
      <c r="BY14" s="583"/>
      <c r="BZ14" s="389"/>
      <c r="CA14" s="389"/>
      <c r="CB14" s="5"/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N14" s="436"/>
      <c r="CO14" s="545"/>
      <c r="CP14" s="547"/>
      <c r="CQ14" s="547"/>
      <c r="CR14" s="547"/>
      <c r="CU14" s="401"/>
      <c r="CV14" s="206"/>
      <c r="CW14" s="206"/>
      <c r="DS14" s="264"/>
      <c r="DT14" s="314"/>
      <c r="DU14" s="315"/>
      <c r="DV14" s="316"/>
      <c r="DW14" s="316"/>
      <c r="DX14" s="317"/>
      <c r="DY14" s="299"/>
      <c r="DZ14" s="318"/>
    </row>
    <row r="15" spans="1:130" x14ac:dyDescent="0.25">
      <c r="F15" s="50"/>
      <c r="G15" s="235" t="s">
        <v>673</v>
      </c>
      <c r="H15" s="236" t="str">
        <f>H14&amp;":"&amp;$A$1&amp;H12</f>
        <v>OIS:INROIS</v>
      </c>
      <c r="I15" s="53" t="s">
        <v>424</v>
      </c>
      <c r="K15" t="s">
        <v>316</v>
      </c>
      <c r="L15" s="357">
        <f t="shared" si="2"/>
        <v>4.2999999999999997E-2</v>
      </c>
      <c r="M15" s="5" t="b">
        <v>1</v>
      </c>
      <c r="N15" s="5">
        <f t="shared" si="3"/>
        <v>0</v>
      </c>
      <c r="O15" s="357">
        <f>INR_DATA!M15</f>
        <v>4.2999999999999997E-2</v>
      </c>
      <c r="Q15" s="50"/>
      <c r="R15" s="233" t="s">
        <v>673</v>
      </c>
      <c r="S15" s="230" t="str">
        <f>"STD:"&amp;"MUM3M"</f>
        <v>STD:MUM3M</v>
      </c>
      <c r="T15" s="53"/>
      <c r="V15" t="s">
        <v>1209</v>
      </c>
      <c r="W15" s="203">
        <f t="shared" si="0"/>
        <v>4.6799999999999994E-2</v>
      </c>
      <c r="X15" t="b">
        <v>1</v>
      </c>
      <c r="Y15" s="5">
        <f t="shared" si="1"/>
        <v>0</v>
      </c>
      <c r="Z15" s="203">
        <f>RUB_DATA!U14</f>
        <v>4.6799999999999994E-2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RUB_DATA!Z15</f>
        <v>1E-3</v>
      </c>
      <c r="AL15" s="207"/>
      <c r="AM15" s="50"/>
      <c r="AN15" s="222" t="s">
        <v>1580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1580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1308</v>
      </c>
      <c r="BL15" s="53"/>
      <c r="BN15" t="s">
        <v>308</v>
      </c>
      <c r="BO15" s="358">
        <f>BR15+BQ15/10000</f>
        <v>4.5499999999999999E-2</v>
      </c>
      <c r="BP15" s="5" t="b">
        <v>1</v>
      </c>
      <c r="BQ15" s="5">
        <f t="shared" si="7"/>
        <v>0</v>
      </c>
      <c r="BR15" s="368">
        <f>INR_DATA!AZ21</f>
        <v>4.5499999999999999E-2</v>
      </c>
      <c r="BT15" s="50"/>
      <c r="BU15" s="219" t="s">
        <v>826</v>
      </c>
      <c r="BV15" s="219" t="s">
        <v>828</v>
      </c>
      <c r="BW15" s="52"/>
      <c r="BX15" s="299"/>
      <c r="BY15" s="583"/>
      <c r="BZ15" s="389"/>
      <c r="CA15" s="389"/>
      <c r="CB15" s="5"/>
      <c r="CC15" s="50"/>
      <c r="CD15" s="222" t="s">
        <v>673</v>
      </c>
      <c r="CE15" s="216" t="s">
        <v>1315</v>
      </c>
      <c r="CF15" s="53"/>
      <c r="CI15" s="50"/>
      <c r="CJ15" s="222" t="s">
        <v>673</v>
      </c>
      <c r="CK15" s="216" t="s">
        <v>1604</v>
      </c>
      <c r="CL15" s="53"/>
      <c r="CN15" s="436"/>
      <c r="CO15" s="545"/>
      <c r="CP15" s="547"/>
      <c r="CQ15" s="547"/>
      <c r="CR15" s="547"/>
      <c r="CU15" s="401"/>
      <c r="CV15" s="206"/>
      <c r="CW15" s="206"/>
      <c r="DS15" s="264"/>
      <c r="DT15" s="314"/>
      <c r="DU15" s="315"/>
      <c r="DV15" s="316"/>
      <c r="DW15" s="316"/>
      <c r="DX15" s="317"/>
      <c r="DY15" s="299"/>
      <c r="DZ15" s="318"/>
    </row>
    <row r="16" spans="1:130" x14ac:dyDescent="0.25">
      <c r="F16" s="50"/>
      <c r="G16" s="214" t="s">
        <v>434</v>
      </c>
      <c r="H16" s="216" t="str">
        <f>$A$1</f>
        <v>INR</v>
      </c>
      <c r="I16" s="53"/>
      <c r="K16" t="s">
        <v>324</v>
      </c>
      <c r="L16" s="357">
        <f t="shared" si="2"/>
        <v>4.4790000000000003E-2</v>
      </c>
      <c r="M16" s="5" t="b">
        <v>1</v>
      </c>
      <c r="N16" s="5">
        <f t="shared" si="3"/>
        <v>0</v>
      </c>
      <c r="O16" s="357">
        <f>INR_DATA!M16</f>
        <v>4.4790000000000003E-2</v>
      </c>
      <c r="Q16" s="50"/>
      <c r="R16" s="222" t="s">
        <v>434</v>
      </c>
      <c r="S16" s="223" t="str">
        <f>$A$1</f>
        <v>INR</v>
      </c>
      <c r="T16" s="53"/>
      <c r="V16" t="s">
        <v>1076</v>
      </c>
      <c r="W16" s="203">
        <f t="shared" si="0"/>
        <v>4.8300000000000003E-2</v>
      </c>
      <c r="X16" t="b">
        <v>1</v>
      </c>
      <c r="Y16" s="5">
        <f t="shared" si="1"/>
        <v>0</v>
      </c>
      <c r="Z16" s="203">
        <f>RUB_DATA!U15</f>
        <v>4.8300000000000003E-2</v>
      </c>
      <c r="AA16" s="203"/>
      <c r="AB16" s="50"/>
      <c r="AC16" s="233" t="s">
        <v>673</v>
      </c>
      <c r="AD16" s="230" t="s">
        <v>962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RUB_DATA!Z16</f>
        <v>1E-3</v>
      </c>
      <c r="AL16" s="207"/>
      <c r="AM16" s="50"/>
      <c r="AN16" s="233" t="s">
        <v>673</v>
      </c>
      <c r="AO16" s="230" t="str">
        <f>"3M12MBasis:"&amp;$A$1&amp;"12M"</f>
        <v>3M12MBasis:INR12M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"1M3MBasis:MOS3M"</f>
        <v>1M3MBasis:MOS3M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INR</v>
      </c>
      <c r="BL16" s="53"/>
      <c r="BN16" t="s">
        <v>316</v>
      </c>
      <c r="BO16" s="358">
        <f t="shared" ref="BO16:BO19" si="8">BR16+BQ16/10000</f>
        <v>4.7599999999999996E-2</v>
      </c>
      <c r="BP16" s="5" t="b">
        <v>1</v>
      </c>
      <c r="BQ16" s="5">
        <f t="shared" si="7"/>
        <v>0</v>
      </c>
      <c r="BR16" s="368">
        <f>INR_DATA!AZ22</f>
        <v>4.7599999999999996E-2</v>
      </c>
      <c r="BT16" s="50"/>
      <c r="BU16" s="57"/>
      <c r="BV16" s="57"/>
      <c r="BW16" s="52"/>
      <c r="BX16" s="299"/>
      <c r="BY16" s="583"/>
      <c r="BZ16" s="389"/>
      <c r="CA16" s="389"/>
      <c r="CB16" s="5"/>
      <c r="CC16" s="50"/>
      <c r="CD16" s="233" t="s">
        <v>434</v>
      </c>
      <c r="CE16" s="230" t="s">
        <v>1296</v>
      </c>
      <c r="CF16" s="53"/>
      <c r="CI16" s="50"/>
      <c r="CJ16" s="233" t="s">
        <v>434</v>
      </c>
      <c r="CK16" s="230" t="s">
        <v>1296</v>
      </c>
      <c r="CL16" s="53"/>
      <c r="CN16" s="436"/>
      <c r="CO16" s="545"/>
      <c r="CP16" s="547"/>
      <c r="CQ16" s="547"/>
      <c r="CR16" s="547"/>
      <c r="CU16" s="401"/>
      <c r="CV16" s="206"/>
      <c r="CW16" s="206"/>
      <c r="DS16" s="264"/>
      <c r="DT16" s="314"/>
      <c r="DU16" s="315"/>
      <c r="DV16" s="316"/>
      <c r="DW16" s="316"/>
      <c r="DX16" s="317"/>
      <c r="DY16" s="299"/>
      <c r="DZ16" s="318"/>
    </row>
    <row r="17" spans="6:130" x14ac:dyDescent="0.25">
      <c r="F17" s="50"/>
      <c r="G17" s="217" t="s">
        <v>674</v>
      </c>
      <c r="H17" s="216" t="s">
        <v>675</v>
      </c>
      <c r="I17" s="53"/>
      <c r="K17" t="s">
        <v>331</v>
      </c>
      <c r="L17" s="357">
        <f t="shared" si="2"/>
        <v>4.607E-2</v>
      </c>
      <c r="M17" s="5" t="b">
        <v>1</v>
      </c>
      <c r="N17" s="5">
        <f t="shared" si="3"/>
        <v>0</v>
      </c>
      <c r="O17" s="357">
        <f>INR_DATA!M17</f>
        <v>4.607E-2</v>
      </c>
      <c r="Q17" s="50"/>
      <c r="R17" s="222" t="s">
        <v>674</v>
      </c>
      <c r="S17" s="223" t="s">
        <v>715</v>
      </c>
      <c r="T17" s="53"/>
      <c r="V17" s="2" t="s">
        <v>47</v>
      </c>
      <c r="W17" s="476">
        <f t="shared" si="0"/>
        <v>4.8399999999999999E-2</v>
      </c>
      <c r="X17" s="2" t="b">
        <v>0</v>
      </c>
      <c r="Y17" s="4">
        <f t="shared" si="1"/>
        <v>0</v>
      </c>
      <c r="Z17" s="476">
        <f>RUB_DATA!U18</f>
        <v>4.8399999999999999E-2</v>
      </c>
      <c r="AA17" s="203"/>
      <c r="AB17" s="50"/>
      <c r="AC17" s="222" t="s">
        <v>674</v>
      </c>
      <c r="AD17" s="216" t="s">
        <v>675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RUB_DATA!Z17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M17" t="s">
        <v>807</v>
      </c>
      <c r="BN17" t="s">
        <v>331</v>
      </c>
      <c r="BO17" s="358">
        <f t="shared" si="8"/>
        <v>5.2300000000000006E-2</v>
      </c>
      <c r="BP17" s="5" t="b">
        <v>1</v>
      </c>
      <c r="BQ17" s="5">
        <f>$BQ$4</f>
        <v>0</v>
      </c>
      <c r="BR17" s="368">
        <f>INR_DATA!AZ23</f>
        <v>5.2300000000000006E-2</v>
      </c>
      <c r="BT17" s="50"/>
      <c r="BU17" s="57"/>
      <c r="BV17" s="57"/>
      <c r="BW17" s="52"/>
      <c r="BX17" s="299"/>
      <c r="BY17" s="583"/>
      <c r="BZ17" s="389"/>
      <c r="CA17" s="389"/>
      <c r="CB17" s="5"/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3"/>
      <c r="CN17" s="436"/>
      <c r="CO17" s="545"/>
      <c r="CP17" s="547"/>
      <c r="CQ17" s="547"/>
      <c r="CR17" s="547"/>
      <c r="CU17" s="401"/>
      <c r="CV17" s="206"/>
      <c r="CW17" s="206"/>
      <c r="DS17" s="264"/>
      <c r="DT17" s="314"/>
      <c r="DU17" s="315"/>
      <c r="DV17" s="316"/>
      <c r="DW17" s="316"/>
      <c r="DX17" s="317"/>
      <c r="DY17" s="299"/>
      <c r="DZ17" s="318"/>
    </row>
    <row r="18" spans="6:130" x14ac:dyDescent="0.25">
      <c r="F18" s="50"/>
      <c r="G18" s="214" t="s">
        <v>676</v>
      </c>
      <c r="H18" s="216" t="s">
        <v>675</v>
      </c>
      <c r="I18" s="53"/>
      <c r="K18" t="s">
        <v>342</v>
      </c>
      <c r="L18" s="357">
        <f t="shared" si="2"/>
        <v>4.8680000000000001E-2</v>
      </c>
      <c r="M18" s="5" t="b">
        <v>1</v>
      </c>
      <c r="N18" s="5">
        <f t="shared" si="3"/>
        <v>0</v>
      </c>
      <c r="O18" s="357">
        <f>INR_DATA!M18</f>
        <v>4.8680000000000001E-2</v>
      </c>
      <c r="Q18" s="50"/>
      <c r="R18" s="222" t="s">
        <v>676</v>
      </c>
      <c r="S18" s="223" t="s">
        <v>715</v>
      </c>
      <c r="T18" s="53"/>
      <c r="V18" t="s">
        <v>308</v>
      </c>
      <c r="W18" s="203">
        <f t="shared" si="0"/>
        <v>5.0300000000000004E-2</v>
      </c>
      <c r="X18" t="b">
        <v>1</v>
      </c>
      <c r="Y18" s="5">
        <f t="shared" si="1"/>
        <v>0</v>
      </c>
      <c r="Z18" s="203">
        <f>RUB_DATA!U19</f>
        <v>5.0300000000000004E-2</v>
      </c>
      <c r="AA18" s="203"/>
      <c r="AB18" s="50"/>
      <c r="AC18" s="222" t="s">
        <v>676</v>
      </c>
      <c r="AD18" s="216" t="s">
        <v>675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RUB_DATA!Z18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t="s">
        <v>342</v>
      </c>
      <c r="BO18" s="358">
        <f t="shared" si="8"/>
        <v>5.2300000000000006E-2</v>
      </c>
      <c r="BP18" s="5" t="b">
        <v>1</v>
      </c>
      <c r="BQ18" s="5">
        <f>$BQ$4</f>
        <v>0</v>
      </c>
      <c r="BR18" s="368">
        <f>INR_DATA!AZ24</f>
        <v>5.2300000000000006E-2</v>
      </c>
      <c r="BT18" s="50"/>
      <c r="BU18" s="57"/>
      <c r="BV18" s="57"/>
      <c r="BW18" s="52"/>
      <c r="BX18" s="299"/>
      <c r="BY18" s="583"/>
      <c r="BZ18" s="389"/>
      <c r="CA18" s="389"/>
      <c r="CB18" s="5"/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3"/>
      <c r="CN18" s="436"/>
      <c r="CO18" s="545"/>
      <c r="CP18" s="547"/>
      <c r="CQ18" s="547"/>
      <c r="CR18" s="547"/>
      <c r="CU18" s="401"/>
      <c r="CV18" s="206"/>
      <c r="CW18" s="206"/>
      <c r="DS18" s="264"/>
      <c r="DT18" s="314"/>
      <c r="DU18" s="315"/>
      <c r="DV18" s="316"/>
      <c r="DW18" s="316"/>
      <c r="DX18" s="317"/>
      <c r="DY18" s="299"/>
      <c r="DZ18" s="318"/>
    </row>
    <row r="19" spans="6:130" x14ac:dyDescent="0.25">
      <c r="F19" s="50"/>
      <c r="G19" s="214"/>
      <c r="H19" s="216"/>
      <c r="I19" s="53"/>
      <c r="K19" t="s">
        <v>349</v>
      </c>
      <c r="L19" s="357">
        <f t="shared" si="2"/>
        <v>5.2595000000000003E-2</v>
      </c>
      <c r="M19" s="5" t="b">
        <v>1</v>
      </c>
      <c r="N19" s="5">
        <f t="shared" si="3"/>
        <v>0</v>
      </c>
      <c r="O19" s="357">
        <f>INR_DATA!M19</f>
        <v>5.2595000000000003E-2</v>
      </c>
      <c r="Q19" s="50"/>
      <c r="R19" s="222" t="s">
        <v>716</v>
      </c>
      <c r="S19" s="223" t="s">
        <v>715</v>
      </c>
      <c r="T19" s="53"/>
      <c r="V19" t="s">
        <v>316</v>
      </c>
      <c r="W19" s="203">
        <f t="shared" si="0"/>
        <v>5.2300000000000006E-2</v>
      </c>
      <c r="X19" t="b">
        <v>1</v>
      </c>
      <c r="Y19" s="5">
        <f t="shared" si="1"/>
        <v>0</v>
      </c>
      <c r="Z19" s="203">
        <f>RUB_DATA!U20</f>
        <v>5.2300000000000006E-2</v>
      </c>
      <c r="AA19" s="203"/>
      <c r="AB19" s="50"/>
      <c r="AC19" s="222" t="s">
        <v>746</v>
      </c>
      <c r="AD19" s="216" t="s">
        <v>675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RUB_DATA!Z19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349</v>
      </c>
      <c r="BO19" s="358">
        <f t="shared" si="8"/>
        <v>5.1799999999999999E-2</v>
      </c>
      <c r="BP19" s="5" t="b">
        <v>1</v>
      </c>
      <c r="BQ19" s="5">
        <f t="shared" ref="BQ19" si="9">$BQ$4</f>
        <v>0</v>
      </c>
      <c r="BR19" s="368">
        <f>INR_DATA!AZ25</f>
        <v>5.1799999999999999E-2</v>
      </c>
      <c r="BT19" s="50"/>
      <c r="BU19" s="56" t="s">
        <v>814</v>
      </c>
      <c r="BV19" s="57"/>
      <c r="BW19" s="262"/>
      <c r="BX19" s="303"/>
      <c r="BY19" s="583"/>
      <c r="BZ19" s="389"/>
      <c r="CA19" s="389"/>
      <c r="CB19" s="5"/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3"/>
      <c r="CN19" s="436"/>
      <c r="CO19" s="545"/>
      <c r="CP19" s="547"/>
      <c r="CQ19" s="547"/>
      <c r="CR19" s="547"/>
      <c r="CU19" s="401"/>
      <c r="CV19" s="206"/>
      <c r="CW19" s="206"/>
      <c r="DS19" s="264"/>
      <c r="DT19" s="314"/>
      <c r="DU19" s="315"/>
      <c r="DV19" s="316"/>
      <c r="DW19" s="316"/>
      <c r="DX19" s="317"/>
      <c r="DY19" s="299"/>
      <c r="DZ19" s="318"/>
    </row>
    <row r="20" spans="6:130" x14ac:dyDescent="0.25">
      <c r="F20" s="50"/>
      <c r="G20" s="218"/>
      <c r="H20" s="219"/>
      <c r="I20" s="53"/>
      <c r="K20" t="s">
        <v>358</v>
      </c>
      <c r="L20" s="357">
        <f t="shared" si="2"/>
        <v>5.2595000000000003E-2</v>
      </c>
      <c r="M20" s="5" t="b">
        <v>1</v>
      </c>
      <c r="N20" s="5">
        <f t="shared" si="3"/>
        <v>0</v>
      </c>
      <c r="O20" s="357">
        <f>O19</f>
        <v>5.2595000000000003E-2</v>
      </c>
      <c r="Q20" s="50"/>
      <c r="R20" s="233" t="s">
        <v>717</v>
      </c>
      <c r="S20" s="230" t="s">
        <v>718</v>
      </c>
      <c r="T20" s="53"/>
      <c r="V20" t="s">
        <v>324</v>
      </c>
      <c r="W20" s="203">
        <f t="shared" si="0"/>
        <v>5.4299999999999994E-2</v>
      </c>
      <c r="X20" t="b">
        <v>1</v>
      </c>
      <c r="Y20" s="5">
        <f t="shared" si="1"/>
        <v>0</v>
      </c>
      <c r="Z20" s="203">
        <f>RUB_DATA!U21</f>
        <v>5.4299999999999994E-2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O20" s="358"/>
      <c r="BP20" s="5"/>
      <c r="BQ20" s="5"/>
      <c r="BR20" s="357"/>
      <c r="BT20" s="50"/>
      <c r="BU20" s="147" t="s">
        <v>704</v>
      </c>
      <c r="BV20" s="221" t="str">
        <f>INDEX('STATIC DATA'!C30:AF30,1,MATCH($A$1,'STATIC DATA'!$C$4:$AF$4,0))</f>
        <v>BMB:NYB:LNB</v>
      </c>
      <c r="BW20" s="52"/>
      <c r="BX20" s="299"/>
      <c r="BY20" s="583"/>
      <c r="BZ20" s="389"/>
      <c r="CA20" s="389"/>
      <c r="CB20" s="5"/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N20" s="436"/>
      <c r="CO20" s="545"/>
      <c r="CP20" s="547"/>
      <c r="CQ20" s="547"/>
      <c r="CR20" s="547"/>
      <c r="CU20" s="401"/>
      <c r="CV20" s="206"/>
      <c r="CW20" s="206"/>
      <c r="DS20" s="264"/>
      <c r="DT20" s="314"/>
      <c r="DU20" s="315"/>
      <c r="DV20" s="316"/>
      <c r="DW20" s="316"/>
      <c r="DX20" s="317"/>
      <c r="DY20" s="299"/>
      <c r="DZ20" s="318"/>
    </row>
    <row r="21" spans="6:130" x14ac:dyDescent="0.25">
      <c r="F21" s="50"/>
      <c r="G21" s="52"/>
      <c r="H21" s="52"/>
      <c r="I21" s="53"/>
      <c r="K21" t="s">
        <v>367</v>
      </c>
      <c r="L21" s="357">
        <f t="shared" si="2"/>
        <v>5.2595000000000003E-2</v>
      </c>
      <c r="M21" s="5" t="b">
        <v>1</v>
      </c>
      <c r="N21" s="5">
        <f t="shared" si="3"/>
        <v>0</v>
      </c>
      <c r="O21" s="357">
        <f t="shared" ref="O21:O22" si="10">O20</f>
        <v>5.2595000000000003E-2</v>
      </c>
      <c r="Q21" s="50"/>
      <c r="R21" s="233" t="s">
        <v>719</v>
      </c>
      <c r="S21" s="230" t="s">
        <v>720</v>
      </c>
      <c r="T21" s="53"/>
      <c r="V21" t="s">
        <v>331</v>
      </c>
      <c r="W21" s="203">
        <f t="shared" si="0"/>
        <v>5.5999999999999994E-2</v>
      </c>
      <c r="X21" t="b">
        <v>1</v>
      </c>
      <c r="Y21" s="5">
        <f t="shared" si="1"/>
        <v>0</v>
      </c>
      <c r="Z21" s="203">
        <f>RUB_DATA!U22</f>
        <v>5.5999999999999994E-2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tr">
        <f>$A$1&amp;"3M"</f>
        <v>INR3M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961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O21" s="358"/>
      <c r="BP21" s="5"/>
      <c r="BQ21" s="5"/>
      <c r="BR21" s="357"/>
      <c r="BT21" s="50"/>
      <c r="BU21" s="149" t="s">
        <v>732</v>
      </c>
      <c r="BV21" s="223" t="s">
        <v>621</v>
      </c>
      <c r="BW21" s="52"/>
      <c r="BX21" s="299"/>
      <c r="BY21" s="583"/>
      <c r="BZ21" s="389"/>
      <c r="CA21" s="389"/>
      <c r="CB21" s="5"/>
      <c r="CN21" s="436"/>
      <c r="CO21" s="545"/>
      <c r="CP21" s="547"/>
      <c r="CQ21" s="547"/>
      <c r="CR21" s="547"/>
      <c r="CU21" s="401"/>
      <c r="CV21" s="206"/>
      <c r="CW21" s="206"/>
      <c r="DS21" s="264"/>
      <c r="DT21" s="314"/>
      <c r="DU21" s="315"/>
      <c r="DV21" s="316"/>
      <c r="DW21" s="316"/>
      <c r="DX21" s="317"/>
      <c r="DY21" s="299"/>
      <c r="DZ21" s="318"/>
    </row>
    <row r="22" spans="6:130" x14ac:dyDescent="0.25">
      <c r="F22" s="50"/>
      <c r="G22" s="54" t="s">
        <v>426</v>
      </c>
      <c r="H22" s="52"/>
      <c r="I22" s="53"/>
      <c r="K22" s="2" t="s">
        <v>1210</v>
      </c>
      <c r="L22" s="357">
        <f t="shared" si="2"/>
        <v>5.2595000000000003E-2</v>
      </c>
      <c r="M22" s="5" t="b">
        <v>1</v>
      </c>
      <c r="N22" s="5">
        <f t="shared" si="3"/>
        <v>0</v>
      </c>
      <c r="O22" s="357">
        <f t="shared" si="10"/>
        <v>5.2595000000000003E-2</v>
      </c>
      <c r="Q22" s="50"/>
      <c r="R22" s="222" t="s">
        <v>706</v>
      </c>
      <c r="S22" s="223" t="s">
        <v>721</v>
      </c>
      <c r="T22" s="53"/>
      <c r="V22" t="s">
        <v>339</v>
      </c>
      <c r="W22" s="203">
        <f t="shared" si="0"/>
        <v>5.7699999999999994E-2</v>
      </c>
      <c r="X22" t="b">
        <v>1</v>
      </c>
      <c r="Y22" s="5">
        <f t="shared" si="1"/>
        <v>0</v>
      </c>
      <c r="Z22" s="203">
        <f>RUB_DATA!U23</f>
        <v>5.7699999999999994E-2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O22" s="358"/>
      <c r="BP22" s="5"/>
      <c r="BQ22" s="5"/>
      <c r="BR22" s="357"/>
      <c r="BT22" s="50"/>
      <c r="BU22" s="149" t="s">
        <v>707</v>
      </c>
      <c r="BV22" s="223" t="s">
        <v>1189</v>
      </c>
      <c r="BW22" s="52"/>
      <c r="BX22" s="299"/>
      <c r="BY22" s="583"/>
      <c r="BZ22" s="389"/>
      <c r="CA22" s="389"/>
      <c r="CB22" s="5"/>
      <c r="CN22" s="436"/>
      <c r="CO22" s="545"/>
      <c r="CP22" s="547"/>
      <c r="CQ22" s="547"/>
      <c r="CR22" s="547"/>
      <c r="CU22" s="401"/>
      <c r="CV22" s="206"/>
      <c r="CW22" s="206"/>
      <c r="DS22" s="264"/>
      <c r="DT22" s="314"/>
      <c r="DU22" s="315"/>
      <c r="DV22" s="316"/>
      <c r="DW22" s="316"/>
      <c r="DX22" s="317"/>
      <c r="DY22" s="299"/>
      <c r="DZ22" s="318"/>
    </row>
    <row r="23" spans="6:130" x14ac:dyDescent="0.25">
      <c r="F23" s="50"/>
      <c r="G23" s="220" t="s">
        <v>677</v>
      </c>
      <c r="H23" s="221" t="str">
        <f>INDEX('STATIC DATA'!C43:AZ43,1,MATCH($A$1,'STATIC DATA'!$C$4:$AZ$4,0))</f>
        <v>BMB</v>
      </c>
      <c r="I23" s="53"/>
      <c r="L23" s="5"/>
      <c r="M23" s="5"/>
      <c r="N23" s="5"/>
      <c r="O23" s="5"/>
      <c r="Q23" s="50"/>
      <c r="R23" s="222" t="s">
        <v>722</v>
      </c>
      <c r="S23" s="475" t="b">
        <v>1</v>
      </c>
      <c r="T23" s="53"/>
      <c r="V23" t="s">
        <v>342</v>
      </c>
      <c r="W23" s="203">
        <f t="shared" si="0"/>
        <v>5.9299999999999999E-2</v>
      </c>
      <c r="X23" t="b">
        <v>1</v>
      </c>
      <c r="Y23" s="5">
        <f t="shared" si="1"/>
        <v>0</v>
      </c>
      <c r="Z23" s="203">
        <f>RUB_DATA!U24</f>
        <v>5.9299999999999999E-2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O23" s="358"/>
      <c r="BP23" s="5"/>
      <c r="BQ23" s="5"/>
      <c r="BR23" s="357"/>
      <c r="BT23" s="50"/>
      <c r="BU23" s="149" t="s">
        <v>689</v>
      </c>
      <c r="BV23" s="223" t="b">
        <v>1</v>
      </c>
      <c r="BW23" s="52"/>
      <c r="BX23" s="299"/>
      <c r="BY23" s="588"/>
      <c r="BZ23" s="589"/>
      <c r="CA23" s="589"/>
      <c r="CB23" s="5"/>
      <c r="CN23" s="436"/>
      <c r="CO23" s="545"/>
      <c r="CP23" s="547"/>
      <c r="CQ23" s="547"/>
      <c r="CR23" s="547"/>
      <c r="CU23" s="401"/>
      <c r="CV23" s="206"/>
      <c r="CW23" s="206"/>
      <c r="DS23" s="264"/>
      <c r="DT23" s="314"/>
      <c r="DU23" s="315"/>
      <c r="DV23" s="316"/>
      <c r="DW23" s="316"/>
      <c r="DX23" s="317"/>
      <c r="DY23" s="299"/>
      <c r="DZ23" s="318"/>
    </row>
    <row r="24" spans="6:130" x14ac:dyDescent="0.25">
      <c r="F24" s="50"/>
      <c r="G24" s="222" t="s">
        <v>678</v>
      </c>
      <c r="H24" s="223" t="str">
        <f>INDEX('STATIC DATA'!C59:AZ59,1,MATCH($A$1,'STATIC DATA'!C4:AZ4,0))</f>
        <v>ACT/365</v>
      </c>
      <c r="I24" s="53"/>
      <c r="L24" s="5"/>
      <c r="M24" s="5"/>
      <c r="N24" s="5"/>
      <c r="O24" s="5"/>
      <c r="Q24" s="50"/>
      <c r="R24" s="222" t="s">
        <v>723</v>
      </c>
      <c r="S24" s="223" t="s">
        <v>718</v>
      </c>
      <c r="T24" s="53"/>
      <c r="V24" t="s">
        <v>355</v>
      </c>
      <c r="W24" s="203">
        <f t="shared" si="0"/>
        <v>6.0700000000000004E-2</v>
      </c>
      <c r="X24" t="b">
        <v>1</v>
      </c>
      <c r="Y24" s="5">
        <f t="shared" si="1"/>
        <v>0</v>
      </c>
      <c r="Z24" s="203">
        <f>RUB_DATA!U25</f>
        <v>6.0700000000000004E-2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O24" s="358"/>
      <c r="BP24" s="5"/>
      <c r="BQ24" s="5"/>
      <c r="BR24" s="357"/>
      <c r="BT24" s="50"/>
      <c r="BU24" s="149" t="s">
        <v>688</v>
      </c>
      <c r="BV24" s="223">
        <v>31</v>
      </c>
      <c r="BW24" s="52"/>
      <c r="BX24" s="299"/>
      <c r="BZ24" s="375"/>
      <c r="CA24" s="375"/>
      <c r="CB24" s="5"/>
      <c r="CN24" s="436"/>
      <c r="CO24" s="545"/>
      <c r="CP24" s="547"/>
      <c r="CQ24" s="547"/>
      <c r="CR24" s="547"/>
      <c r="CU24" s="401"/>
      <c r="CV24" s="206"/>
      <c r="CW24" s="206"/>
      <c r="DS24" s="264"/>
      <c r="DT24" s="314"/>
      <c r="DU24" s="315"/>
      <c r="DV24" s="316"/>
      <c r="DW24" s="316"/>
      <c r="DX24" s="317"/>
      <c r="DY24" s="299"/>
      <c r="DZ24" s="318"/>
    </row>
    <row r="25" spans="6:130" x14ac:dyDescent="0.25">
      <c r="F25" s="50"/>
      <c r="G25" s="222" t="s">
        <v>679</v>
      </c>
      <c r="H25" s="223" t="str">
        <f>IF(INDEX('STATIC DATA'!C58:AZ58,1,MATCH(A1,'STATIC DATA'!C4:AZ4,0))="1Y","ANNUAL",(IF(INDEX('STATIC DATA'!C58:AZ58,1,MATCH($A$1,'STATIC DATA'!C4:AZ4,0))="6M","SEMI-ANNUAL", "QUARTERLY")))</f>
        <v>SEMI-ANNUAL</v>
      </c>
      <c r="I25" s="53"/>
      <c r="L25" s="5"/>
      <c r="M25" s="5"/>
      <c r="N25" s="5"/>
      <c r="O25" s="5"/>
      <c r="Q25" s="50"/>
      <c r="R25" s="234" t="s">
        <v>724</v>
      </c>
      <c r="S25" s="472" t="s">
        <v>426</v>
      </c>
      <c r="T25" s="53"/>
      <c r="V25" t="s">
        <v>364</v>
      </c>
      <c r="W25" s="203">
        <f t="shared" si="0"/>
        <v>6.1900000000000004E-2</v>
      </c>
      <c r="X25" t="b">
        <v>1</v>
      </c>
      <c r="Y25" s="5">
        <f t="shared" si="1"/>
        <v>0</v>
      </c>
      <c r="Z25" s="203">
        <f>RUB_DATA!U26</f>
        <v>6.1900000000000004E-2</v>
      </c>
      <c r="AA25" s="203"/>
      <c r="AB25" s="50"/>
      <c r="AC25" s="85" t="s">
        <v>713</v>
      </c>
      <c r="AD25" s="85" t="s">
        <v>713</v>
      </c>
      <c r="AE25" s="53"/>
      <c r="AF25" s="19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O25" s="358"/>
      <c r="BP25" s="5"/>
      <c r="BQ25" s="5"/>
      <c r="BR25" s="357"/>
      <c r="BT25" s="50"/>
      <c r="BU25" s="151" t="s">
        <v>819</v>
      </c>
      <c r="BV25" s="226" t="b">
        <v>0</v>
      </c>
      <c r="BW25" s="52"/>
      <c r="BX25" s="299"/>
      <c r="BZ25" s="375"/>
      <c r="CA25" s="375"/>
      <c r="CB25" s="5"/>
      <c r="CN25" s="436"/>
      <c r="CO25" s="545"/>
      <c r="CP25" s="547"/>
      <c r="CQ25" s="547"/>
      <c r="CR25" s="547"/>
      <c r="CU25" s="401"/>
      <c r="CV25" s="206"/>
      <c r="CW25" s="206"/>
      <c r="DS25" s="264"/>
      <c r="DT25" s="314"/>
      <c r="DU25" s="315"/>
      <c r="DV25" s="316"/>
      <c r="DW25" s="316"/>
      <c r="DX25" s="317"/>
      <c r="DY25" s="299"/>
      <c r="DZ25" s="318"/>
    </row>
    <row r="26" spans="6:130" x14ac:dyDescent="0.25">
      <c r="F26" s="50"/>
      <c r="G26" s="222" t="s">
        <v>681</v>
      </c>
      <c r="H26" s="223" t="s">
        <v>682</v>
      </c>
      <c r="I26" s="53"/>
      <c r="L26" s="5"/>
      <c r="M26" s="5"/>
      <c r="N26" s="5"/>
      <c r="O26" s="5"/>
      <c r="Q26" s="50"/>
      <c r="R26" s="52" t="s">
        <v>713</v>
      </c>
      <c r="S26" s="52" t="s">
        <v>713</v>
      </c>
      <c r="T26" s="53"/>
      <c r="V26" t="s">
        <v>349</v>
      </c>
      <c r="W26" s="203">
        <f t="shared" si="0"/>
        <v>6.2899999999999998E-2</v>
      </c>
      <c r="X26" t="b">
        <v>1</v>
      </c>
      <c r="Y26" s="5">
        <f t="shared" si="1"/>
        <v>0</v>
      </c>
      <c r="Z26" s="203">
        <f>RUB_DATA!U27</f>
        <v>6.2899999999999998E-2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55" t="s">
        <v>814</v>
      </c>
      <c r="BK26" s="256"/>
      <c r="BL26" s="53"/>
      <c r="BO26" s="358"/>
      <c r="BP26" s="5"/>
      <c r="BQ26" s="5"/>
      <c r="BR26" s="357"/>
      <c r="BT26" s="50"/>
      <c r="BU26" s="52"/>
      <c r="BV26" s="52"/>
      <c r="BW26" s="52"/>
      <c r="BX26" s="299"/>
      <c r="BZ26" s="375"/>
      <c r="CA26" s="375"/>
      <c r="CB26" s="5"/>
      <c r="CD26" s="442" t="s">
        <v>1084</v>
      </c>
      <c r="CE26" t="s">
        <v>713</v>
      </c>
      <c r="CJ26" s="442" t="s">
        <v>1084</v>
      </c>
      <c r="CK26" t="s">
        <v>713</v>
      </c>
      <c r="CN26" s="436"/>
      <c r="CO26" s="545"/>
      <c r="CP26" s="547"/>
      <c r="CQ26" s="547"/>
      <c r="CR26" s="547"/>
      <c r="CU26" s="401"/>
      <c r="CV26" s="206"/>
      <c r="CW26" s="206"/>
      <c r="DS26" s="264"/>
      <c r="DT26" s="314"/>
      <c r="DU26" s="315"/>
      <c r="DV26" s="316"/>
      <c r="DW26" s="316"/>
      <c r="DX26" s="317"/>
      <c r="DY26" s="299"/>
      <c r="DZ26" s="318"/>
    </row>
    <row r="27" spans="6:130" x14ac:dyDescent="0.25">
      <c r="F27" s="50"/>
      <c r="G27" s="222" t="s">
        <v>683</v>
      </c>
      <c r="H27" s="223" t="str">
        <f>INDEX('STATIC DATA'!C15:AZ15,1,MATCH($A$1,'STATIC DATA'!C4:AZ4,0))</f>
        <v>1D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V27" t="s">
        <v>358</v>
      </c>
      <c r="W27" s="203">
        <f t="shared" si="0"/>
        <v>6.3899999999999998E-2</v>
      </c>
      <c r="X27" t="b">
        <v>1</v>
      </c>
      <c r="Y27" s="5">
        <f t="shared" si="1"/>
        <v>0</v>
      </c>
      <c r="Z27" s="203">
        <f>RUB_DATA!U28</f>
        <v>6.3899999999999998E-2</v>
      </c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677</v>
      </c>
      <c r="BK27" s="240" t="str">
        <f>INDEX('STATIC DATA'!C20:AF20,1,MATCH($A$1,'STATIC DATA'!$C$4:$AF$4,0))</f>
        <v>BMB:NYB</v>
      </c>
      <c r="BL27" s="53"/>
      <c r="BO27" s="358"/>
      <c r="BP27" s="5"/>
      <c r="BQ27" s="5"/>
      <c r="BR27" s="357"/>
      <c r="BT27" s="50"/>
      <c r="BU27" s="52"/>
      <c r="BV27" s="52"/>
      <c r="BW27" s="52"/>
      <c r="BX27" s="299"/>
      <c r="BZ27" s="375"/>
      <c r="CA27" s="375"/>
      <c r="CB27" s="5"/>
      <c r="CD27" s="57" t="s">
        <v>1085</v>
      </c>
      <c r="CE27" s="57" t="s">
        <v>1093</v>
      </c>
      <c r="CJ27" s="57" t="s">
        <v>1085</v>
      </c>
      <c r="CK27" s="57" t="s">
        <v>1128</v>
      </c>
      <c r="CN27" s="436"/>
      <c r="CO27" s="545"/>
      <c r="CP27" s="547"/>
      <c r="CQ27" s="547"/>
      <c r="CR27" s="547"/>
      <c r="CU27" s="401"/>
      <c r="CV27" s="206"/>
      <c r="CW27" s="206"/>
      <c r="DS27" s="264"/>
      <c r="DT27" s="314"/>
      <c r="DU27" s="315"/>
      <c r="DV27" s="316"/>
      <c r="DW27" s="316"/>
      <c r="DX27" s="317"/>
      <c r="DY27" s="299"/>
      <c r="DZ27" s="318"/>
    </row>
    <row r="28" spans="6:130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DATA'!C43:AZ43,1,MATCH($A$1,'STATIC DATA'!$C$4:$AZ$4,0))</f>
        <v>BMB</v>
      </c>
      <c r="T28" s="53"/>
      <c r="V28" t="s">
        <v>367</v>
      </c>
      <c r="W28" s="203">
        <f t="shared" si="0"/>
        <v>6.54E-2</v>
      </c>
      <c r="X28" t="b">
        <v>1</v>
      </c>
      <c r="Y28" s="5">
        <f t="shared" si="1"/>
        <v>0</v>
      </c>
      <c r="Z28" s="203">
        <f>RUB_DATA!U29</f>
        <v>6.54E-2</v>
      </c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25" t="s">
        <v>683</v>
      </c>
      <c r="BK28" s="257" t="str">
        <f>INDEX('STATIC DATA'!C19:AF19,1,MATCH($A$1,'STATIC DATA'!$C$4:$AF$4,0))</f>
        <v>2D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BZ28" s="375"/>
      <c r="CA28" s="375"/>
      <c r="CB28" s="5"/>
      <c r="CD28" s="57" t="s">
        <v>1086</v>
      </c>
      <c r="CE28" s="57" t="s">
        <v>1089</v>
      </c>
      <c r="CJ28" s="57" t="s">
        <v>1086</v>
      </c>
      <c r="CK28" s="57" t="s">
        <v>1129</v>
      </c>
      <c r="CN28" s="436"/>
      <c r="CO28" s="545"/>
      <c r="CP28" s="547"/>
      <c r="CQ28" s="547"/>
      <c r="CR28" s="547"/>
      <c r="CU28" s="401"/>
      <c r="CV28" s="206"/>
      <c r="CW28" s="206"/>
      <c r="DS28" s="267"/>
      <c r="DT28" s="326"/>
      <c r="DU28" s="327"/>
      <c r="DV28" s="328"/>
      <c r="DW28" s="328"/>
      <c r="DX28" s="329"/>
      <c r="DY28" s="299"/>
      <c r="DZ28" s="318"/>
    </row>
    <row r="29" spans="6:130" x14ac:dyDescent="0.25">
      <c r="F29" s="50"/>
      <c r="G29" s="222" t="s">
        <v>686</v>
      </c>
      <c r="H29" s="223" t="s">
        <v>687</v>
      </c>
      <c r="I29" s="53"/>
      <c r="Q29" s="50"/>
      <c r="R29" s="222" t="s">
        <v>678</v>
      </c>
      <c r="S29" s="223" t="str">
        <f>INDEX('STATIC DATA'!C55:AZ55,1,MATCH($A$1,'STATIC DATA'!C4:AZ4,0))</f>
        <v>ACT/365</v>
      </c>
      <c r="T29" s="53"/>
      <c r="V29" t="s">
        <v>374</v>
      </c>
      <c r="W29" s="203">
        <f t="shared" si="0"/>
        <v>6.3899999999999998E-2</v>
      </c>
      <c r="X29" t="b">
        <v>1</v>
      </c>
      <c r="Y29" s="5">
        <f t="shared" si="1"/>
        <v>0</v>
      </c>
      <c r="Z29" s="203">
        <f>RUB_DATA!U30</f>
        <v>6.3899999999999998E-2</v>
      </c>
      <c r="AA29" s="203"/>
      <c r="AB29" s="50"/>
      <c r="AC29" s="222" t="s">
        <v>751</v>
      </c>
      <c r="AD29" s="216" t="str">
        <f>INDEX('STATIC DATA'!C43:AZ43,1,MATCH($A$1,'STATIC DATA'!$C$4:$AZ$4,0))</f>
        <v>BMB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DATA'!C39:AZ39,1,MATCH($A$1,'STATIC DATA'!$C$4:$AZ$4,0))</f>
        <v>BMB</v>
      </c>
      <c r="AP29" s="53"/>
      <c r="AX29" s="50"/>
      <c r="AY29" s="222" t="s">
        <v>751</v>
      </c>
      <c r="AZ29" s="216" t="b">
        <f>AZ38=INDEX('STATIC DATA'!C39:AZ39,1,MATCH($A$1,'STATIC DATA'!$C$4:$AZ$4,0))</f>
        <v>1</v>
      </c>
      <c r="BA29" s="53"/>
      <c r="BI29" s="50"/>
      <c r="BJ29" s="225" t="s">
        <v>686</v>
      </c>
      <c r="BK29" s="240" t="s">
        <v>687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BZ29" s="375"/>
      <c r="CA29" s="375"/>
      <c r="CB29" s="5"/>
      <c r="CD29" s="57" t="s">
        <v>1087</v>
      </c>
      <c r="CE29" s="57" t="s">
        <v>1316</v>
      </c>
      <c r="CJ29" s="57" t="s">
        <v>1087</v>
      </c>
      <c r="CK29" s="57" t="s">
        <v>1316</v>
      </c>
      <c r="CN29" s="436"/>
      <c r="CO29" s="545"/>
      <c r="CP29" s="547"/>
      <c r="CQ29" s="547"/>
      <c r="CR29" s="547"/>
      <c r="CU29" s="401"/>
      <c r="CV29" s="206"/>
      <c r="CW29" s="206"/>
      <c r="DS29" s="299"/>
      <c r="DT29" s="299"/>
      <c r="DU29" s="299"/>
      <c r="DV29" s="299"/>
      <c r="DW29" s="299"/>
      <c r="DX29" s="299"/>
      <c r="DY29" s="299"/>
      <c r="DZ29" s="318"/>
    </row>
    <row r="30" spans="6:130" x14ac:dyDescent="0.25">
      <c r="F30" s="50"/>
      <c r="G30" s="222" t="s">
        <v>688</v>
      </c>
      <c r="H30" s="216">
        <v>31</v>
      </c>
      <c r="I30" s="53"/>
      <c r="Q30" s="50"/>
      <c r="R30" s="225" t="s">
        <v>686</v>
      </c>
      <c r="S30" s="226" t="s">
        <v>728</v>
      </c>
      <c r="T30" s="53"/>
      <c r="W30" s="203"/>
      <c r="Z30" s="203"/>
      <c r="AA30" s="203"/>
      <c r="AB30" s="50"/>
      <c r="AC30" s="222" t="s">
        <v>752</v>
      </c>
      <c r="AD30" s="216" t="str">
        <f>INDEX('STATIC DATA'!C55:AZ55,1,MATCH($A$1,'STATIC DATA'!C4:AZ4,0))</f>
        <v>ACT/365</v>
      </c>
      <c r="AE30" s="53"/>
      <c r="AH30" s="5"/>
      <c r="AI30" s="5"/>
      <c r="AJ30" s="5"/>
      <c r="AK30" s="5"/>
      <c r="AM30" s="50"/>
      <c r="AN30" s="222" t="s">
        <v>752</v>
      </c>
      <c r="AO30" s="216" t="str">
        <f>INDEX('STATIC DATA'!C55:AZ55,1,MATCH($A$1,'STATIC DATA'!C4:AZ4,0))</f>
        <v>ACT/365</v>
      </c>
      <c r="AP30" s="53"/>
      <c r="AX30" s="50"/>
      <c r="AY30" s="222" t="s">
        <v>752</v>
      </c>
      <c r="AZ30" s="216" t="str">
        <f>INDEX('STATIC DATA'!Y55:AY55,1,MATCH($A$1,'STATIC DATA'!Y4:AV4,0))</f>
        <v>ACT/365</v>
      </c>
      <c r="BA30" s="53"/>
      <c r="BI30" s="50"/>
      <c r="BJ30" s="225" t="s">
        <v>689</v>
      </c>
      <c r="BK30" s="240" t="b">
        <v>1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BZ30" s="375"/>
      <c r="CA30" s="375"/>
      <c r="CB30" s="374"/>
      <c r="CD30" s="57" t="s">
        <v>1088</v>
      </c>
      <c r="CE30" s="443" t="s">
        <v>1316</v>
      </c>
      <c r="CJ30" s="57" t="s">
        <v>1088</v>
      </c>
      <c r="CK30" s="443" t="s">
        <v>1316</v>
      </c>
      <c r="CN30" s="436"/>
      <c r="CO30" s="545"/>
      <c r="CP30" s="547"/>
      <c r="CQ30" s="547"/>
      <c r="CR30" s="547"/>
      <c r="CU30" s="401"/>
      <c r="CV30" s="206"/>
      <c r="CW30" s="206"/>
      <c r="DP30" s="302"/>
      <c r="DQ30" s="302"/>
      <c r="DR30" s="302"/>
      <c r="DS30" s="299"/>
      <c r="DT30" s="299"/>
      <c r="DU30" s="299"/>
      <c r="DV30" s="299"/>
      <c r="DW30" s="299"/>
      <c r="DX30" s="299"/>
      <c r="DY30" s="299"/>
      <c r="DZ30" s="318"/>
    </row>
    <row r="31" spans="6:130" x14ac:dyDescent="0.25">
      <c r="F31" s="50"/>
      <c r="G31" s="222" t="s">
        <v>689</v>
      </c>
      <c r="H31" s="224" t="b">
        <v>1</v>
      </c>
      <c r="I31" s="53"/>
      <c r="Q31" s="50"/>
      <c r="R31" s="52" t="s">
        <v>713</v>
      </c>
      <c r="S31" s="52" t="s">
        <v>713</v>
      </c>
      <c r="T31" s="53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688</v>
      </c>
      <c r="BK31" s="257">
        <v>31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375"/>
      <c r="CA31" s="375"/>
      <c r="CB31" s="375"/>
      <c r="CD31" s="57" t="s">
        <v>781</v>
      </c>
      <c r="CE31" s="290" t="s">
        <v>810</v>
      </c>
      <c r="CJ31" s="57" t="s">
        <v>781</v>
      </c>
      <c r="CK31" s="290" t="s">
        <v>810</v>
      </c>
      <c r="CN31" s="436"/>
      <c r="CO31" s="545"/>
      <c r="CP31" s="547"/>
      <c r="CQ31" s="547"/>
      <c r="CR31" s="547"/>
      <c r="CU31" s="401"/>
      <c r="CV31" s="206"/>
      <c r="CW31" s="206"/>
      <c r="DP31" s="299"/>
      <c r="DQ31" s="299"/>
      <c r="DR31" s="299"/>
      <c r="DS31" s="299"/>
      <c r="DT31" s="299"/>
      <c r="DU31" s="299"/>
      <c r="DV31" s="299"/>
      <c r="DW31" s="299"/>
      <c r="DX31" s="299"/>
      <c r="DY31" s="299"/>
      <c r="DZ31" s="318"/>
    </row>
    <row r="32" spans="6:130" x14ac:dyDescent="0.25">
      <c r="F32" s="50"/>
      <c r="G32" s="222" t="s">
        <v>690</v>
      </c>
      <c r="H32" s="223" t="s">
        <v>691</v>
      </c>
      <c r="I32" s="53"/>
      <c r="Q32" s="50"/>
      <c r="R32" s="54" t="s">
        <v>460</v>
      </c>
      <c r="S32" s="52" t="s">
        <v>713</v>
      </c>
      <c r="T32" s="53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817</v>
      </c>
      <c r="BK32" s="258">
        <f>IF(INDEX('STATIC DATA'!C49:AF49,1,MATCH($A$1,'STATIC DATA'!C4:AF4,0))=4,10000,IF(INDEX('STATIC DATA'!C49:AF49,1,MATCH($A$1,'STATIC DATA'!C4:AF4,0))=3,1000,100))</f>
        <v>100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Z32" s="375"/>
      <c r="CA32" s="375"/>
      <c r="CB32" s="375"/>
      <c r="CN32" s="436"/>
      <c r="CO32" s="545"/>
      <c r="CP32" s="547"/>
      <c r="CQ32" s="547"/>
      <c r="CR32" s="547"/>
      <c r="CU32" s="401"/>
      <c r="CV32" s="206"/>
      <c r="CW32" s="206"/>
      <c r="DP32" s="206"/>
      <c r="DQ32" s="206"/>
      <c r="DR32" s="299"/>
      <c r="DS32" s="299"/>
      <c r="DT32" s="299"/>
      <c r="DU32" s="299"/>
      <c r="DV32" s="299"/>
      <c r="DW32" s="299"/>
      <c r="DX32" s="299"/>
      <c r="DY32" s="299"/>
      <c r="DZ32" s="318"/>
    </row>
    <row r="33" spans="6:130" x14ac:dyDescent="0.25">
      <c r="F33" s="50"/>
      <c r="G33" s="222" t="s">
        <v>695</v>
      </c>
      <c r="H33" s="223" t="s">
        <v>696</v>
      </c>
      <c r="I33" s="53"/>
      <c r="Q33" s="50"/>
      <c r="R33" s="220" t="s">
        <v>677</v>
      </c>
      <c r="S33" s="221" t="str">
        <f>INDEX('STATIC DATA'!C43:AZ43,1,MATCH($A$1,'STATIC DATA'!$C$4:$AZ$4,0))</f>
        <v>BMB</v>
      </c>
      <c r="T33" s="53"/>
      <c r="AA33" s="203"/>
      <c r="AB33" s="50"/>
      <c r="AC33" s="222" t="s">
        <v>755</v>
      </c>
      <c r="AD33" s="216" t="str">
        <f>INDEX('STATIC DATA'!C7:AZ7,1,MATCH($A$1,'STATIC DATA'!C4:AZ4,0))</f>
        <v>1D</v>
      </c>
      <c r="AE33" s="53"/>
      <c r="AH33" s="5"/>
      <c r="AI33" s="5"/>
      <c r="AJ33" s="5"/>
      <c r="AK33" s="5"/>
      <c r="AM33" s="50"/>
      <c r="AN33" s="222" t="s">
        <v>755</v>
      </c>
      <c r="AO33" s="216" t="str">
        <f>INDEX('STATIC DATA'!C7:AZ7,1,MATCH($A$1,'STATIC DATA'!C4:AZ4,0))</f>
        <v>1D</v>
      </c>
      <c r="AP33" s="53"/>
      <c r="AX33" s="50"/>
      <c r="AY33" s="222" t="s">
        <v>755</v>
      </c>
      <c r="AZ33" s="216" t="str">
        <f>INDEX('STATIC DATA'!N7:AL7,1,MATCH($A$1,'STATIC DATA'!N4:AL4,0))</f>
        <v>1D</v>
      </c>
      <c r="BA33" s="53"/>
      <c r="BI33" s="50"/>
      <c r="BJ33" s="234" t="s">
        <v>818</v>
      </c>
      <c r="BK33" s="259" t="b">
        <v>1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CA33" s="305"/>
      <c r="CB33" s="299"/>
      <c r="CN33" s="436"/>
      <c r="CO33" s="545"/>
      <c r="CP33" s="547"/>
      <c r="CQ33" s="547"/>
      <c r="CR33" s="547"/>
      <c r="CU33" s="401"/>
      <c r="CV33" s="206"/>
      <c r="CW33" s="206"/>
      <c r="DP33" s="206"/>
      <c r="DQ33" s="206"/>
      <c r="DR33" s="299"/>
      <c r="DS33" s="299"/>
      <c r="DT33" s="299"/>
      <c r="DU33" s="299"/>
      <c r="DV33" s="299"/>
      <c r="DW33" s="299"/>
      <c r="DX33" s="299"/>
      <c r="DY33" s="299"/>
      <c r="DZ33" s="318"/>
    </row>
    <row r="34" spans="6:130" x14ac:dyDescent="0.25">
      <c r="F34" s="50"/>
      <c r="G34" s="222" t="s">
        <v>697</v>
      </c>
      <c r="H34" s="223">
        <v>1E-10</v>
      </c>
      <c r="I34" s="53"/>
      <c r="Q34" s="50"/>
      <c r="R34" s="222" t="s">
        <v>678</v>
      </c>
      <c r="S34" s="223" t="str">
        <f>INDEX('STATIC DATA'!C55:AZ55,1,MATCH($A$1,'STATIC DATA'!C4:AZ4,0))</f>
        <v>ACT/365</v>
      </c>
      <c r="T34" s="53"/>
      <c r="AA34" s="203"/>
      <c r="AB34" s="50"/>
      <c r="AC34" s="245" t="s">
        <v>756</v>
      </c>
      <c r="AD34" s="247" t="s">
        <v>1661</v>
      </c>
      <c r="AE34" s="249" t="s">
        <v>801</v>
      </c>
      <c r="AM34" s="50"/>
      <c r="AN34" s="234" t="s">
        <v>756</v>
      </c>
      <c r="AO34" s="247" t="str">
        <f>$A$1&amp;"3M"</f>
        <v>INR3M</v>
      </c>
      <c r="AP34" s="249" t="s">
        <v>801</v>
      </c>
      <c r="AX34" s="50"/>
      <c r="AY34" s="245" t="s">
        <v>756</v>
      </c>
      <c r="AZ34" s="244" t="str">
        <f>"AGAINST:MOS3M"</f>
        <v>AGAINST:MOS3M</v>
      </c>
      <c r="BA34" s="53"/>
      <c r="BI34" s="50"/>
      <c r="BJ34" s="225" t="s">
        <v>679</v>
      </c>
      <c r="BK34" s="240" t="s">
        <v>729</v>
      </c>
      <c r="BL34" s="53"/>
      <c r="BT34" s="50"/>
      <c r="BU34" s="55"/>
      <c r="BV34" s="55"/>
      <c r="BW34" s="55"/>
      <c r="BX34" s="332"/>
      <c r="CA34" s="305"/>
      <c r="CB34" s="299"/>
      <c r="CN34" s="436"/>
      <c r="CO34" s="545"/>
      <c r="CP34" s="547"/>
      <c r="CQ34" s="547"/>
      <c r="CR34" s="547"/>
      <c r="CU34" s="401"/>
      <c r="CV34" s="206"/>
      <c r="CW34" s="206"/>
      <c r="DP34" s="206"/>
      <c r="DQ34" s="206"/>
      <c r="DR34" s="299"/>
      <c r="DS34" s="299"/>
      <c r="DT34" s="299"/>
      <c r="DU34" s="299"/>
      <c r="DV34" s="299"/>
      <c r="DW34" s="299"/>
      <c r="DX34" s="299"/>
      <c r="DY34" s="299"/>
      <c r="DZ34" s="330"/>
    </row>
    <row r="35" spans="6:130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tr">
        <f>$A$1&amp;"3M"</f>
        <v>INR3M</v>
      </c>
      <c r="AP35" s="53"/>
      <c r="AX35" s="50"/>
      <c r="AY35" s="233" t="s">
        <v>757</v>
      </c>
      <c r="AZ35" s="244" t="str">
        <f>"AGAINST:MOS3M"</f>
        <v>AGAINST:MOS3M</v>
      </c>
      <c r="BA35" s="53"/>
      <c r="BI35" s="50"/>
      <c r="BJ35" s="234" t="s">
        <v>819</v>
      </c>
      <c r="BK35" s="259" t="b">
        <v>0</v>
      </c>
      <c r="BL35" s="53"/>
      <c r="BT35" s="50"/>
      <c r="BU35" s="55"/>
      <c r="BV35" s="55"/>
      <c r="BW35" s="55"/>
      <c r="BX35" s="332"/>
      <c r="CA35" s="313"/>
      <c r="CB35" s="299"/>
      <c r="CO35" s="397"/>
      <c r="CU35" s="401"/>
      <c r="CV35" s="206"/>
      <c r="CW35" s="206"/>
      <c r="DP35" s="299"/>
      <c r="DQ35" s="299"/>
      <c r="DR35" s="299"/>
      <c r="DS35" s="299"/>
      <c r="DT35" s="299"/>
      <c r="DU35" s="299"/>
      <c r="DV35" s="299"/>
      <c r="DW35" s="299"/>
      <c r="DX35" s="299"/>
      <c r="DY35" s="299"/>
      <c r="DZ35" s="299"/>
    </row>
    <row r="36" spans="6:130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DATA'!C7:AZ7,1,MATCH($A$1,'STATIC DATA'!C4:AZ4,0))</f>
        <v>1D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85"/>
      <c r="BK36" s="85"/>
      <c r="BL36" s="53"/>
      <c r="BT36" s="50"/>
      <c r="BU36" s="55"/>
      <c r="BV36" s="55"/>
      <c r="BW36" s="55"/>
      <c r="BX36" s="332"/>
      <c r="BY36" s="303"/>
      <c r="CA36" s="313"/>
      <c r="CB36" s="299"/>
      <c r="CO36" s="397"/>
      <c r="CU36" s="401"/>
      <c r="CV36" s="206"/>
      <c r="CW36" s="206"/>
      <c r="DP36" s="299"/>
      <c r="DQ36" s="299"/>
      <c r="DR36" s="299"/>
      <c r="DS36" s="299"/>
      <c r="DT36" s="299"/>
      <c r="DU36" s="299"/>
      <c r="DV36" s="299"/>
      <c r="DW36" s="299"/>
      <c r="DX36" s="299"/>
      <c r="DY36" s="299"/>
      <c r="DZ36" s="299"/>
    </row>
    <row r="37" spans="6:130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DATA'!C55:AZ55,1,MATCH($A$1,'STATIC DATA'!C4:AZ4,0))</f>
        <v>ACT/365</v>
      </c>
      <c r="AE37" s="53"/>
      <c r="AG37" s="2" t="s">
        <v>662</v>
      </c>
      <c r="AM37" s="50"/>
      <c r="AN37" s="222" t="s">
        <v>759</v>
      </c>
      <c r="AO37" s="216" t="str">
        <f>INDEX('STATIC DATA'!C55:AZ55,1,MATCH($A$1,'STATIC DATA'!C4:AZ4,0))</f>
        <v>ACT/365</v>
      </c>
      <c r="AP37" s="53"/>
      <c r="AX37" s="50"/>
      <c r="AY37" s="222" t="s">
        <v>759</v>
      </c>
      <c r="AZ37" s="216" t="str">
        <f>INDEX('STATIC DATA'!Y55:AY55,1,MATCH($A$1,'STATIC DATA'!Y4:AV4,0))</f>
        <v>ACT/365</v>
      </c>
      <c r="BA37" s="53"/>
      <c r="BI37" s="50"/>
      <c r="BJ37" s="54" t="s">
        <v>807</v>
      </c>
      <c r="BK37" s="85"/>
      <c r="BL37" s="53"/>
      <c r="BN37" s="2" t="s">
        <v>662</v>
      </c>
      <c r="BT37" s="50"/>
      <c r="BU37" s="55"/>
      <c r="BV37" s="55"/>
      <c r="BW37" s="55"/>
      <c r="BX37" s="332"/>
      <c r="BY37" s="323"/>
      <c r="CA37" s="313"/>
      <c r="CB37" s="299"/>
      <c r="CD37" s="2" t="s">
        <v>662</v>
      </c>
      <c r="CJ37" s="2" t="s">
        <v>662</v>
      </c>
      <c r="CO37" s="397"/>
      <c r="CU37" s="401"/>
      <c r="CV37" s="206"/>
      <c r="CW37" s="206"/>
      <c r="DQ37" s="383"/>
      <c r="DS37" s="299"/>
      <c r="DT37" s="299"/>
      <c r="DU37" s="299"/>
      <c r="DV37" s="299"/>
      <c r="DW37" s="299"/>
      <c r="DX37" s="299"/>
      <c r="DY37" s="299"/>
      <c r="DZ37" s="299"/>
    </row>
    <row r="38" spans="6:130" x14ac:dyDescent="0.25">
      <c r="F38" s="50"/>
      <c r="G38" s="222"/>
      <c r="H38" s="223"/>
      <c r="I38" s="53"/>
      <c r="K38" t="s">
        <v>434</v>
      </c>
      <c r="L38" t="str">
        <f>$A$1</f>
        <v>INR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INR</v>
      </c>
      <c r="AB38" s="50"/>
      <c r="AC38" s="222" t="s">
        <v>760</v>
      </c>
      <c r="AD38" s="216" t="str">
        <f>INDEX('STATIC DATA'!C43:AZ43,1,MATCH($A$1,'STATIC DATA'!$C$4:$AZ$4,0))</f>
        <v>BMB</v>
      </c>
      <c r="AE38" s="53"/>
      <c r="AG38" t="s">
        <v>434</v>
      </c>
      <c r="AH38" t="str">
        <f>$A$1</f>
        <v>INR</v>
      </c>
      <c r="AM38" s="50"/>
      <c r="AN38" s="222" t="s">
        <v>760</v>
      </c>
      <c r="AO38" s="216" t="str">
        <f>INDEX('STATIC DATA'!C39:AZ39,1,MATCH($A$1,'STATIC DATA'!$C$4:$AZ$4,0))</f>
        <v>BMB</v>
      </c>
      <c r="AP38" s="53"/>
      <c r="AX38" s="50"/>
      <c r="AY38" s="222" t="s">
        <v>760</v>
      </c>
      <c r="AZ38" s="216" t="str">
        <f>INDEX('STATIC DATA'!C39:AZ39,1,MATCH($A$1,'STATIC DATA'!$C$4:$AZ$4,0))</f>
        <v>BMB</v>
      </c>
      <c r="BA38" s="53"/>
      <c r="BI38" s="50"/>
      <c r="BJ38" s="245" t="s">
        <v>749</v>
      </c>
      <c r="BK38" s="243" t="s">
        <v>803</v>
      </c>
      <c r="BL38" s="53"/>
      <c r="BN38" t="s">
        <v>434</v>
      </c>
      <c r="BO38" t="str">
        <f>$A$1</f>
        <v>INR</v>
      </c>
      <c r="BT38" s="50"/>
      <c r="BU38" s="55"/>
      <c r="BV38" s="55"/>
      <c r="BW38" s="55"/>
      <c r="BX38" s="332"/>
      <c r="BZ38" s="583"/>
      <c r="CA38" s="305"/>
      <c r="CB38" s="299"/>
      <c r="CD38" t="s">
        <v>434</v>
      </c>
      <c r="CE38" t="str">
        <f>$A$1</f>
        <v>INR</v>
      </c>
      <c r="CJ38" t="s">
        <v>434</v>
      </c>
      <c r="CK38" t="str">
        <f>$A$1</f>
        <v>INR</v>
      </c>
      <c r="CO38" s="397"/>
      <c r="CU38" s="401"/>
      <c r="CV38" s="206"/>
      <c r="CW38" s="206"/>
      <c r="DQ38" s="299"/>
      <c r="DR38" s="299"/>
      <c r="DS38" s="383"/>
      <c r="DT38" s="299"/>
      <c r="DU38" s="299"/>
      <c r="DV38" s="299"/>
      <c r="DW38" s="299"/>
      <c r="DX38" s="299"/>
      <c r="DY38" s="299"/>
      <c r="DZ38" s="299"/>
    </row>
    <row r="39" spans="6:130" x14ac:dyDescent="0.25">
      <c r="F39" s="50"/>
      <c r="G39" s="225"/>
      <c r="H39" s="226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33" t="s">
        <v>750</v>
      </c>
      <c r="BK39" s="230" t="b">
        <v>0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Z39" s="313"/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O39" s="397"/>
      <c r="CU39" s="401"/>
      <c r="CV39" s="206"/>
      <c r="CW39" s="206"/>
      <c r="DQ39" s="299"/>
      <c r="DR39" s="303"/>
      <c r="DS39" s="383"/>
      <c r="DT39" s="299"/>
      <c r="DU39" s="299"/>
      <c r="DV39" s="299"/>
      <c r="DW39" s="299"/>
      <c r="DX39" s="299"/>
      <c r="DY39" s="299"/>
      <c r="DZ39" s="299"/>
    </row>
    <row r="40" spans="6:130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DATA'!C43:AZ43,1,MATCH($A$1,'STATIC DATA'!$C$4:$AZ$4,0))</f>
        <v>BMB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DATA'!C39:AZ39,1,MATCH($A$1,'STATIC DATA'!$C$4:$AZ$4,0))</f>
        <v>BMB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DATA'!C39:AZ39,1,MATCH($A$1,'STATIC DATA'!$C$4:$AZ$4,0))</f>
        <v>BMB</v>
      </c>
      <c r="AP40" s="53"/>
      <c r="AX40" s="50"/>
      <c r="AY40" s="225" t="s">
        <v>762</v>
      </c>
      <c r="AZ40" s="219" t="str">
        <f>INDEX('STATIC DATA'!C39:AZ39,1,MATCH($A$1,'STATIC DATA'!$C$4:$AZ$4,0))</f>
        <v>BMB</v>
      </c>
      <c r="BA40" s="53"/>
      <c r="BI40" s="50"/>
      <c r="BJ40" s="222" t="s">
        <v>751</v>
      </c>
      <c r="BK40" s="468" t="str">
        <f>INDEX('STATIC DATA'!C30:AF30,1,MATCH($A$1,'STATIC DATA'!$C$4:$AF$4,0))</f>
        <v>BMB:NYB:LNB</v>
      </c>
      <c r="BL40" s="53"/>
      <c r="BN40" t="s">
        <v>438</v>
      </c>
      <c r="BO40" t="str">
        <f>BK13</f>
        <v>SEMI-ANNUAL</v>
      </c>
      <c r="BT40" s="50"/>
      <c r="BU40" s="55"/>
      <c r="BV40" s="55"/>
      <c r="BW40" s="55"/>
      <c r="BX40" s="332"/>
      <c r="BZ40" s="584"/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O40" s="397"/>
      <c r="CU40" s="401"/>
      <c r="CV40" s="206"/>
      <c r="CW40" s="206"/>
      <c r="DQ40" s="303"/>
      <c r="DR40" s="299"/>
      <c r="DS40" s="383"/>
      <c r="DT40" s="299"/>
      <c r="DU40" s="299"/>
      <c r="DV40" s="299"/>
      <c r="DW40" s="299"/>
      <c r="DX40" s="299"/>
      <c r="DY40" s="299"/>
      <c r="DZ40" s="299"/>
    </row>
    <row r="41" spans="6:130" x14ac:dyDescent="0.25">
      <c r="F41" s="50"/>
      <c r="G41" s="54" t="s">
        <v>702</v>
      </c>
      <c r="H41" s="227" t="s">
        <v>703</v>
      </c>
      <c r="I41" s="53"/>
      <c r="K41" t="s">
        <v>440</v>
      </c>
      <c r="L41" s="275">
        <f>'STATIC DATA'!Z5</f>
        <v>44083</v>
      </c>
      <c r="Q41" s="50"/>
      <c r="R41" s="222" t="s">
        <v>731</v>
      </c>
      <c r="S41" s="223" t="str">
        <f>INDEX('STATIC DATA'!C55:AZ55,1,MATCH($A$1,'STATIC DATA'!C4:AZ4,0))</f>
        <v>ACT/365</v>
      </c>
      <c r="T41" s="53"/>
      <c r="V41" t="s">
        <v>440</v>
      </c>
      <c r="W41" s="275">
        <f>'STATIC DATA'!Z5</f>
        <v>44083</v>
      </c>
      <c r="AB41" s="50"/>
      <c r="AC41" s="225" t="s">
        <v>763</v>
      </c>
      <c r="AD41" s="219" t="str">
        <f>INDEX('STATIC DATA'!C7:AZ7,1,MATCH($A$1,'STATIC DATA'!C4:AZ4,0))</f>
        <v>1D</v>
      </c>
      <c r="AE41" s="53"/>
      <c r="AG41" t="s">
        <v>440</v>
      </c>
      <c r="AH41" s="275">
        <f>'STATIC DATA'!Z5</f>
        <v>44083</v>
      </c>
      <c r="AM41" s="50"/>
      <c r="AN41" s="225" t="s">
        <v>763</v>
      </c>
      <c r="AO41" s="219" t="str">
        <f>INDEX('STATIC DATA'!C7:AZ7,1,MATCH($A$1,'STATIC DATA'!C4:AZ4,0))</f>
        <v>1D</v>
      </c>
      <c r="AP41" s="53"/>
      <c r="AX41" s="50"/>
      <c r="AY41" s="225" t="s">
        <v>763</v>
      </c>
      <c r="AZ41" s="216" t="str">
        <f>INDEX('STATIC DATA'!C7:AZ7,1,MATCH($A$1,'STATIC DATA'!C4:AZ4,0))</f>
        <v>1D</v>
      </c>
      <c r="BA41" s="53"/>
      <c r="BI41" s="50"/>
      <c r="BJ41" s="222" t="s">
        <v>752</v>
      </c>
      <c r="BK41" s="216" t="str">
        <f>INDEX('STATIC DATA'!C55:AF55,1,MATCH("USD",'STATIC DATA'!C4:AF4,0))</f>
        <v>ACT/360</v>
      </c>
      <c r="BL41" s="53"/>
      <c r="BN41" t="s">
        <v>440</v>
      </c>
      <c r="BO41" s="275">
        <f>'STATIC DATA'!Z5</f>
        <v>44083</v>
      </c>
      <c r="BT41" s="50"/>
      <c r="BU41" s="55"/>
      <c r="BV41" s="55"/>
      <c r="BW41" s="55"/>
      <c r="BX41" s="332"/>
      <c r="BZ41" s="313"/>
      <c r="CA41" s="305"/>
      <c r="CB41" s="299"/>
      <c r="CD41" t="s">
        <v>440</v>
      </c>
      <c r="CE41" s="275">
        <f>'STATIC DATA'!Z5</f>
        <v>44083</v>
      </c>
      <c r="CJ41" t="s">
        <v>440</v>
      </c>
      <c r="CK41" s="275">
        <f>'STATIC DATA'!Z5</f>
        <v>44083</v>
      </c>
      <c r="CO41" s="397"/>
      <c r="CU41" s="401"/>
      <c r="CV41" s="206"/>
      <c r="CW41" s="206"/>
      <c r="DQ41" s="299"/>
      <c r="DR41" s="303"/>
      <c r="DS41" s="383"/>
      <c r="DT41" s="299"/>
      <c r="DU41" s="299"/>
      <c r="DV41" s="299"/>
      <c r="DW41" s="299"/>
      <c r="DX41" s="299"/>
      <c r="DY41" s="299"/>
      <c r="DZ41" s="299"/>
    </row>
    <row r="42" spans="6:130" x14ac:dyDescent="0.25">
      <c r="F42" s="50"/>
      <c r="G42" s="220" t="s">
        <v>704</v>
      </c>
      <c r="H42" s="221" t="str">
        <f>INDEX('STATIC DATA'!C43:AZ43,1,MATCH($A$1,'STATIC DATA'!$C$4:$AZ$4,0))</f>
        <v>BMB</v>
      </c>
      <c r="I42" s="53"/>
      <c r="Q42" s="50"/>
      <c r="R42" s="222" t="s">
        <v>732</v>
      </c>
      <c r="S42" s="223" t="s">
        <v>28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5" t="s">
        <v>753</v>
      </c>
      <c r="BK42" s="219" t="s">
        <v>459</v>
      </c>
      <c r="BL42" s="249"/>
      <c r="BT42" s="50"/>
      <c r="BU42" s="55"/>
      <c r="BV42" s="55"/>
      <c r="BW42" s="55"/>
      <c r="BX42" s="332"/>
      <c r="CA42" s="313"/>
      <c r="CB42" s="299"/>
      <c r="CO42" s="397"/>
      <c r="CU42" s="401"/>
      <c r="CV42" s="206"/>
      <c r="CW42" s="206"/>
      <c r="DQ42" s="299"/>
      <c r="DR42" s="299"/>
      <c r="DS42" s="383"/>
      <c r="DT42" s="299"/>
      <c r="DU42" s="299"/>
      <c r="DV42" s="299"/>
      <c r="DW42" s="299"/>
      <c r="DX42" s="299"/>
      <c r="DY42" s="299"/>
      <c r="DZ42" s="299"/>
    </row>
    <row r="43" spans="6:130" x14ac:dyDescent="0.25">
      <c r="F43" s="50"/>
      <c r="G43" s="222" t="s">
        <v>705</v>
      </c>
      <c r="H43" s="223" t="str">
        <f>INDEX('STATIC DATA'!C55:AZ55,1,MATCH(A1,'STATIC DATA'!C4:AZ4,0))</f>
        <v>ACT/365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DATA'!C43:AZ43,1,MATCH($A$1,'STATIC DATA'!$C$4:$AZ$4,0))</f>
        <v>BMB</v>
      </c>
      <c r="AE43" s="53"/>
      <c r="AG43" s="2" t="s">
        <v>441</v>
      </c>
      <c r="AM43" s="50"/>
      <c r="AN43" s="222" t="s">
        <v>765</v>
      </c>
      <c r="AO43" s="216" t="str">
        <f>INDEX('STATIC DATA'!C39:AZ39,1,MATCH($A$1,'STATIC DATA'!$C$4:$AZ$4,0))</f>
        <v>BMB</v>
      </c>
      <c r="AP43" s="53"/>
      <c r="AX43" s="50"/>
      <c r="AY43" s="222" t="s">
        <v>765</v>
      </c>
      <c r="AZ43" s="216" t="str">
        <f>INDEX('STATIC DATA'!C39:AZ39,1,MATCH($A$1,'STATIC DATA'!$C$4:$AZ$4,0))</f>
        <v>BMB</v>
      </c>
      <c r="BA43" s="53"/>
      <c r="BI43" s="50"/>
      <c r="BJ43" s="222" t="s">
        <v>754</v>
      </c>
      <c r="BK43" s="216" t="s">
        <v>687</v>
      </c>
      <c r="BL43" s="53"/>
      <c r="BN43" s="2" t="s">
        <v>441</v>
      </c>
      <c r="BT43" s="50"/>
      <c r="BU43" s="55"/>
      <c r="BV43" s="55"/>
      <c r="BW43" s="55"/>
      <c r="BX43" s="332"/>
      <c r="BY43" s="323"/>
      <c r="BZ43" s="303"/>
      <c r="CA43" s="313"/>
      <c r="CB43" s="299"/>
      <c r="CD43" s="2" t="s">
        <v>441</v>
      </c>
      <c r="CJ43" s="2" t="s">
        <v>441</v>
      </c>
      <c r="CO43" s="397"/>
      <c r="CU43" s="401"/>
      <c r="CV43" s="206"/>
      <c r="CW43" s="206"/>
      <c r="DP43" s="299"/>
      <c r="DQ43" s="299"/>
      <c r="DR43" s="303"/>
      <c r="DS43" s="383"/>
      <c r="DT43" s="299"/>
      <c r="DU43" s="299"/>
      <c r="DV43" s="299"/>
      <c r="DW43" s="299"/>
      <c r="DX43" s="299"/>
      <c r="DY43" s="299"/>
      <c r="DZ43" s="299"/>
    </row>
    <row r="44" spans="6:130" x14ac:dyDescent="0.25">
      <c r="F44" s="50"/>
      <c r="G44" s="222" t="s">
        <v>706</v>
      </c>
      <c r="H44" s="223" t="s">
        <v>439</v>
      </c>
      <c r="I44" s="53"/>
      <c r="K44" s="206" t="s">
        <v>442</v>
      </c>
      <c r="L44" s="206" t="str">
        <f>L38&amp;"_"&amp;L39&amp;"_CURVE_MARKETDATA"</f>
        <v>INR_OIS_CURVE_MARKETDATA</v>
      </c>
      <c r="Q44" s="50"/>
      <c r="R44" s="222"/>
      <c r="S44" s="223"/>
      <c r="T44" s="53"/>
      <c r="V44" t="s">
        <v>442</v>
      </c>
      <c r="W44" t="s">
        <v>1657</v>
      </c>
      <c r="AB44" s="50"/>
      <c r="AC44" s="222" t="s">
        <v>766</v>
      </c>
      <c r="AD44" s="216" t="str">
        <f>INDEX('STATIC DATA'!C55:AZ55,1,MATCH($A$1,'STATIC DATA'!C4:AZ4,0))</f>
        <v>ACT/365</v>
      </c>
      <c r="AE44" s="53"/>
      <c r="AG44" t="s">
        <v>442</v>
      </c>
      <c r="AH44" t="str">
        <f>A1&amp;"_BASIS_3M6M_MARKETDATA"</f>
        <v>INR_BASIS_3M6M_MARKETDATA</v>
      </c>
      <c r="AM44" s="50"/>
      <c r="AN44" s="222" t="s">
        <v>766</v>
      </c>
      <c r="AO44" s="216" t="str">
        <f>INDEX('STATIC DATA'!C55:AZ55,1,MATCH($A$1,'STATIC DATA'!C4:AZ4,0))</f>
        <v>ACT/365</v>
      </c>
      <c r="AP44" s="53"/>
      <c r="AX44" s="50"/>
      <c r="AY44" s="222" t="s">
        <v>766</v>
      </c>
      <c r="AZ44" s="216" t="str">
        <f>INDEX('STATIC DATA'!Y55:AY55,1,MATCH($A$1,'STATIC DATA'!Y4:AV4,0))</f>
        <v>ACT/365</v>
      </c>
      <c r="BA44" s="53"/>
      <c r="BI44" s="50"/>
      <c r="BJ44" s="222" t="s">
        <v>755</v>
      </c>
      <c r="BK44" s="257" t="str">
        <f>INDEX('STATIC DATA'!C7:AF7,1,MATCH("USD",'STATIC DATA'!$C$4:$AF$4,0))</f>
        <v>2D</v>
      </c>
      <c r="BL44" s="53"/>
      <c r="BN44" t="s">
        <v>442</v>
      </c>
      <c r="BO44" t="str">
        <f>A1&amp;"_"&amp;BO39&amp;"_CURVE_MARKETDATA"</f>
        <v>INR_XCCYBASIS_CURVE_MARKETDATA</v>
      </c>
      <c r="BT44" s="50"/>
      <c r="BU44" s="55"/>
      <c r="BV44" s="55"/>
      <c r="BW44" s="55"/>
      <c r="BX44" s="332"/>
      <c r="BY44" s="585"/>
      <c r="BZ44" s="585"/>
      <c r="CA44" s="325"/>
      <c r="CB44" s="303"/>
      <c r="CD44" t="s">
        <v>442</v>
      </c>
      <c r="CE44" t="str">
        <f>$A$1&amp;"_FXFWD_MARKET_DATA"</f>
        <v>INR_FXFWD_MARKET_DATA</v>
      </c>
      <c r="CJ44" t="s">
        <v>442</v>
      </c>
      <c r="CK44" t="str">
        <f>$A$1&amp;"_FXFWD_MARKET_DATA"</f>
        <v>INR_FXFWD_MARKET_DATA</v>
      </c>
      <c r="CO44" s="397"/>
      <c r="CU44" s="401"/>
      <c r="CV44" s="206"/>
      <c r="CW44" s="206"/>
      <c r="DP44" s="303"/>
      <c r="DQ44" s="303"/>
      <c r="DR44" s="299"/>
      <c r="DS44" s="383"/>
      <c r="DT44" s="299"/>
      <c r="DU44" s="299"/>
      <c r="DV44" s="299"/>
      <c r="DW44" s="299"/>
      <c r="DX44" s="299"/>
      <c r="DY44" s="299"/>
      <c r="DZ44" s="299"/>
    </row>
    <row r="45" spans="6:130" x14ac:dyDescent="0.25">
      <c r="F45" s="50"/>
      <c r="G45" s="225" t="s">
        <v>707</v>
      </c>
      <c r="H45" s="226" t="s">
        <v>687</v>
      </c>
      <c r="I45" s="53"/>
      <c r="K45" s="206" t="s">
        <v>444</v>
      </c>
      <c r="L45" s="206" t="str">
        <f>_xll.meLWOCurveMarketDataCreate(L44,"MarketDataProperties",K38:L41,"OIS",K7:L22)</f>
        <v>INR_OIS_CURVE_MARKETDATA@128:42</v>
      </c>
      <c r="Q45" s="50"/>
      <c r="R45" s="225"/>
      <c r="S45" s="226"/>
      <c r="T45" s="53"/>
      <c r="V45" t="s">
        <v>444</v>
      </c>
      <c r="W45" t="str">
        <f>_xll.meLWOCurveMarketDataCreate(W44,"MARKETDATAPROPERTIES",V38:W41,R32,V7:X9,R39,V14:W16,R47,V17:X29)</f>
        <v>INR_SWAP_3M_MKT@78:42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_xll.meLWOCurveMarketDataCreate(AH44,AG37,AG38:AH42,"BASISSWAPS",AG7:AI19)</f>
        <v>INR_BASIS_3M6M_MARKETDATA@19:42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34" t="s">
        <v>757</v>
      </c>
      <c r="BK45" s="260" t="s">
        <v>773</v>
      </c>
      <c r="BL45" s="53"/>
      <c r="BN45" t="s">
        <v>444</v>
      </c>
      <c r="BO45" t="str">
        <f>_xll.meLWOCurveMarketDataCreate(BO44,"MARKETDATAPROPERTIES",BN38:BO41,"FXSPOTS",BN7:BP7,"FXFWDS",BN8:BP14,"XCCYSWAPS",BN15:BP19)</f>
        <v>INR_XCCYBASIS_CURVE_MARKETDATA@130:42</v>
      </c>
      <c r="BT45" s="50"/>
      <c r="BU45" s="55"/>
      <c r="BV45" s="55"/>
      <c r="BW45" s="55"/>
      <c r="BX45" s="332"/>
      <c r="BZ45" s="586"/>
      <c r="CA45" s="313"/>
      <c r="CB45" s="313"/>
      <c r="CD45" t="s">
        <v>444</v>
      </c>
      <c r="CE45" t="str">
        <f>_xll.meLWOCurveMarketDataCreate(CE44,CD37,CD38:CE41)</f>
        <v>INR_FXFWD_MARKET_DATA@21:42</v>
      </c>
      <c r="CJ45" t="s">
        <v>444</v>
      </c>
      <c r="CK45" t="str">
        <f>_xll.meLWOCurveMarketDataCreate(CK44,CJ37,CJ38:CK41)</f>
        <v>INR_FXFWD_MARKET_DATA@40:42</v>
      </c>
      <c r="CO45" s="397"/>
      <c r="CU45" s="401"/>
      <c r="CV45" s="206"/>
      <c r="CW45" s="206"/>
      <c r="DP45" s="303"/>
      <c r="DQ45" s="303"/>
      <c r="DR45" s="303"/>
      <c r="DS45" s="383"/>
      <c r="DT45" s="299"/>
      <c r="DU45" s="299"/>
      <c r="DV45" s="299"/>
      <c r="DW45" s="299"/>
      <c r="DX45" s="299"/>
      <c r="DY45" s="299"/>
      <c r="DZ45" s="299"/>
    </row>
    <row r="46" spans="6:130" x14ac:dyDescent="0.25">
      <c r="F46" s="50"/>
      <c r="G46" s="52"/>
      <c r="H46" s="52"/>
      <c r="I46" s="53"/>
      <c r="K46" s="206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34" t="s">
        <v>756</v>
      </c>
      <c r="BK46" s="260" t="s">
        <v>1310</v>
      </c>
      <c r="BL46" s="53"/>
      <c r="BT46" s="50"/>
      <c r="BU46" s="55"/>
      <c r="BV46" s="55"/>
      <c r="BW46" s="55"/>
      <c r="BX46" s="332"/>
      <c r="CA46" s="305"/>
      <c r="CB46" s="299"/>
      <c r="CO46" s="397"/>
      <c r="CU46" s="401"/>
      <c r="CV46" s="206"/>
      <c r="CW46" s="206"/>
      <c r="DP46" s="299"/>
      <c r="DQ46" s="299"/>
      <c r="DR46" s="299"/>
      <c r="DS46" s="383"/>
      <c r="DT46" s="299"/>
      <c r="DU46" s="299"/>
      <c r="DV46" s="299"/>
      <c r="DW46" s="299"/>
      <c r="DX46" s="299"/>
      <c r="DY46" s="299"/>
      <c r="DZ46" s="299"/>
    </row>
    <row r="47" spans="6:130" x14ac:dyDescent="0.25">
      <c r="F47" s="50"/>
      <c r="G47" s="54" t="s">
        <v>428</v>
      </c>
      <c r="H47" s="227" t="s">
        <v>708</v>
      </c>
      <c r="I47" s="53"/>
      <c r="K47" s="678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45" t="s">
        <v>758</v>
      </c>
      <c r="BK47" s="260" t="s">
        <v>46</v>
      </c>
      <c r="BL47" s="53"/>
      <c r="BN47" s="2" t="s">
        <v>447</v>
      </c>
      <c r="BT47" s="50"/>
      <c r="BU47" s="55"/>
      <c r="BV47" s="55"/>
      <c r="BW47" s="55"/>
      <c r="BX47" s="332"/>
      <c r="CB47" s="299"/>
      <c r="CD47" s="2" t="s">
        <v>447</v>
      </c>
      <c r="CJ47" s="2" t="s">
        <v>447</v>
      </c>
      <c r="CO47" s="397"/>
      <c r="CU47" s="401"/>
      <c r="CV47" s="206"/>
      <c r="CW47" s="206"/>
      <c r="DP47" s="299"/>
      <c r="DQ47" s="299"/>
      <c r="DR47" s="303"/>
      <c r="DS47" s="383"/>
      <c r="DT47" s="299"/>
      <c r="DU47" s="299"/>
      <c r="DV47" s="299"/>
      <c r="DW47" s="299"/>
      <c r="DX47" s="299"/>
      <c r="DY47" s="299"/>
      <c r="DZ47" s="299"/>
    </row>
    <row r="48" spans="6:130" x14ac:dyDescent="0.25">
      <c r="F48" s="50"/>
      <c r="G48" s="220" t="s">
        <v>677</v>
      </c>
      <c r="H48" s="221" t="str">
        <f>INDEX('STATIC DATA'!C43:AZ43,1,MATCH($A$1,'STATIC DATA'!$C$4:$AZ$4,0))</f>
        <v>BMB</v>
      </c>
      <c r="I48" s="53"/>
      <c r="K48" s="206" t="s">
        <v>442</v>
      </c>
      <c r="L48" s="206" t="str">
        <f>L38&amp;"_"&amp;L39&amp;"_CURVE"</f>
        <v>INR_OIS_CURVE</v>
      </c>
      <c r="Q48" s="50"/>
      <c r="R48" s="220" t="s">
        <v>704</v>
      </c>
      <c r="S48" s="221" t="str">
        <f>INDEX('STATIC DATA'!C43:AZ43,1,MATCH($A$1,'STATIC DATA'!$C$4:$AZ$4,0))</f>
        <v>BMB</v>
      </c>
      <c r="T48" s="53"/>
      <c r="V48" t="s">
        <v>442</v>
      </c>
      <c r="W48" t="s">
        <v>1658</v>
      </c>
      <c r="AB48" s="50"/>
      <c r="AC48" s="225" t="s">
        <v>770</v>
      </c>
      <c r="AD48" s="219" t="str">
        <f>INDEX('STATIC DATA'!C7:AZ7,1,MATCH($A$1,'STATIC DATA'!C4:AZ4,0))</f>
        <v>1D</v>
      </c>
      <c r="AE48" s="53"/>
      <c r="AG48" t="s">
        <v>442</v>
      </c>
      <c r="AH48" t="str">
        <f>A1&amp;"_BASIS_6M_CURVE"</f>
        <v>INR_BASIS_6M_CURVE</v>
      </c>
      <c r="AM48" s="50"/>
      <c r="AN48" s="225" t="s">
        <v>770</v>
      </c>
      <c r="AO48" s="219" t="str">
        <f>INDEX('STATIC DATA'!C7:AZ7,1,MATCH($A$1,'STATIC DATA'!C4:AZ4,0))</f>
        <v>1D</v>
      </c>
      <c r="AP48" s="53"/>
      <c r="AX48" s="50"/>
      <c r="AY48" s="225" t="s">
        <v>770</v>
      </c>
      <c r="AZ48" s="216" t="str">
        <f>INDEX('STATIC DATA'!C7:AZ7,1,MATCH($A$1,'STATIC DATA'!C4:AZ4,0))</f>
        <v>1D</v>
      </c>
      <c r="BA48" s="53"/>
      <c r="BI48" s="50"/>
      <c r="BJ48" s="222" t="s">
        <v>759</v>
      </c>
      <c r="BK48" s="216" t="str">
        <f>INDEX('STATIC DATA'!C55:AZ55,1,MATCH("USD",'STATIC DATA'!C4:AZ4,0))</f>
        <v>ACT/360</v>
      </c>
      <c r="BL48" s="53"/>
      <c r="BN48" t="s">
        <v>442</v>
      </c>
      <c r="BO48" t="str">
        <f>A1&amp;"_"&amp;BO39&amp;"_CURVE"</f>
        <v>INR_XCCYBASIS_CURVE</v>
      </c>
      <c r="BT48" s="50"/>
      <c r="BU48" s="55"/>
      <c r="BV48" s="55"/>
      <c r="BW48" s="55"/>
      <c r="BX48" s="332"/>
      <c r="BY48" s="303"/>
      <c r="CB48" s="299"/>
      <c r="CD48" t="s">
        <v>442</v>
      </c>
      <c r="CE48" t="s">
        <v>1317</v>
      </c>
      <c r="CJ48" t="s">
        <v>442</v>
      </c>
      <c r="CK48" t="s">
        <v>1606</v>
      </c>
      <c r="CO48" s="397"/>
      <c r="CU48" s="401"/>
      <c r="CV48" s="206"/>
      <c r="CW48" s="206"/>
      <c r="DP48" s="299"/>
      <c r="DQ48" s="299"/>
      <c r="DR48" s="299"/>
      <c r="DS48" s="383"/>
      <c r="DT48" s="299"/>
      <c r="DU48" s="299"/>
      <c r="DV48" s="299"/>
      <c r="DW48" s="299"/>
      <c r="DX48" s="299"/>
      <c r="DY48" s="299"/>
      <c r="DZ48" s="299"/>
    </row>
    <row r="49" spans="6:130" x14ac:dyDescent="0.25">
      <c r="F49" s="50"/>
      <c r="G49" s="222" t="s">
        <v>709</v>
      </c>
      <c r="H49" s="223" t="str">
        <f>INDEX('STATIC DATA'!C53:AZ53,1,MATCH(A1,'STATIC DATA'!C4:AZ4,0))</f>
        <v>ACT/365</v>
      </c>
      <c r="I49" s="53"/>
      <c r="K49" s="206" t="s">
        <v>450</v>
      </c>
      <c r="L49" s="206" t="str">
        <f>H8</f>
        <v>INR_OIS@307:7</v>
      </c>
      <c r="Q49" s="50"/>
      <c r="R49" s="222" t="s">
        <v>731</v>
      </c>
      <c r="S49" s="223" t="str">
        <f>INDEX('STATIC DATA'!C53:AZ53,1,MATCH(A1,'STATIC DATA'!C4:AZ4,0))</f>
        <v>ACT/365</v>
      </c>
      <c r="T49" s="53"/>
      <c r="V49" t="s">
        <v>450</v>
      </c>
      <c r="W49" t="str">
        <f>S8</f>
        <v>INR_SWAP_3M@306:7</v>
      </c>
      <c r="AB49" s="50"/>
      <c r="AC49" s="234" t="s">
        <v>771</v>
      </c>
      <c r="AD49" s="242" t="str">
        <f>"AGAINST:MUM3M"</f>
        <v>AGAINST:MUM3M</v>
      </c>
      <c r="AE49" s="53"/>
      <c r="AG49" t="s">
        <v>450</v>
      </c>
      <c r="AH49" t="str">
        <f>AD8</f>
        <v>INR_BASIS_3M6M@305:7</v>
      </c>
      <c r="AM49" s="50"/>
      <c r="AN49" s="234" t="s">
        <v>771</v>
      </c>
      <c r="AO49" s="242" t="str">
        <f>"AGAINST:"&amp;A1&amp;"3M"</f>
        <v>AGAINST:INR3M</v>
      </c>
      <c r="AP49" s="53"/>
      <c r="AX49" s="50"/>
      <c r="AY49" s="234" t="s">
        <v>771</v>
      </c>
      <c r="AZ49" s="248" t="s">
        <v>961</v>
      </c>
      <c r="BA49" s="249" t="s">
        <v>801</v>
      </c>
      <c r="BI49" s="50"/>
      <c r="BJ49" s="222" t="s">
        <v>760</v>
      </c>
      <c r="BK49" s="468" t="str">
        <f>BK40</f>
        <v>BMB:NYB:LNB</v>
      </c>
      <c r="BL49" s="53"/>
      <c r="BN49" t="s">
        <v>450</v>
      </c>
      <c r="BO49" t="str">
        <f>BK8</f>
        <v>INR_XCCY@308:7</v>
      </c>
      <c r="BT49" s="50"/>
      <c r="BU49" s="55"/>
      <c r="BV49" s="55"/>
      <c r="BW49" s="55"/>
      <c r="BX49" s="332"/>
      <c r="BY49" s="323"/>
      <c r="BZ49" s="303"/>
      <c r="CB49" s="299"/>
      <c r="CD49" t="s">
        <v>450</v>
      </c>
      <c r="CE49" t="str">
        <f>CE8</f>
        <v>INR_EURCSA@369:6</v>
      </c>
      <c r="CJ49" t="s">
        <v>450</v>
      </c>
      <c r="CK49" t="str">
        <f>CK8</f>
        <v>INR_JPYCSA@368:6</v>
      </c>
      <c r="CO49" s="397"/>
      <c r="CU49" s="401"/>
      <c r="CV49" s="206"/>
      <c r="CW49" s="206"/>
      <c r="DP49" s="299"/>
      <c r="DQ49" s="299"/>
      <c r="DR49" s="303"/>
      <c r="DS49" s="383"/>
      <c r="DT49" s="299"/>
      <c r="DU49" s="299"/>
      <c r="DV49" s="299"/>
      <c r="DW49" s="299"/>
      <c r="DX49" s="299"/>
      <c r="DY49" s="299"/>
      <c r="DZ49" s="299"/>
    </row>
    <row r="50" spans="6:130" x14ac:dyDescent="0.25">
      <c r="F50" s="50"/>
      <c r="G50" s="222" t="s">
        <v>710</v>
      </c>
      <c r="H50" s="223" t="str">
        <f>IF(INDEX('STATIC DATA'!C54:AZ54,1,MATCH(A1,'STATIC DATA'!C4:AZ4,0))="1Y","ANNUAL",(IF(INDEX('STATIC DATA'!C54:AZ54,1,MATCH(A1,'STATIC DATA'!C4:AZ4,0))="6M","SEMI-ANNUAL", "QUARTERLY")))</f>
        <v>SEMI-ANNUAL</v>
      </c>
      <c r="I50" s="53"/>
      <c r="K50" s="206" t="s">
        <v>452</v>
      </c>
      <c r="L50" s="206" t="str">
        <f>$A$1&amp;"YC"</f>
        <v>INRYC</v>
      </c>
      <c r="Q50" s="50"/>
      <c r="R50" s="222" t="s">
        <v>734</v>
      </c>
      <c r="S50" s="223" t="str">
        <f>INDEX('STATIC DATA'!C55:AZ55,1,MATCH(A1,'STATIC DATA'!C4:AZ4,0))</f>
        <v>ACT/365</v>
      </c>
      <c r="T50" s="53"/>
      <c r="V50" t="s">
        <v>452</v>
      </c>
      <c r="W50" t="str">
        <f>$A$1&amp;"YC"</f>
        <v>INRYC</v>
      </c>
      <c r="AB50" s="50"/>
      <c r="AC50" s="234" t="s">
        <v>772</v>
      </c>
      <c r="AD50" s="242" t="str">
        <f>"AGAINST:"&amp;"MUM3M"</f>
        <v>AGAINST:MUM3M</v>
      </c>
      <c r="AE50" s="53"/>
      <c r="AG50" t="s">
        <v>452</v>
      </c>
      <c r="AH50" t="str">
        <f>A1&amp;"YC"</f>
        <v>INRYC</v>
      </c>
      <c r="AM50" s="50"/>
      <c r="AN50" s="234" t="s">
        <v>772</v>
      </c>
      <c r="AO50" s="242" t="str">
        <f>"AGAINST:"&amp;A1&amp;"3M"</f>
        <v>AGAINST:INR3M</v>
      </c>
      <c r="AP50" s="53"/>
      <c r="AX50" s="50"/>
      <c r="AY50" s="234" t="s">
        <v>772</v>
      </c>
      <c r="AZ50" s="242" t="s">
        <v>961</v>
      </c>
      <c r="BA50" s="53"/>
      <c r="BI50" s="50"/>
      <c r="BJ50" s="225" t="s">
        <v>761</v>
      </c>
      <c r="BK50" s="219" t="s">
        <v>459</v>
      </c>
      <c r="BL50" s="53"/>
      <c r="BN50" t="s">
        <v>452</v>
      </c>
      <c r="BO50" t="str">
        <f>A1&amp;"YC"</f>
        <v>INRYC</v>
      </c>
      <c r="BT50" s="50"/>
      <c r="BU50" s="55"/>
      <c r="BV50" s="55"/>
      <c r="BW50" s="55"/>
      <c r="BX50" s="332"/>
      <c r="BY50" s="332"/>
      <c r="BZ50" s="332"/>
      <c r="CA50" s="332"/>
      <c r="CB50" s="299"/>
      <c r="CD50" t="s">
        <v>452</v>
      </c>
      <c r="CE50" t="s">
        <v>1313</v>
      </c>
      <c r="CJ50" t="s">
        <v>452</v>
      </c>
      <c r="CK50" t="s">
        <v>1313</v>
      </c>
      <c r="CO50" s="397"/>
      <c r="CU50" s="401"/>
      <c r="CV50" s="206"/>
      <c r="CW50" s="206"/>
      <c r="DP50" s="299"/>
      <c r="DQ50" s="299"/>
      <c r="DR50" s="299"/>
      <c r="DS50" s="383"/>
      <c r="DT50" s="299"/>
      <c r="DU50" s="299"/>
      <c r="DV50" s="299"/>
      <c r="DW50" s="299"/>
      <c r="DX50" s="299"/>
      <c r="DY50" s="299"/>
      <c r="DZ50" s="299"/>
    </row>
    <row r="51" spans="6:130" x14ac:dyDescent="0.25">
      <c r="F51" s="50"/>
      <c r="G51" s="225" t="s">
        <v>686</v>
      </c>
      <c r="H51" s="226" t="s">
        <v>687</v>
      </c>
      <c r="I51" s="53"/>
      <c r="K51" s="206" t="s">
        <v>453</v>
      </c>
      <c r="L51" s="206"/>
      <c r="Q51" s="50"/>
      <c r="R51" s="222" t="s">
        <v>706</v>
      </c>
      <c r="S51" s="223" t="str">
        <f>IF(INDEX('STATIC DATA'!C54:AZ54,1,MATCH(A1,'STATIC DATA'!C4:AZ4,0))="1Y","ANNUAL",(IF(INDEX('STATIC DATA'!C54:AZ54,1,MATCH(A1,'STATIC DATA'!C4:AZ4,0))="6M","SEMI-ANNUAL", "QUARTERLY")))</f>
        <v>SEMI-ANNUAL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5" t="s">
        <v>762</v>
      </c>
      <c r="BK51" s="240" t="str">
        <f>INDEX('STATIC DATA'!C20:AF20,1,MATCH($A$1,'STATIC DATA'!$C$4:$AF$4,0))</f>
        <v>BMB:NYB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325"/>
      <c r="BZ51" s="280"/>
      <c r="CA51" s="280"/>
      <c r="CB51" s="299"/>
      <c r="CD51" t="s">
        <v>453</v>
      </c>
      <c r="CE51" t="s">
        <v>929</v>
      </c>
      <c r="CJ51" t="s">
        <v>453</v>
      </c>
      <c r="CK51" t="s">
        <v>1131</v>
      </c>
      <c r="CO51" s="397"/>
      <c r="CU51" s="401"/>
      <c r="CV51" s="206"/>
      <c r="CW51" s="206"/>
      <c r="DP51" s="299"/>
      <c r="DQ51" s="299"/>
      <c r="DR51" s="303"/>
      <c r="DS51" s="383"/>
      <c r="DT51" s="299"/>
      <c r="DU51" s="299"/>
      <c r="DV51" s="299"/>
      <c r="DW51" s="299"/>
      <c r="DX51" s="299"/>
      <c r="DY51" s="299"/>
      <c r="DZ51" s="299"/>
    </row>
    <row r="52" spans="6:130" x14ac:dyDescent="0.25">
      <c r="F52" s="50"/>
      <c r="G52" s="52"/>
      <c r="H52" s="52"/>
      <c r="I52" s="53"/>
      <c r="Q52" s="50"/>
      <c r="R52" s="222" t="s">
        <v>735</v>
      </c>
      <c r="S52" s="223" t="str">
        <f>IF(INDEX('STATIC DATA'!C56:AZ56,1,MATCH(A1,'STATIC DATA'!C4:AZ4,0))="1Y","ANNUAL",(IF(INDEX('STATIC DATA'!C56:AZ56,1,MATCH(A1,'STATIC DATA'!C4:AZ4,0))="6M","SEMI-ANNUAL", "QUARTERLY")))</f>
        <v>QUARTERLY</v>
      </c>
      <c r="T52" s="53"/>
      <c r="AB52" s="50"/>
      <c r="AC52" s="222" t="s">
        <v>775</v>
      </c>
      <c r="AD52" s="216" t="str">
        <f>INDEX('STATIC DATA'!C55:AZ55,1,MATCH($A$1,'STATIC DATA'!C4:AZ4,0))</f>
        <v>ACT/365</v>
      </c>
      <c r="AE52" s="53"/>
      <c r="AM52" s="50"/>
      <c r="AN52" s="222" t="s">
        <v>775</v>
      </c>
      <c r="AO52" s="216" t="str">
        <f>INDEX('STATIC DATA'!C55:AZ55,1,MATCH($A$1,'STATIC DATA'!C4:AZ4,0))</f>
        <v>ACT/365</v>
      </c>
      <c r="AP52" s="53"/>
      <c r="AX52" s="50"/>
      <c r="AY52" s="222" t="s">
        <v>775</v>
      </c>
      <c r="AZ52" s="216" t="str">
        <f>INDEX('STATIC DATA'!Y55:AY55,1,MATCH($A$1,'STATIC DATA'!Y4:AV4,0))</f>
        <v>ACT/365</v>
      </c>
      <c r="BA52" s="53"/>
      <c r="BI52" s="50"/>
      <c r="BJ52" s="225" t="s">
        <v>763</v>
      </c>
      <c r="BK52" s="257" t="str">
        <f>INDEX('STATIC DATA'!C7:AF7,1,MATCH("USD",'STATIC DATA'!$C$4:$AF$4,0))</f>
        <v>2D</v>
      </c>
      <c r="BL52" s="53"/>
      <c r="BT52" s="50"/>
      <c r="BU52" s="55"/>
      <c r="BV52" s="55"/>
      <c r="BW52" s="55"/>
      <c r="BX52" s="332"/>
      <c r="BY52" s="325"/>
      <c r="BZ52" s="280"/>
      <c r="CA52" s="280"/>
      <c r="CB52" s="299"/>
      <c r="CO52" s="397"/>
      <c r="CU52" s="401"/>
      <c r="CV52" s="206"/>
      <c r="CW52" s="206"/>
      <c r="DP52" s="299"/>
      <c r="DQ52" s="299"/>
      <c r="DR52" s="299"/>
      <c r="DS52" s="383"/>
      <c r="DT52" s="299"/>
      <c r="DU52" s="299"/>
      <c r="DV52" s="299"/>
      <c r="DW52" s="299"/>
      <c r="DX52" s="299"/>
      <c r="DY52" s="299"/>
      <c r="DZ52" s="299"/>
    </row>
    <row r="53" spans="6:130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2" t="s">
        <v>776</v>
      </c>
      <c r="AD53" s="216" t="str">
        <f>INDEX('STATIC DATA'!C43:AZ43,1,MATCH($A$1,'STATIC DATA'!$C$4:$AZ$4,0))</f>
        <v>BMB</v>
      </c>
      <c r="AE53" s="53"/>
      <c r="AG53" s="2" t="s">
        <v>454</v>
      </c>
      <c r="AM53" s="50"/>
      <c r="AN53" s="222" t="s">
        <v>776</v>
      </c>
      <c r="AO53" s="216" t="str">
        <f>INDEX('STATIC DATA'!C39:AZ39,1,MATCH($A$1,'STATIC DATA'!$C$4:$AZ$4,0))</f>
        <v>BMB</v>
      </c>
      <c r="AP53" s="53"/>
      <c r="AX53" s="50"/>
      <c r="AY53" s="222" t="s">
        <v>776</v>
      </c>
      <c r="AZ53" s="216" t="str">
        <f>INDEX('STATIC DATA'!C39:AZ39,1,MATCH($A$1,'STATIC DATA'!$C$4:$AZ$4,0))</f>
        <v>BMB</v>
      </c>
      <c r="BA53" s="53"/>
      <c r="BI53" s="50"/>
      <c r="BJ53" s="220" t="s">
        <v>764</v>
      </c>
      <c r="BK53" s="238" t="s">
        <v>687</v>
      </c>
      <c r="BL53" s="53"/>
      <c r="BN53" s="2" t="s">
        <v>454</v>
      </c>
      <c r="BT53" s="50"/>
      <c r="BU53" s="55"/>
      <c r="BV53" s="55"/>
      <c r="BW53" s="55"/>
      <c r="BX53" s="332"/>
      <c r="BY53" s="323"/>
      <c r="CA53" s="282"/>
      <c r="CB53" s="299"/>
      <c r="CD53" s="2" t="s">
        <v>454</v>
      </c>
      <c r="CJ53" s="2" t="s">
        <v>454</v>
      </c>
      <c r="CN53" s="332"/>
      <c r="CO53" s="398"/>
      <c r="CP53" s="404"/>
      <c r="CQ53" s="404"/>
      <c r="CR53" s="404"/>
      <c r="CU53" s="401"/>
      <c r="CV53" s="206"/>
      <c r="CW53" s="206"/>
      <c r="DP53" s="299"/>
      <c r="DQ53" s="299"/>
      <c r="DR53" s="303"/>
      <c r="DS53" s="384"/>
      <c r="DT53" s="332"/>
      <c r="DU53" s="332"/>
      <c r="DV53" s="332"/>
      <c r="DW53" s="332"/>
      <c r="DX53" s="332"/>
      <c r="DY53" s="299"/>
      <c r="DZ53" s="299"/>
    </row>
    <row r="54" spans="6:130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INR_OIS_CURVE@129:13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IF(ExistsINROIS,_xll.meLWOCurveCalibrate(W48,W49,W45,W50),"LOAD DEPENDENCY")</f>
        <v>INR_SWAP_3M_CURVE@319:13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IF(ExistsINR3M,_xll.meLWOCurveCalibrate($AH$48,$AH$49,$AH$45,$AH$50),"LOAD DEPENDENCY")</f>
        <v>INR_BASIS_6M_CURVE@318:12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765</v>
      </c>
      <c r="BK54" s="468" t="str">
        <f>BK40</f>
        <v>BMB:NYB:LNB</v>
      </c>
      <c r="BL54" s="53"/>
      <c r="BN54" t="s">
        <v>442</v>
      </c>
      <c r="BO54" s="647" t="str">
        <f t="array" ref="BO54:BO57">IF(AND(ExistsUSD6M,ExistsINR6M),_xll.meLWOCurveCalibrate($BO$48,$BO$49,$BO$45,$BO$50,$BO$51),"LOAD DEPENDENCY")</f>
        <v>INR_XCCYBASIS_CURVE@481:2</v>
      </c>
      <c r="BT54" s="50"/>
      <c r="BU54" s="55"/>
      <c r="BV54" s="55"/>
      <c r="BW54" s="55"/>
      <c r="BX54" s="332"/>
      <c r="BY54" s="585"/>
      <c r="BZ54" s="585"/>
      <c r="CA54" s="282"/>
      <c r="CB54" s="299"/>
      <c r="CD54" t="s">
        <v>442</v>
      </c>
      <c r="CE54" s="647" t="str">
        <f t="array" ref="CE54:CE57">IF(AND(ExistsINRXCCY,ExistsEURXCCY),_xll.meLWOCurveCalibrate(CE48,CE49,CE45,CE50,CE51),"LOAD DEPENDENCY")</f>
        <v>INR_EURCSA_CURVE@515:2</v>
      </c>
      <c r="CJ54" t="s">
        <v>442</v>
      </c>
      <c r="CK54" s="647" t="str">
        <f t="array" ref="CK54:CK57">IF(AND(ExistsINRXCCY,ExistsJPYXCCY),_xll.meLWOCurveCalibrate(CK48,CK49,CK45,CK50,CK51),"LOAD DEPENDENCY")</f>
        <v>INR_JPYCSA_CURVE@497:2</v>
      </c>
      <c r="CN54" s="332"/>
      <c r="CO54" s="398"/>
      <c r="CP54" s="404"/>
      <c r="CQ54" s="404"/>
      <c r="CR54" s="404"/>
      <c r="CU54" s="401"/>
      <c r="CV54" s="206"/>
      <c r="CW54" s="206"/>
      <c r="DP54" s="299"/>
      <c r="DQ54" s="299"/>
      <c r="DR54" s="299"/>
      <c r="DS54" s="384"/>
      <c r="DT54" s="332"/>
      <c r="DU54" s="332"/>
      <c r="DV54" s="332"/>
      <c r="DW54" s="332"/>
      <c r="DX54" s="332"/>
      <c r="DY54" s="299"/>
      <c r="DZ54" s="299"/>
    </row>
    <row r="55" spans="6:130" x14ac:dyDescent="0.25">
      <c r="F55" s="50"/>
      <c r="G55" s="52"/>
      <c r="H55" s="52"/>
      <c r="I55" s="53"/>
      <c r="K55" t="s">
        <v>455</v>
      </c>
      <c r="L55" t="str">
        <v>INRYC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INRYC</v>
      </c>
      <c r="AB55" s="50"/>
      <c r="AC55" s="222" t="s">
        <v>778</v>
      </c>
      <c r="AD55" s="216" t="str">
        <f>INDEX('STATIC DATA'!C43:AZ43,1,MATCH($A$1,'STATIC DATA'!$C$4:$AZ$4,0))</f>
        <v>BMB</v>
      </c>
      <c r="AE55" s="53"/>
      <c r="AG55" t="s">
        <v>455</v>
      </c>
      <c r="AH55" t="str">
        <v>INRYC</v>
      </c>
      <c r="AM55" s="50"/>
      <c r="AN55" s="222" t="s">
        <v>778</v>
      </c>
      <c r="AO55" s="216" t="str">
        <f>INDEX('STATIC DATA'!C39:AZ39,1,MATCH($A$1,'STATIC DATA'!$C$4:$AZ$4,0))</f>
        <v>BMB</v>
      </c>
      <c r="AP55" s="53"/>
      <c r="AX55" s="50"/>
      <c r="AY55" s="222" t="s">
        <v>778</v>
      </c>
      <c r="AZ55" s="216" t="str">
        <f>INDEX('STATIC DATA'!C39:AZ39,1,MATCH($A$1,'STATIC DATA'!$C$4:$AZ$4,0))</f>
        <v>BMB</v>
      </c>
      <c r="BA55" s="53"/>
      <c r="BI55" s="50"/>
      <c r="BJ55" s="222" t="s">
        <v>766</v>
      </c>
      <c r="BK55" s="216" t="str">
        <f>INDEX('STATIC DATA'!C53:AF53,1,MATCH($A$1,'STATIC DATA'!C4:AF4,0))</f>
        <v>ACT/365</v>
      </c>
      <c r="BL55" s="53"/>
      <c r="BN55" t="s">
        <v>455</v>
      </c>
      <c r="BO55" t="str">
        <v>INRYC</v>
      </c>
      <c r="BT55" s="50"/>
      <c r="BU55" s="55"/>
      <c r="BV55" s="55"/>
      <c r="BW55" s="55"/>
      <c r="BX55" s="332"/>
      <c r="BZ55" s="586"/>
      <c r="CA55" s="282"/>
      <c r="CB55" s="299"/>
      <c r="CD55" t="s">
        <v>455</v>
      </c>
      <c r="CE55" t="str">
        <v>INRYC</v>
      </c>
      <c r="CJ55" t="s">
        <v>455</v>
      </c>
      <c r="CK55" t="str">
        <v>INRYC</v>
      </c>
      <c r="CN55" s="332"/>
      <c r="CO55" s="398"/>
      <c r="CP55" s="404"/>
      <c r="CQ55" s="404"/>
      <c r="CR55" s="404"/>
      <c r="CU55" s="401"/>
      <c r="CV55" s="206"/>
      <c r="CW55" s="206"/>
      <c r="DP55" s="299"/>
      <c r="DQ55" s="299"/>
      <c r="DR55" s="303"/>
      <c r="DS55" s="384"/>
      <c r="DT55" s="332"/>
      <c r="DU55" s="332"/>
      <c r="DV55" s="332"/>
      <c r="DW55" s="332"/>
      <c r="DX55" s="332"/>
      <c r="DY55" s="299"/>
      <c r="DZ55" s="299"/>
    </row>
    <row r="56" spans="6:130" x14ac:dyDescent="0.25">
      <c r="F56" s="50"/>
      <c r="G56" s="52"/>
      <c r="H56" s="52"/>
      <c r="I56" s="53"/>
      <c r="K56" t="s">
        <v>456</v>
      </c>
      <c r="L56" t="str">
        <v>OIS:INROIS</v>
      </c>
      <c r="Q56" s="50"/>
      <c r="R56" s="222" t="s">
        <v>739</v>
      </c>
      <c r="S56" s="223" t="str">
        <f>INDEX('STATIC DATA'!C7:AZ7,1,MATCH($A$1,'STATIC DATA'!C4:AZ4,0))</f>
        <v>1D</v>
      </c>
      <c r="T56" s="53"/>
      <c r="V56" t="s">
        <v>456</v>
      </c>
      <c r="W56" s="206" t="str">
        <v>STD:MUM3M</v>
      </c>
      <c r="AB56" s="50"/>
      <c r="AC56" s="222" t="s">
        <v>779</v>
      </c>
      <c r="AD56" s="216" t="str">
        <f>INDEX('STATIC DATA'!C7:AZ7,1,MATCH($A$1,'STATIC DATA'!C4:AZ4,0))</f>
        <v>1D</v>
      </c>
      <c r="AE56" s="53"/>
      <c r="AG56" t="s">
        <v>456</v>
      </c>
      <c r="AH56" t="str">
        <v>3M6MBasis:MOS6M</v>
      </c>
      <c r="AM56" s="50"/>
      <c r="AN56" s="222" t="s">
        <v>779</v>
      </c>
      <c r="AO56" s="216" t="str">
        <f>INDEX('STATIC DATA'!C7:AZ7,1,MATCH($A$1,'STATIC DATA'!C4:AZ4,0))</f>
        <v>1D</v>
      </c>
      <c r="AP56" s="53"/>
      <c r="AX56" s="50"/>
      <c r="AY56" s="222" t="s">
        <v>779</v>
      </c>
      <c r="AZ56" s="216" t="str">
        <f>INDEX('STATIC DATA'!C7:AZ7,1,MATCH($A$1,'STATIC DATA'!C4:AZ4,0))</f>
        <v>1D</v>
      </c>
      <c r="BA56" s="53"/>
      <c r="BI56" s="50"/>
      <c r="BJ56" s="222" t="s">
        <v>767</v>
      </c>
      <c r="BK56" s="216" t="s">
        <v>459</v>
      </c>
      <c r="BL56" s="53"/>
      <c r="BN56" t="s">
        <v>456</v>
      </c>
      <c r="BO56" t="str">
        <v>XccyBASIS:XccyBasis:INRDF_USDCSA</v>
      </c>
      <c r="BT56" s="50"/>
      <c r="BU56" s="55"/>
      <c r="BV56" s="55"/>
      <c r="BW56" s="55"/>
      <c r="BX56" s="332"/>
      <c r="BY56" s="325"/>
      <c r="BZ56" s="282"/>
      <c r="CA56" s="282"/>
      <c r="CB56" s="299"/>
      <c r="CD56" t="s">
        <v>456</v>
      </c>
      <c r="CE56" t="str">
        <v>FwdFXConstEUR:INRDF_EURCSA</v>
      </c>
      <c r="CJ56" t="s">
        <v>456</v>
      </c>
      <c r="CK56" t="str">
        <v>FwdFXConstJPY:INRDF_JPYCSA</v>
      </c>
      <c r="CN56" s="332"/>
      <c r="CO56" s="398"/>
      <c r="CP56" s="404"/>
      <c r="CQ56" s="404"/>
      <c r="CR56" s="404"/>
      <c r="CU56" s="401"/>
      <c r="CV56" s="206"/>
      <c r="CW56" s="206"/>
      <c r="DP56" s="299"/>
      <c r="DQ56" s="299"/>
      <c r="DR56" s="299"/>
      <c r="DS56" s="384"/>
      <c r="DT56" s="332"/>
      <c r="DU56" s="332"/>
      <c r="DV56" s="332"/>
      <c r="DW56" s="332"/>
      <c r="DX56" s="332"/>
      <c r="DY56" s="299"/>
      <c r="DZ56" s="299"/>
    </row>
    <row r="57" spans="6:130" x14ac:dyDescent="0.25">
      <c r="F57" s="50"/>
      <c r="G57" s="52"/>
      <c r="H57" s="52"/>
      <c r="I57" s="53"/>
      <c r="K57" t="s">
        <v>664</v>
      </c>
      <c r="L57" t="str">
        <v>0.025000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0.008000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0.007000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22" t="s">
        <v>769</v>
      </c>
      <c r="BK57" s="239" t="s">
        <v>687</v>
      </c>
      <c r="BL57" s="53"/>
      <c r="BN57" t="s">
        <v>664</v>
      </c>
      <c r="BO57" t="str">
        <v>0.005000 sec</v>
      </c>
      <c r="BT57" s="50"/>
      <c r="BU57" s="55"/>
      <c r="BV57" s="55"/>
      <c r="BW57" s="55"/>
      <c r="BX57" s="332"/>
      <c r="BY57" s="325"/>
      <c r="BZ57" s="282"/>
      <c r="CA57" s="282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N57" s="332"/>
      <c r="CO57" s="398"/>
      <c r="CP57" s="404"/>
      <c r="CQ57" s="404"/>
      <c r="CR57" s="404"/>
      <c r="CU57" s="401"/>
      <c r="CV57" s="206"/>
      <c r="CW57" s="206"/>
      <c r="DP57" s="299"/>
      <c r="DQ57" s="299"/>
      <c r="DR57" s="299"/>
      <c r="DS57" s="384"/>
      <c r="DT57" s="332"/>
      <c r="DU57" s="332"/>
      <c r="DV57" s="332"/>
      <c r="DW57" s="332"/>
      <c r="DX57" s="332"/>
      <c r="DY57" s="332"/>
      <c r="DZ57" s="332"/>
    </row>
    <row r="58" spans="6:130" x14ac:dyDescent="0.25">
      <c r="F58" s="50"/>
      <c r="G58" s="52"/>
      <c r="H58" s="52"/>
      <c r="I58" s="53"/>
      <c r="Q58" s="50"/>
      <c r="R58" s="222" t="s">
        <v>740</v>
      </c>
      <c r="S58" s="223" t="s">
        <v>718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770</v>
      </c>
      <c r="BK58" s="257" t="str">
        <f>INDEX('STATIC DATA'!C29:AF29,1,MATCH($A$1,'STATIC DATA'!$C$4:$AF$4,0))</f>
        <v>2D</v>
      </c>
      <c r="BL58" s="53"/>
      <c r="BT58" s="50"/>
      <c r="BU58" s="55"/>
      <c r="BV58" s="55"/>
      <c r="BW58" s="55"/>
      <c r="BX58" s="332"/>
      <c r="BY58" s="325"/>
      <c r="BZ58" s="282"/>
      <c r="CA58" s="282"/>
      <c r="CB58" s="299"/>
      <c r="CN58" s="332"/>
      <c r="CO58" s="398"/>
      <c r="CP58" s="404"/>
      <c r="CQ58" s="404"/>
      <c r="CR58" s="404"/>
      <c r="CU58" s="401"/>
      <c r="CV58" s="206"/>
      <c r="CW58" s="206"/>
      <c r="DP58" s="299"/>
      <c r="DQ58" s="299"/>
      <c r="DR58" s="299"/>
      <c r="DS58" s="332"/>
      <c r="DT58" s="332"/>
      <c r="DU58" s="332"/>
      <c r="DV58" s="332"/>
      <c r="DW58" s="332"/>
      <c r="DX58" s="332"/>
      <c r="DY58" s="332"/>
      <c r="DZ58" s="332"/>
    </row>
    <row r="59" spans="6:130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772</v>
      </c>
      <c r="BK59" s="247" t="s">
        <v>842</v>
      </c>
      <c r="BL59" s="249" t="s">
        <v>801</v>
      </c>
      <c r="BT59" s="50"/>
      <c r="BU59" s="55"/>
      <c r="BV59" s="55"/>
      <c r="BW59" s="55"/>
      <c r="BX59" s="332"/>
      <c r="BY59" s="325"/>
      <c r="BZ59" s="282"/>
      <c r="CA59" s="282"/>
      <c r="CB59" s="299"/>
      <c r="CN59" s="332"/>
      <c r="CO59" s="398"/>
      <c r="CP59" s="404"/>
      <c r="CQ59" s="404"/>
      <c r="CR59" s="404"/>
      <c r="CU59" s="401"/>
      <c r="CV59" s="206"/>
      <c r="CW59" s="206"/>
      <c r="DP59" s="299"/>
      <c r="DQ59" s="299"/>
      <c r="DR59" s="299"/>
      <c r="DS59" s="332"/>
      <c r="DT59" s="332"/>
      <c r="DU59" s="332"/>
      <c r="DV59" s="332"/>
      <c r="DW59" s="332"/>
      <c r="DX59" s="332"/>
      <c r="DY59" s="332"/>
      <c r="DZ59" s="332"/>
    </row>
    <row r="60" spans="6:130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34" t="s">
        <v>771</v>
      </c>
      <c r="BK60" s="242" t="s">
        <v>842</v>
      </c>
      <c r="BL60" s="53"/>
      <c r="BN60" s="206"/>
      <c r="BO60" s="206"/>
      <c r="BP60" s="206"/>
      <c r="BQ60" s="206"/>
      <c r="BR60" s="206"/>
      <c r="BS60" s="206"/>
      <c r="BT60" s="50"/>
      <c r="BU60" s="55"/>
      <c r="BV60" s="55"/>
      <c r="BW60" s="55"/>
      <c r="BX60" s="332"/>
      <c r="BY60" s="325"/>
      <c r="BZ60" s="282"/>
      <c r="CA60" s="282"/>
      <c r="CB60" s="299"/>
      <c r="CN60" s="332"/>
      <c r="CO60" s="398"/>
      <c r="CP60" s="404"/>
      <c r="CQ60" s="404"/>
      <c r="CR60" s="404"/>
      <c r="CU60" s="401"/>
      <c r="CV60" s="206"/>
      <c r="CW60" s="206"/>
      <c r="DP60" s="299"/>
      <c r="DQ60" s="299"/>
      <c r="DR60" s="299"/>
      <c r="DS60" s="332"/>
      <c r="DT60" s="332"/>
      <c r="DU60" s="332"/>
      <c r="DV60" s="332"/>
      <c r="DW60" s="332"/>
      <c r="DX60" s="332"/>
      <c r="DY60" s="332"/>
      <c r="DZ60" s="332"/>
    </row>
    <row r="61" spans="6:130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45" t="s">
        <v>774</v>
      </c>
      <c r="BK61" s="244" t="s">
        <v>46</v>
      </c>
      <c r="BL61" s="53"/>
      <c r="BN61" s="500"/>
      <c r="BO61" s="206"/>
      <c r="BP61" s="206"/>
      <c r="BQ61" s="206"/>
      <c r="BR61" s="206"/>
      <c r="BS61" s="206"/>
      <c r="BT61" s="50"/>
      <c r="BU61" s="55"/>
      <c r="BV61" s="55"/>
      <c r="BW61" s="55"/>
      <c r="BX61" s="332"/>
      <c r="BY61" s="325"/>
      <c r="BZ61" s="282"/>
      <c r="CA61" s="282"/>
      <c r="CB61" s="299"/>
      <c r="CO61" s="397"/>
      <c r="CU61" s="401"/>
      <c r="CV61" s="206"/>
      <c r="CW61" s="206"/>
      <c r="DP61" s="299"/>
      <c r="DQ61" s="299"/>
      <c r="DR61" s="299"/>
      <c r="DS61" s="299"/>
      <c r="DT61" s="299"/>
      <c r="DU61" s="299"/>
      <c r="DV61" s="299"/>
      <c r="DW61" s="299"/>
      <c r="DX61" s="299"/>
      <c r="DY61" s="299"/>
      <c r="DZ61" s="299"/>
    </row>
    <row r="62" spans="6:130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775</v>
      </c>
      <c r="BK62" s="216" t="str">
        <f>INDEX('STATIC DATA'!C53:AF53,1,MATCH($A$1,'STATIC DATA'!C4:AF4,0))</f>
        <v>ACT/365</v>
      </c>
      <c r="BL62" s="53"/>
      <c r="BN62" s="206"/>
      <c r="BO62" s="501"/>
      <c r="BP62" s="206"/>
      <c r="BQ62" s="206"/>
      <c r="BR62" s="206"/>
      <c r="BS62" s="206"/>
      <c r="BT62" s="50"/>
      <c r="BU62" s="55"/>
      <c r="BV62" s="55"/>
      <c r="BW62" s="55"/>
      <c r="BX62" s="332"/>
      <c r="BY62" s="325"/>
      <c r="BZ62" s="282"/>
      <c r="CA62" s="282"/>
      <c r="CB62" s="299"/>
      <c r="CO62" s="397"/>
      <c r="CU62" s="401"/>
      <c r="CV62" s="206"/>
      <c r="CW62" s="206"/>
      <c r="DP62" s="299"/>
      <c r="DQ62" s="299"/>
      <c r="DR62" s="299"/>
      <c r="DS62" s="299"/>
      <c r="DT62" s="299"/>
      <c r="DU62" s="299"/>
      <c r="DV62" s="299"/>
      <c r="DW62" s="299"/>
      <c r="DX62" s="299"/>
      <c r="DY62" s="299"/>
      <c r="DZ62" s="299"/>
    </row>
    <row r="63" spans="6:130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776</v>
      </c>
      <c r="BK63" s="468" t="str">
        <f>BK54</f>
        <v>BMB:NYB:LNB</v>
      </c>
      <c r="BL63" s="53"/>
      <c r="BN63" s="206"/>
      <c r="BO63" s="502"/>
      <c r="BP63" s="206"/>
      <c r="BQ63" s="206"/>
      <c r="BR63" s="206"/>
      <c r="BS63" s="206"/>
      <c r="BT63" s="50"/>
      <c r="BU63" s="55"/>
      <c r="BV63" s="55"/>
      <c r="BW63" s="55"/>
      <c r="BX63" s="332"/>
      <c r="BY63" s="325"/>
      <c r="BZ63" s="282"/>
      <c r="CA63" s="282"/>
      <c r="CB63" s="299"/>
      <c r="CO63" s="397"/>
      <c r="CU63" s="401"/>
      <c r="CV63" s="206"/>
      <c r="CW63" s="206"/>
      <c r="DP63" s="299"/>
      <c r="DQ63" s="299"/>
      <c r="DR63" s="299"/>
      <c r="DS63" s="299"/>
      <c r="DT63" s="299"/>
      <c r="DU63" s="299"/>
      <c r="DV63" s="299"/>
      <c r="DW63" s="299"/>
      <c r="DX63" s="299"/>
      <c r="DY63" s="299"/>
      <c r="DZ63" s="299"/>
    </row>
    <row r="64" spans="6:130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777</v>
      </c>
      <c r="BK64" s="216" t="s">
        <v>721</v>
      </c>
      <c r="BL64" s="53"/>
      <c r="BN64" s="206"/>
      <c r="BO64" s="206"/>
      <c r="BP64" s="206"/>
      <c r="BQ64" s="206"/>
      <c r="BR64" s="206"/>
      <c r="BS64" s="206"/>
      <c r="BT64" s="50"/>
      <c r="BU64" s="55"/>
      <c r="BV64" s="55"/>
      <c r="BW64" s="55"/>
      <c r="BX64" s="332"/>
      <c r="BY64" s="325"/>
      <c r="BZ64" s="282"/>
      <c r="CA64" s="282"/>
      <c r="CB64" s="299"/>
      <c r="CO64" s="397"/>
      <c r="CU64" s="401"/>
      <c r="CV64" s="206"/>
      <c r="CW64" s="206"/>
      <c r="DP64" s="299"/>
      <c r="DQ64" s="299"/>
      <c r="DR64" s="299"/>
      <c r="DS64" s="299"/>
      <c r="DT64" s="299"/>
      <c r="DU64" s="299"/>
      <c r="DV64" s="299"/>
      <c r="DW64" s="299"/>
      <c r="DX64" s="299"/>
      <c r="DY64" s="299"/>
      <c r="DZ64" s="299"/>
    </row>
    <row r="65" spans="6:130" x14ac:dyDescent="0.25">
      <c r="F65" s="50"/>
      <c r="G65" s="52"/>
      <c r="H65" s="52"/>
      <c r="I65" s="53"/>
      <c r="Q65" s="50"/>
      <c r="R65" s="52"/>
      <c r="S65" s="52"/>
      <c r="T65" s="53"/>
      <c r="AA65" t="s">
        <v>843</v>
      </c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778</v>
      </c>
      <c r="BK65" s="216" t="str">
        <f>INDEX('STATIC DATA'!C40:AF40,1,MATCH($A$1,'STATIC DATA'!$C$4:$AF$4,0))</f>
        <v>BMB</v>
      </c>
      <c r="BL65" s="53"/>
      <c r="BN65" s="206"/>
      <c r="BO65" s="206"/>
      <c r="BP65" s="206"/>
      <c r="BQ65" s="206"/>
      <c r="BR65" s="206"/>
      <c r="BS65" s="206"/>
      <c r="BT65" s="50"/>
      <c r="BU65" s="55"/>
      <c r="BV65" s="55"/>
      <c r="BW65" s="55"/>
      <c r="BX65" s="332"/>
      <c r="BY65" s="325"/>
      <c r="BZ65" s="282"/>
      <c r="CA65" s="282"/>
      <c r="CB65" s="299"/>
      <c r="CO65" s="397"/>
      <c r="CU65" s="401"/>
      <c r="CV65" s="206"/>
      <c r="CW65" s="206"/>
      <c r="DP65" s="299"/>
      <c r="DQ65" s="299"/>
      <c r="DR65" s="299"/>
      <c r="DS65" s="299"/>
      <c r="DT65" s="299"/>
      <c r="DU65" s="299"/>
      <c r="DV65" s="299"/>
      <c r="DW65" s="299"/>
      <c r="DX65" s="299"/>
      <c r="DY65" s="299"/>
      <c r="DZ65" s="299"/>
    </row>
    <row r="66" spans="6:130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788</v>
      </c>
      <c r="AD66" s="219" t="b">
        <v>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779</v>
      </c>
      <c r="BK66" s="257" t="str">
        <f>INDEX('STATIC DATA'!C29:AF29,1,MATCH($A$1,'STATIC DATA'!$C$4:$AF$4,0))</f>
        <v>2D</v>
      </c>
      <c r="BL66" s="53"/>
      <c r="BN66" s="206"/>
      <c r="BO66" s="206"/>
      <c r="BP66" s="206"/>
      <c r="BQ66" s="206"/>
      <c r="BR66" s="206"/>
      <c r="BS66" s="206"/>
      <c r="BT66" s="50"/>
      <c r="BU66" s="52"/>
      <c r="BV66" s="52"/>
      <c r="BW66" s="52"/>
      <c r="BX66" s="299"/>
      <c r="BY66" s="325"/>
      <c r="BZ66" s="282"/>
      <c r="CA66" s="282"/>
      <c r="CB66" s="299"/>
      <c r="CO66" s="397"/>
      <c r="CU66" s="401"/>
      <c r="CV66" s="206"/>
      <c r="CW66" s="206"/>
      <c r="DP66" s="299"/>
      <c r="DQ66" s="299"/>
      <c r="DR66" s="299"/>
      <c r="DS66" s="299"/>
      <c r="DT66" s="299"/>
      <c r="DU66" s="299"/>
      <c r="DV66" s="299"/>
      <c r="DW66" s="299"/>
      <c r="DX66" s="299"/>
      <c r="DY66" s="299"/>
      <c r="DZ66" s="299"/>
    </row>
    <row r="67" spans="6:130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22" t="s">
        <v>780</v>
      </c>
      <c r="BK67" s="216" t="s">
        <v>687</v>
      </c>
      <c r="BL67" s="53"/>
      <c r="BN67" s="206"/>
      <c r="BO67" s="206"/>
      <c r="BP67" s="206"/>
      <c r="BQ67" s="206"/>
      <c r="BR67" s="206"/>
      <c r="BS67" s="206"/>
      <c r="BT67" s="50"/>
      <c r="BU67" s="52"/>
      <c r="BV67" s="52"/>
      <c r="BW67" s="52"/>
      <c r="BX67" s="299"/>
      <c r="BY67" s="325"/>
      <c r="BZ67" s="282"/>
      <c r="CA67" s="282"/>
      <c r="CB67" s="299"/>
      <c r="CO67" s="397"/>
      <c r="CU67" s="401"/>
      <c r="CV67" s="206"/>
      <c r="CW67" s="206"/>
      <c r="DP67" s="299"/>
      <c r="DQ67" s="299"/>
      <c r="DR67" s="299"/>
      <c r="DS67" s="299"/>
      <c r="DT67" s="299"/>
      <c r="DU67" s="299"/>
      <c r="DV67" s="299"/>
      <c r="DW67" s="299"/>
      <c r="DX67" s="299"/>
      <c r="DY67" s="299"/>
      <c r="DZ67" s="299"/>
    </row>
    <row r="68" spans="6:130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33" t="s">
        <v>781</v>
      </c>
      <c r="BK68" s="241" t="s">
        <v>810</v>
      </c>
      <c r="BL68" s="53"/>
      <c r="BN68" s="206"/>
      <c r="BO68" s="206"/>
      <c r="BP68" s="206"/>
      <c r="BQ68" s="206"/>
      <c r="BR68" s="206"/>
      <c r="BS68" s="206"/>
      <c r="BT68" s="50"/>
      <c r="BU68" s="52"/>
      <c r="BV68" s="52"/>
      <c r="BW68" s="52"/>
      <c r="BX68" s="299"/>
      <c r="BY68" s="325"/>
      <c r="BZ68" s="282"/>
      <c r="CA68" s="282"/>
      <c r="CB68" s="299"/>
      <c r="CO68" s="397"/>
      <c r="CU68" s="401"/>
      <c r="CV68" s="206"/>
      <c r="CW68" s="206"/>
      <c r="CX68" s="206"/>
      <c r="DP68" s="299"/>
      <c r="DQ68" s="299"/>
      <c r="DR68" s="299"/>
      <c r="DS68" s="299"/>
      <c r="DT68" s="299"/>
      <c r="DU68" s="299"/>
      <c r="DV68" s="299"/>
      <c r="DW68" s="299"/>
      <c r="DX68" s="299"/>
      <c r="DY68" s="299"/>
      <c r="DZ68" s="299"/>
    </row>
    <row r="69" spans="6:130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2" t="s">
        <v>811</v>
      </c>
      <c r="BK69" s="216" t="b">
        <v>0</v>
      </c>
      <c r="BL69" s="53"/>
      <c r="BN69" s="206"/>
      <c r="BO69" s="206"/>
      <c r="BP69" s="206"/>
      <c r="BQ69" s="206"/>
      <c r="BR69" s="206"/>
      <c r="BS69" s="206"/>
      <c r="BT69" s="50"/>
      <c r="BU69" s="52"/>
      <c r="BV69" s="52"/>
      <c r="BW69" s="52"/>
      <c r="BX69" s="299"/>
      <c r="BY69" s="325"/>
      <c r="BZ69" s="282"/>
      <c r="CA69" s="282"/>
      <c r="CB69" s="299"/>
      <c r="CO69" s="397"/>
      <c r="CU69" s="401"/>
      <c r="CV69" s="206"/>
      <c r="CW69" s="206"/>
      <c r="CX69" s="206"/>
      <c r="DP69" s="299"/>
      <c r="DQ69" s="299"/>
      <c r="DR69" s="299"/>
      <c r="DS69" s="299"/>
      <c r="DT69" s="299"/>
      <c r="DU69" s="299"/>
      <c r="DV69" s="299"/>
      <c r="DW69" s="299"/>
      <c r="DX69" s="299"/>
      <c r="DY69" s="299"/>
      <c r="DZ69" s="299"/>
    </row>
    <row r="70" spans="6:130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812</v>
      </c>
      <c r="BK70" s="216" t="b">
        <v>1</v>
      </c>
      <c r="BL70" s="53"/>
      <c r="BN70" s="206"/>
      <c r="BO70" s="206"/>
      <c r="BP70" s="206"/>
      <c r="BQ70" s="206"/>
      <c r="BR70" s="206"/>
      <c r="BS70" s="206"/>
      <c r="BT70" s="50"/>
      <c r="BU70" s="52"/>
      <c r="BV70" s="52"/>
      <c r="BW70" s="52"/>
      <c r="BX70" s="299"/>
      <c r="BY70" s="325"/>
      <c r="BZ70" s="282"/>
      <c r="CA70" s="282"/>
      <c r="CB70" s="299"/>
      <c r="CO70" s="397"/>
      <c r="CU70" s="401"/>
      <c r="CV70" s="206"/>
      <c r="CW70" s="206"/>
      <c r="CX70" s="206"/>
      <c r="DP70" s="299"/>
      <c r="DQ70" s="299"/>
      <c r="DR70" s="299"/>
      <c r="DS70" s="299"/>
      <c r="DT70" s="299"/>
      <c r="DU70" s="299"/>
      <c r="DV70" s="299"/>
      <c r="DW70" s="299"/>
      <c r="DX70" s="299"/>
      <c r="DY70" s="299"/>
      <c r="DZ70" s="299"/>
    </row>
    <row r="71" spans="6:130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688</v>
      </c>
      <c r="BK71" s="216">
        <v>31</v>
      </c>
      <c r="BL71" s="53"/>
      <c r="BN71" s="206"/>
      <c r="BO71" s="206"/>
      <c r="BP71" s="206"/>
      <c r="BQ71" s="206"/>
      <c r="BR71" s="206"/>
      <c r="BS71" s="206"/>
      <c r="BT71" s="50"/>
      <c r="BU71" s="52"/>
      <c r="BV71" s="52"/>
      <c r="BW71" s="52"/>
      <c r="BX71" s="299"/>
      <c r="BY71" s="325"/>
      <c r="BZ71" s="282"/>
      <c r="CA71" s="282"/>
      <c r="CB71" s="299"/>
      <c r="CO71" s="397"/>
      <c r="CU71" s="401"/>
      <c r="CV71" s="206"/>
      <c r="CW71" s="206"/>
      <c r="CX71" s="206"/>
      <c r="DP71" s="299"/>
      <c r="DQ71" s="299"/>
      <c r="DR71" s="299"/>
      <c r="DS71" s="299"/>
      <c r="DT71" s="299"/>
      <c r="DU71" s="299"/>
      <c r="DV71" s="299"/>
      <c r="DW71" s="299"/>
      <c r="DX71" s="299"/>
      <c r="DY71" s="299"/>
      <c r="DZ71" s="299"/>
    </row>
    <row r="72" spans="6:130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689</v>
      </c>
      <c r="BK72" s="216" t="b">
        <v>1</v>
      </c>
      <c r="BL72" s="53"/>
      <c r="BN72" s="206"/>
      <c r="BO72" s="206"/>
      <c r="BP72" s="206"/>
      <c r="BQ72" s="206"/>
      <c r="BR72" s="206"/>
      <c r="BS72" s="206"/>
      <c r="BT72" s="50"/>
      <c r="BU72" s="52"/>
      <c r="BV72" s="52"/>
      <c r="BW72" s="52"/>
      <c r="BX72" s="299"/>
      <c r="BY72" s="325"/>
      <c r="BZ72" s="282"/>
      <c r="CA72" s="282"/>
      <c r="CB72" s="299"/>
      <c r="CO72" s="397"/>
      <c r="CU72" s="401"/>
      <c r="CV72" s="206"/>
      <c r="CW72" s="206"/>
      <c r="CX72" s="206"/>
      <c r="DP72" s="299"/>
      <c r="DQ72" s="299"/>
      <c r="DR72" s="299"/>
      <c r="DS72" s="299"/>
      <c r="DT72" s="299"/>
      <c r="DU72" s="299"/>
      <c r="DV72" s="299"/>
      <c r="DW72" s="299"/>
      <c r="DX72" s="299"/>
      <c r="DY72" s="299"/>
      <c r="DZ72" s="299"/>
    </row>
    <row r="73" spans="6:130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22" t="s">
        <v>740</v>
      </c>
      <c r="BK73" s="216" t="b">
        <v>1</v>
      </c>
      <c r="BL73" s="53"/>
      <c r="BN73" s="206"/>
      <c r="BO73" s="206"/>
      <c r="BP73" s="206"/>
      <c r="BQ73" s="206"/>
      <c r="BR73" s="206"/>
      <c r="BS73" s="206"/>
      <c r="BT73" s="50"/>
      <c r="BU73" s="52"/>
      <c r="BV73" s="52"/>
      <c r="BW73" s="52"/>
      <c r="BX73" s="299"/>
      <c r="BY73" s="325"/>
      <c r="BZ73" s="282"/>
      <c r="CA73" s="282"/>
      <c r="CB73" s="299"/>
      <c r="CO73" s="397"/>
      <c r="CU73" s="401"/>
      <c r="CV73" s="206"/>
      <c r="CW73" s="206"/>
      <c r="CX73" s="206"/>
      <c r="DP73" s="299"/>
      <c r="DQ73" s="299"/>
      <c r="DR73" s="299"/>
      <c r="DS73" s="299"/>
      <c r="DT73" s="299"/>
      <c r="DU73" s="299"/>
      <c r="DV73" s="299"/>
      <c r="DW73" s="299"/>
      <c r="DX73" s="299"/>
      <c r="DY73" s="299"/>
      <c r="DZ73" s="299"/>
    </row>
    <row r="74" spans="6:130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22" t="s">
        <v>813</v>
      </c>
      <c r="BK74" s="216" t="b">
        <v>0</v>
      </c>
      <c r="BL74" s="53"/>
      <c r="BN74" s="206"/>
      <c r="BO74" s="206"/>
      <c r="BP74" s="206"/>
      <c r="BQ74" s="206"/>
      <c r="BR74" s="206"/>
      <c r="BS74" s="206"/>
      <c r="BT74" s="50"/>
      <c r="BU74" s="52"/>
      <c r="BV74" s="52"/>
      <c r="BW74" s="52"/>
      <c r="BX74" s="299"/>
      <c r="BY74" s="325"/>
      <c r="BZ74" s="282"/>
      <c r="CA74" s="282"/>
      <c r="CB74" s="299"/>
      <c r="CO74" s="397"/>
      <c r="CU74" s="401"/>
      <c r="CV74" s="206"/>
      <c r="CW74" s="206"/>
      <c r="CX74" s="206"/>
      <c r="DP74" s="299"/>
      <c r="DQ74" s="299"/>
      <c r="DR74" s="299"/>
      <c r="DS74" s="299"/>
      <c r="DT74" s="299"/>
      <c r="DU74" s="299"/>
      <c r="DV74" s="299"/>
      <c r="DW74" s="299"/>
      <c r="DX74" s="299"/>
      <c r="DY74" s="299"/>
      <c r="DZ74" s="299"/>
    </row>
    <row r="75" spans="6:130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33"/>
      <c r="BK75" s="246"/>
      <c r="BL75" s="53"/>
      <c r="BN75" s="206"/>
      <c r="BO75" s="206"/>
      <c r="BP75" s="206"/>
      <c r="BQ75" s="206"/>
      <c r="BR75" s="206"/>
      <c r="BS75" s="206"/>
      <c r="BT75" s="50"/>
      <c r="BU75" s="52"/>
      <c r="BV75" s="52"/>
      <c r="BW75" s="52"/>
      <c r="BX75" s="299"/>
      <c r="BY75" s="313"/>
      <c r="BZ75" s="265"/>
      <c r="CA75" s="265"/>
      <c r="CB75" s="299"/>
      <c r="CO75" s="397"/>
      <c r="CU75" s="401"/>
      <c r="CV75" s="206"/>
      <c r="CW75" s="206"/>
      <c r="CX75" s="206"/>
      <c r="DP75" s="299"/>
      <c r="DQ75" s="299"/>
      <c r="DR75" s="299"/>
      <c r="DS75" s="299"/>
      <c r="DT75" s="299"/>
      <c r="DU75" s="299"/>
      <c r="DV75" s="299"/>
      <c r="DW75" s="299"/>
      <c r="DX75" s="299"/>
      <c r="DY75" s="299"/>
      <c r="DZ75" s="299"/>
    </row>
    <row r="76" spans="6:130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52"/>
      <c r="BK76" s="253"/>
      <c r="BL76" s="53"/>
      <c r="BN76" s="206"/>
      <c r="BO76" s="206"/>
      <c r="BP76" s="206"/>
      <c r="BQ76" s="206"/>
      <c r="BR76" s="206"/>
      <c r="BS76" s="206"/>
      <c r="BT76" s="50"/>
      <c r="BU76" s="52"/>
      <c r="BV76" s="52"/>
      <c r="BW76" s="52"/>
      <c r="BX76" s="299"/>
      <c r="BY76" s="313"/>
      <c r="BZ76" s="265"/>
      <c r="CA76" s="265"/>
      <c r="CB76" s="299"/>
      <c r="CO76" s="397"/>
      <c r="CU76" s="401"/>
      <c r="CV76" s="206"/>
      <c r="CW76" s="206"/>
      <c r="CX76" s="206"/>
      <c r="DP76" s="299"/>
      <c r="DQ76" s="299"/>
      <c r="DR76" s="299"/>
      <c r="DS76" s="299"/>
      <c r="DT76" s="299"/>
      <c r="DU76" s="299"/>
      <c r="DV76" s="299"/>
      <c r="DW76" s="299"/>
      <c r="DX76" s="299"/>
      <c r="DY76" s="299"/>
      <c r="DZ76" s="299"/>
    </row>
    <row r="77" spans="6:130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250"/>
      <c r="BK77" s="254"/>
      <c r="BL77" s="53"/>
      <c r="BN77" s="206"/>
      <c r="BO77" s="206"/>
      <c r="BP77" s="206"/>
      <c r="BQ77" s="206"/>
      <c r="BR77" s="206"/>
      <c r="BS77" s="206"/>
      <c r="BT77" s="50"/>
      <c r="BU77" s="52"/>
      <c r="BV77" s="52"/>
      <c r="BW77" s="52"/>
      <c r="BX77" s="299"/>
      <c r="CB77" s="299"/>
      <c r="CO77" s="397"/>
      <c r="CU77" s="401"/>
      <c r="CV77" s="206"/>
      <c r="CW77" s="206"/>
      <c r="CX77" s="206"/>
      <c r="DP77" s="299"/>
      <c r="DQ77" s="299"/>
      <c r="DR77" s="299"/>
      <c r="DS77" s="299"/>
      <c r="DT77" s="299"/>
      <c r="DU77" s="299"/>
      <c r="DV77" s="299"/>
      <c r="DW77" s="299"/>
      <c r="DX77" s="299"/>
      <c r="DY77" s="299"/>
      <c r="DZ77" s="299"/>
    </row>
    <row r="78" spans="6:130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N78" s="206"/>
      <c r="BO78" s="206"/>
      <c r="BP78" s="206"/>
      <c r="BQ78" s="206"/>
      <c r="BR78" s="206"/>
      <c r="BS78" s="206"/>
      <c r="BT78" s="50"/>
      <c r="BU78" s="52"/>
      <c r="BV78" s="52"/>
      <c r="BW78" s="52"/>
      <c r="BX78" s="299"/>
      <c r="CB78" s="299"/>
      <c r="CO78" s="397"/>
      <c r="CU78" s="401"/>
      <c r="CV78" s="206"/>
      <c r="CW78" s="206"/>
      <c r="CX78" s="206"/>
      <c r="DP78" s="299"/>
      <c r="DQ78" s="299"/>
      <c r="DR78" s="299"/>
      <c r="DS78" s="299"/>
      <c r="DT78" s="299"/>
      <c r="DU78" s="299"/>
      <c r="DV78" s="299"/>
      <c r="DW78" s="299"/>
      <c r="DX78" s="299"/>
      <c r="DY78" s="299"/>
      <c r="DZ78" s="299"/>
    </row>
    <row r="79" spans="6:130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N79" s="206"/>
      <c r="BO79" s="206"/>
      <c r="BP79" s="206"/>
      <c r="BQ79" s="206"/>
      <c r="BR79" s="206"/>
      <c r="BS79" s="206"/>
      <c r="BT79" s="50"/>
      <c r="BU79" s="52"/>
      <c r="BV79" s="52"/>
      <c r="BW79" s="52"/>
      <c r="BX79" s="299"/>
      <c r="CB79" s="299"/>
      <c r="CO79" s="397"/>
      <c r="CU79" s="401"/>
      <c r="CV79" s="206"/>
      <c r="CW79" s="206"/>
      <c r="CX79" s="206"/>
      <c r="DP79" s="299"/>
      <c r="DQ79" s="299"/>
      <c r="DR79" s="299"/>
      <c r="DS79" s="299"/>
      <c r="DT79" s="299"/>
      <c r="DU79" s="299"/>
      <c r="DV79" s="299"/>
      <c r="DW79" s="299"/>
      <c r="DX79" s="299"/>
      <c r="DY79" s="299"/>
      <c r="DZ79" s="299"/>
    </row>
    <row r="80" spans="6:130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N80" s="206"/>
      <c r="BO80" s="206"/>
      <c r="BP80" s="206"/>
      <c r="BQ80" s="206"/>
      <c r="BR80" s="206"/>
      <c r="BS80" s="206"/>
      <c r="BT80" s="50"/>
      <c r="BU80" s="52"/>
      <c r="BV80" s="52"/>
      <c r="BW80" s="52"/>
      <c r="BX80" s="299"/>
      <c r="BY80" s="332"/>
      <c r="BZ80" s="332"/>
      <c r="CA80" s="332"/>
      <c r="CB80" s="299"/>
      <c r="CO80" s="397"/>
      <c r="CU80" s="401"/>
      <c r="CV80" s="206"/>
      <c r="CW80" s="206"/>
      <c r="CX80" s="206"/>
      <c r="DP80" s="299"/>
      <c r="DQ80" s="299"/>
      <c r="DR80" s="299"/>
      <c r="DS80" s="299"/>
      <c r="DT80" s="299"/>
      <c r="DU80" s="299"/>
      <c r="DV80" s="299"/>
      <c r="DW80" s="299"/>
      <c r="DX80" s="299"/>
      <c r="DY80" s="299"/>
      <c r="DZ80" s="299"/>
    </row>
    <row r="81" spans="6:130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N81" s="206"/>
      <c r="BO81" s="206"/>
      <c r="BP81" s="206"/>
      <c r="BQ81" s="206"/>
      <c r="BR81" s="206"/>
      <c r="BS81" s="206"/>
      <c r="BT81" s="50"/>
      <c r="BU81" s="52"/>
      <c r="BV81" s="52"/>
      <c r="BW81" s="52"/>
      <c r="BX81" s="299"/>
      <c r="BY81" s="332"/>
      <c r="BZ81" s="332"/>
      <c r="CA81" s="332"/>
      <c r="CB81" s="299"/>
      <c r="CO81" s="397"/>
      <c r="CU81" s="401"/>
      <c r="CV81" s="206"/>
      <c r="CW81" s="206"/>
      <c r="CX81" s="206"/>
      <c r="DP81" s="299"/>
      <c r="DQ81" s="299"/>
      <c r="DR81" s="299"/>
      <c r="DS81" s="299"/>
      <c r="DT81" s="299"/>
      <c r="DU81" s="299"/>
      <c r="DV81" s="299"/>
      <c r="DW81" s="299"/>
      <c r="DX81" s="299"/>
      <c r="DY81" s="299"/>
      <c r="DZ81" s="299"/>
    </row>
    <row r="82" spans="6:130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N82" s="206"/>
      <c r="BO82" s="206"/>
      <c r="BP82" s="206"/>
      <c r="BQ82" s="206"/>
      <c r="BR82" s="206"/>
      <c r="BS82" s="206"/>
      <c r="BT82" s="50"/>
      <c r="BU82" s="52"/>
      <c r="BV82" s="52"/>
      <c r="BW82" s="52"/>
      <c r="BX82" s="299"/>
      <c r="BY82" s="332"/>
      <c r="BZ82" s="332"/>
      <c r="CA82" s="332"/>
      <c r="CB82" s="299"/>
      <c r="CO82" s="397"/>
      <c r="CU82" s="401"/>
      <c r="CV82" s="206"/>
      <c r="CW82" s="206"/>
      <c r="CX82" s="206"/>
      <c r="DP82" s="299"/>
      <c r="DQ82" s="299"/>
      <c r="DR82" s="299"/>
      <c r="DS82" s="299"/>
      <c r="DT82" s="299"/>
      <c r="DU82" s="299"/>
      <c r="DV82" s="299"/>
      <c r="DW82" s="299"/>
      <c r="DX82" s="299"/>
      <c r="DY82" s="299"/>
      <c r="DZ82" s="299"/>
    </row>
    <row r="83" spans="6:130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N83" s="206"/>
      <c r="BO83" s="206"/>
      <c r="BP83" s="206"/>
      <c r="BQ83" s="206"/>
      <c r="BR83" s="206"/>
      <c r="BS83" s="206"/>
      <c r="BT83" s="50"/>
      <c r="BU83" s="52"/>
      <c r="BV83" s="52"/>
      <c r="BW83" s="52"/>
      <c r="BX83" s="299"/>
      <c r="BY83" s="332"/>
      <c r="BZ83" s="332"/>
      <c r="CA83" s="332"/>
      <c r="CB83" s="299"/>
      <c r="CO83" s="397"/>
      <c r="CU83" s="401"/>
      <c r="CV83" s="206"/>
      <c r="CW83" s="206"/>
      <c r="CX83" s="206"/>
      <c r="DP83" s="299"/>
      <c r="DQ83" s="299"/>
      <c r="DR83" s="299"/>
      <c r="DS83" s="299"/>
      <c r="DT83" s="299"/>
      <c r="DU83" s="299"/>
      <c r="DV83" s="299"/>
      <c r="DW83" s="299"/>
      <c r="DX83" s="299"/>
      <c r="DY83" s="299"/>
      <c r="DZ83" s="299"/>
    </row>
    <row r="84" spans="6:130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N84" s="206"/>
      <c r="BO84" s="206"/>
      <c r="BP84" s="206"/>
      <c r="BQ84" s="206"/>
      <c r="BR84" s="206"/>
      <c r="BS84" s="206"/>
      <c r="BT84" s="50"/>
      <c r="BU84" s="52"/>
      <c r="BV84" s="52"/>
      <c r="BW84" s="52"/>
      <c r="BX84" s="299"/>
      <c r="BY84" s="332"/>
      <c r="BZ84" s="332"/>
      <c r="CA84" s="332"/>
      <c r="CB84" s="332"/>
      <c r="CO84" s="397"/>
      <c r="CU84" s="401"/>
      <c r="CV84" s="206"/>
      <c r="CW84" s="206"/>
      <c r="CX84" s="206"/>
      <c r="DP84" s="332"/>
      <c r="DQ84" s="332"/>
      <c r="DR84" s="332"/>
      <c r="DS84" s="299"/>
      <c r="DT84" s="299"/>
      <c r="DU84" s="299"/>
      <c r="DV84" s="299"/>
      <c r="DW84" s="299"/>
      <c r="DX84" s="299"/>
      <c r="DY84" s="299"/>
      <c r="DZ84" s="299"/>
    </row>
    <row r="85" spans="6:130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N85" s="206"/>
      <c r="BO85" s="206"/>
      <c r="BP85" s="206"/>
      <c r="BQ85" s="206"/>
      <c r="BR85" s="206"/>
      <c r="BS85" s="206"/>
      <c r="BT85" s="50"/>
      <c r="BU85" s="52"/>
      <c r="BV85" s="52"/>
      <c r="BW85" s="52"/>
      <c r="BX85" s="299"/>
      <c r="BY85" s="332"/>
      <c r="BZ85" s="332"/>
      <c r="CA85" s="332"/>
      <c r="CB85" s="332"/>
      <c r="CO85" s="397"/>
      <c r="CU85" s="401"/>
      <c r="CV85" s="206"/>
      <c r="CW85" s="206"/>
      <c r="CX85" s="206"/>
      <c r="DP85" s="332"/>
      <c r="DQ85" s="332"/>
      <c r="DR85" s="332"/>
      <c r="DS85" s="299"/>
      <c r="DT85" s="299"/>
      <c r="DU85" s="299"/>
      <c r="DV85" s="299"/>
      <c r="DW85" s="299"/>
      <c r="DX85" s="299"/>
      <c r="DY85" s="299"/>
      <c r="DZ85" s="299"/>
    </row>
    <row r="86" spans="6:130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N86" s="206"/>
      <c r="BO86" s="206"/>
      <c r="BP86" s="206"/>
      <c r="BQ86" s="206"/>
      <c r="BR86" s="206"/>
      <c r="BS86" s="206"/>
      <c r="BT86" s="50"/>
      <c r="BU86" s="52"/>
      <c r="BV86" s="52"/>
      <c r="BW86" s="52"/>
      <c r="BX86" s="299"/>
      <c r="BY86" s="332"/>
      <c r="BZ86" s="332"/>
      <c r="CA86" s="332"/>
      <c r="CB86" s="332"/>
      <c r="CO86" s="397"/>
      <c r="CU86" s="401"/>
      <c r="CV86" s="206"/>
      <c r="CW86" s="206"/>
      <c r="CX86" s="206"/>
      <c r="DP86" s="332"/>
      <c r="DQ86" s="332"/>
      <c r="DR86" s="332"/>
      <c r="DS86" s="299"/>
      <c r="DT86" s="299"/>
      <c r="DU86" s="299"/>
      <c r="DV86" s="299"/>
      <c r="DW86" s="299"/>
      <c r="DX86" s="299"/>
      <c r="DY86" s="299"/>
      <c r="DZ86" s="299"/>
    </row>
    <row r="87" spans="6:130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N87" s="206"/>
      <c r="BO87" s="206"/>
      <c r="BP87" s="206"/>
      <c r="BQ87" s="206"/>
      <c r="BR87" s="206"/>
      <c r="BS87" s="206"/>
      <c r="BT87" s="50"/>
      <c r="BU87" s="52"/>
      <c r="BV87" s="52"/>
      <c r="BW87" s="52"/>
      <c r="BX87" s="299"/>
      <c r="BY87" s="332"/>
      <c r="BZ87" s="332"/>
      <c r="CA87" s="332"/>
      <c r="CB87" s="332"/>
      <c r="CO87" s="397"/>
      <c r="CU87" s="401"/>
      <c r="CV87" s="206"/>
      <c r="CW87" s="206"/>
      <c r="CX87" s="206"/>
      <c r="DP87" s="332"/>
      <c r="DQ87" s="332"/>
      <c r="DR87" s="332"/>
      <c r="DS87" s="299"/>
      <c r="DT87" s="299"/>
      <c r="DU87" s="299"/>
      <c r="DV87" s="299"/>
      <c r="DW87" s="299"/>
      <c r="DX87" s="299"/>
      <c r="DY87" s="299"/>
      <c r="DZ87" s="299"/>
    </row>
    <row r="88" spans="6:130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N88" s="206"/>
      <c r="BO88" s="206"/>
      <c r="BP88" s="206"/>
      <c r="BQ88" s="206"/>
      <c r="BR88" s="206"/>
      <c r="BS88" s="206"/>
      <c r="BT88" s="50"/>
      <c r="BU88" s="52"/>
      <c r="BV88" s="52"/>
      <c r="BW88" s="52"/>
      <c r="BX88" s="299"/>
      <c r="BY88" s="332"/>
      <c r="BZ88" s="332"/>
      <c r="CA88" s="332"/>
      <c r="CB88" s="332"/>
      <c r="CO88" s="397"/>
      <c r="CU88" s="401"/>
      <c r="CV88" s="206"/>
      <c r="CW88" s="206"/>
      <c r="CX88" s="206"/>
      <c r="DP88" s="332"/>
      <c r="DQ88" s="332"/>
      <c r="DR88" s="332"/>
      <c r="DS88" s="299"/>
      <c r="DT88" s="299"/>
      <c r="DU88" s="299"/>
      <c r="DV88" s="299"/>
      <c r="DW88" s="299"/>
      <c r="DX88" s="299"/>
      <c r="DY88" s="299"/>
      <c r="DZ88" s="299"/>
    </row>
    <row r="89" spans="6:130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N89" s="206"/>
      <c r="BO89" s="206"/>
      <c r="BP89" s="206"/>
      <c r="BQ89" s="206"/>
      <c r="BR89" s="206"/>
      <c r="BS89" s="206"/>
      <c r="BT89" s="50"/>
      <c r="BU89" s="52"/>
      <c r="BV89" s="52"/>
      <c r="BW89" s="52"/>
      <c r="BX89" s="299"/>
      <c r="BY89" s="332"/>
      <c r="BZ89" s="332"/>
      <c r="CA89" s="332"/>
      <c r="CB89" s="332"/>
      <c r="CO89" s="397"/>
      <c r="CU89" s="401"/>
      <c r="CV89" s="206"/>
      <c r="CW89" s="206"/>
      <c r="CX89" s="206"/>
      <c r="DP89" s="332"/>
      <c r="DQ89" s="332"/>
      <c r="DR89" s="332"/>
      <c r="DS89" s="299"/>
      <c r="DT89" s="299"/>
      <c r="DU89" s="299"/>
      <c r="DV89" s="299"/>
      <c r="DW89" s="299"/>
      <c r="DX89" s="299"/>
      <c r="DY89" s="299"/>
      <c r="DZ89" s="299"/>
    </row>
    <row r="90" spans="6:130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N90" s="206"/>
      <c r="BO90" s="206"/>
      <c r="BP90" s="206"/>
      <c r="BQ90" s="206"/>
      <c r="BR90" s="206"/>
      <c r="BS90" s="206"/>
      <c r="BT90" s="50"/>
      <c r="BU90" s="52"/>
      <c r="BV90" s="52"/>
      <c r="BW90" s="52"/>
      <c r="BX90" s="299"/>
      <c r="BY90" s="332"/>
      <c r="BZ90" s="332"/>
      <c r="CA90" s="332"/>
      <c r="CB90" s="332"/>
      <c r="CO90" s="397"/>
      <c r="CU90" s="401"/>
      <c r="CV90" s="206"/>
      <c r="CW90" s="206"/>
      <c r="CX90" s="206"/>
      <c r="DP90" s="332"/>
      <c r="DQ90" s="332"/>
      <c r="DR90" s="332"/>
      <c r="DS90" s="299"/>
      <c r="DT90" s="299"/>
      <c r="DU90" s="299"/>
      <c r="DV90" s="299"/>
      <c r="DW90" s="299"/>
      <c r="DX90" s="299"/>
      <c r="DY90" s="299"/>
      <c r="DZ90" s="299"/>
    </row>
    <row r="91" spans="6:130" x14ac:dyDescent="0.25">
      <c r="F91" s="75"/>
      <c r="G91" s="76"/>
      <c r="H91" s="76"/>
      <c r="I91" s="77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N91" s="206"/>
      <c r="BO91" s="206"/>
      <c r="BP91" s="206"/>
      <c r="BQ91" s="206"/>
      <c r="BR91" s="206"/>
      <c r="BS91" s="206"/>
      <c r="BT91" s="50"/>
      <c r="BU91" s="52"/>
      <c r="BV91" s="52"/>
      <c r="BW91" s="52"/>
      <c r="BX91" s="299"/>
      <c r="BY91" s="332"/>
      <c r="BZ91" s="332"/>
      <c r="CA91" s="332"/>
      <c r="CB91" s="332"/>
      <c r="CO91" s="397"/>
      <c r="CU91" s="401"/>
      <c r="CV91" s="206"/>
      <c r="CW91" s="206"/>
      <c r="CX91" s="206"/>
      <c r="DP91" s="332"/>
      <c r="DQ91" s="332"/>
      <c r="DR91" s="332"/>
      <c r="DS91" s="299"/>
      <c r="DT91" s="299"/>
      <c r="DU91" s="299"/>
      <c r="DV91" s="299"/>
      <c r="DW91" s="299"/>
      <c r="DX91" s="299"/>
      <c r="DY91" s="299"/>
      <c r="DZ91" s="299"/>
    </row>
    <row r="92" spans="6:130" x14ac:dyDescent="0.25"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N92" s="206"/>
      <c r="BO92" s="206"/>
      <c r="BP92" s="206"/>
      <c r="BQ92" s="206"/>
      <c r="BR92" s="206"/>
      <c r="BS92" s="206"/>
      <c r="BT92" s="50"/>
      <c r="BU92" s="52"/>
      <c r="BV92" s="52"/>
      <c r="BW92" s="52"/>
      <c r="BX92" s="299"/>
      <c r="CB92" s="299"/>
      <c r="CO92" s="397"/>
      <c r="CU92" s="401"/>
      <c r="CV92" s="206"/>
      <c r="CW92" s="206"/>
      <c r="CX92" s="206"/>
      <c r="DP92" s="299"/>
      <c r="DQ92" s="299"/>
      <c r="DR92" s="299"/>
      <c r="DS92" s="299"/>
      <c r="DT92" s="299"/>
      <c r="DU92" s="299"/>
      <c r="DV92" s="299"/>
      <c r="DW92" s="299"/>
      <c r="DX92" s="299"/>
      <c r="DY92" s="299"/>
      <c r="DZ92" s="299"/>
    </row>
    <row r="93" spans="6:130" x14ac:dyDescent="0.25"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N93" s="206"/>
      <c r="BO93" s="206"/>
      <c r="BP93" s="206"/>
      <c r="BQ93" s="206"/>
      <c r="BR93" s="206"/>
      <c r="BS93" s="206"/>
      <c r="BT93" s="50"/>
      <c r="BU93" s="52"/>
      <c r="BV93" s="52"/>
      <c r="BW93" s="52"/>
      <c r="BX93" s="299"/>
      <c r="CB93" s="299"/>
      <c r="CO93" s="397"/>
      <c r="CU93" s="401"/>
      <c r="CV93" s="206"/>
      <c r="CW93" s="206"/>
      <c r="CX93" s="206"/>
      <c r="DP93" s="299"/>
      <c r="DQ93" s="299"/>
      <c r="DR93" s="299"/>
      <c r="DS93" s="299"/>
      <c r="DT93" s="299"/>
      <c r="DU93" s="299"/>
      <c r="DV93" s="299"/>
      <c r="DW93" s="299"/>
      <c r="DX93" s="299"/>
      <c r="DY93" s="299"/>
      <c r="DZ93" s="299"/>
    </row>
    <row r="94" spans="6:130" x14ac:dyDescent="0.25"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N94" s="206"/>
      <c r="BO94" s="206"/>
      <c r="BP94" s="206"/>
      <c r="BQ94" s="206"/>
      <c r="BR94" s="206"/>
      <c r="BS94" s="206"/>
      <c r="BT94" s="50"/>
      <c r="BU94" s="52"/>
      <c r="BV94" s="52"/>
      <c r="BW94" s="52"/>
      <c r="BX94" s="299"/>
      <c r="CB94" s="299"/>
      <c r="CO94" s="397"/>
      <c r="CU94" s="401"/>
      <c r="CV94" s="206"/>
      <c r="CW94" s="206"/>
      <c r="CX94" s="206"/>
      <c r="DP94" s="299"/>
      <c r="DQ94" s="299"/>
      <c r="DR94" s="299"/>
      <c r="DS94" s="298"/>
      <c r="DT94" s="298"/>
      <c r="DU94" s="298"/>
      <c r="DV94" s="298"/>
      <c r="DW94" s="298"/>
      <c r="DX94" s="298"/>
      <c r="DY94" s="298"/>
      <c r="DZ94" s="298"/>
    </row>
    <row r="95" spans="6:130" x14ac:dyDescent="0.25"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N95" s="206"/>
      <c r="BO95" s="206"/>
      <c r="BP95" s="206"/>
      <c r="BQ95" s="206"/>
      <c r="BR95" s="206"/>
      <c r="BS95" s="206"/>
      <c r="BT95" s="50"/>
      <c r="BU95" s="52"/>
      <c r="BV95" s="52"/>
      <c r="BW95" s="52"/>
      <c r="BX95" s="299"/>
      <c r="CB95" s="299"/>
      <c r="CO95" s="397"/>
      <c r="CU95" s="401"/>
      <c r="CV95" s="206"/>
      <c r="CW95" s="206"/>
      <c r="CX95" s="206"/>
      <c r="DP95" s="299"/>
      <c r="DQ95" s="299"/>
      <c r="DR95" s="299"/>
      <c r="DS95" s="206"/>
      <c r="DT95" s="206"/>
      <c r="DU95" s="206"/>
      <c r="DV95" s="206"/>
      <c r="DW95" s="206"/>
      <c r="DX95" s="206"/>
      <c r="DY95" s="206"/>
      <c r="DZ95" s="206"/>
    </row>
    <row r="96" spans="6:130" x14ac:dyDescent="0.25"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N96" s="206"/>
      <c r="BO96" s="206"/>
      <c r="BP96" s="206"/>
      <c r="BQ96" s="206"/>
      <c r="BR96" s="206"/>
      <c r="BS96" s="206"/>
      <c r="BT96" s="50"/>
      <c r="BU96" s="52"/>
      <c r="BV96" s="52"/>
      <c r="BW96" s="52"/>
      <c r="BX96" s="299"/>
      <c r="CB96" s="299"/>
      <c r="CO96" s="397"/>
      <c r="CU96" s="401"/>
      <c r="CV96" s="206"/>
      <c r="CW96" s="206"/>
      <c r="CX96" s="206"/>
      <c r="DP96" s="299"/>
      <c r="DQ96" s="299"/>
      <c r="DR96" s="299"/>
      <c r="DS96" s="206"/>
      <c r="DT96" s="206"/>
      <c r="DU96" s="206"/>
      <c r="DV96" s="206"/>
      <c r="DW96" s="206"/>
      <c r="DX96" s="206"/>
      <c r="DY96" s="206"/>
      <c r="DZ96" s="206"/>
    </row>
    <row r="97" spans="28:122" x14ac:dyDescent="0.25"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N97" s="206"/>
      <c r="BO97" s="206"/>
      <c r="BP97" s="206"/>
      <c r="BQ97" s="206"/>
      <c r="BR97" s="206"/>
      <c r="BS97" s="206"/>
      <c r="BT97" s="50"/>
      <c r="BU97" s="52"/>
      <c r="BV97" s="52"/>
      <c r="BW97" s="52"/>
      <c r="BX97" s="299"/>
      <c r="CB97" s="299"/>
      <c r="CO97" s="397"/>
      <c r="DP97" s="299"/>
      <c r="DQ97" s="299"/>
      <c r="DR97" s="299"/>
    </row>
    <row r="98" spans="28:122" x14ac:dyDescent="0.25"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N98" s="206"/>
      <c r="BO98" s="206"/>
      <c r="BP98" s="206"/>
      <c r="BQ98" s="206"/>
      <c r="BR98" s="206"/>
      <c r="BS98" s="206"/>
      <c r="BT98" s="75"/>
      <c r="BU98" s="52"/>
      <c r="BV98" s="52"/>
      <c r="BW98" s="52"/>
      <c r="BX98" s="299"/>
      <c r="CB98" s="299"/>
      <c r="CO98" s="397"/>
      <c r="DP98" s="299"/>
      <c r="DQ98" s="299"/>
      <c r="DR98" s="299"/>
    </row>
    <row r="99" spans="28:122" x14ac:dyDescent="0.25">
      <c r="BN99" s="206"/>
      <c r="BO99" s="206"/>
      <c r="BP99" s="206"/>
      <c r="BQ99" s="206"/>
      <c r="BR99" s="206"/>
      <c r="BS99" s="206"/>
      <c r="BT99" s="206"/>
      <c r="BU99" s="298"/>
      <c r="BV99" s="298"/>
      <c r="BW99" s="298"/>
      <c r="BX99" s="299"/>
      <c r="CB99" s="299"/>
      <c r="CO99" s="397"/>
      <c r="CY99" s="206"/>
      <c r="CZ99" s="206"/>
      <c r="DA99" s="206"/>
      <c r="DB99" s="206"/>
      <c r="DC99" s="206"/>
      <c r="DD99" s="206"/>
      <c r="DE99" s="206"/>
      <c r="DP99" s="299"/>
      <c r="DQ99" s="299"/>
      <c r="DR99" s="299"/>
    </row>
    <row r="100" spans="28:122" x14ac:dyDescent="0.25">
      <c r="BN100" s="206"/>
      <c r="BO100" s="206"/>
      <c r="BP100" s="206"/>
      <c r="BQ100" s="206"/>
      <c r="BR100" s="206"/>
      <c r="BS100" s="206"/>
      <c r="BT100" s="206"/>
      <c r="BU100" s="206"/>
      <c r="BV100" s="206"/>
      <c r="BW100" s="206"/>
      <c r="CB100" s="299"/>
      <c r="CO100" s="397"/>
      <c r="CY100" s="206"/>
      <c r="CZ100" s="206"/>
      <c r="DA100" s="206"/>
      <c r="DB100" s="206"/>
      <c r="DC100" s="206"/>
      <c r="DD100" s="206"/>
      <c r="DE100" s="206"/>
      <c r="DP100" s="299"/>
      <c r="DQ100" s="299"/>
      <c r="DR100" s="299"/>
    </row>
    <row r="101" spans="28:122" x14ac:dyDescent="0.25">
      <c r="BN101" s="206"/>
      <c r="BO101" s="206"/>
      <c r="BP101" s="206"/>
      <c r="BQ101" s="206"/>
      <c r="BR101" s="206"/>
      <c r="BS101" s="206"/>
      <c r="BT101" s="206"/>
      <c r="BU101" s="206"/>
      <c r="BV101" s="206"/>
      <c r="BW101" s="206"/>
      <c r="CB101" s="299"/>
      <c r="CO101" s="397"/>
      <c r="CY101" s="206"/>
      <c r="CZ101" s="206"/>
      <c r="DA101" s="206"/>
      <c r="DB101" s="206"/>
      <c r="DC101" s="206"/>
      <c r="DD101" s="206"/>
      <c r="DE101" s="206"/>
      <c r="DP101" s="299"/>
      <c r="DQ101" s="299"/>
      <c r="DR101" s="299"/>
    </row>
    <row r="102" spans="28:122" x14ac:dyDescent="0.25">
      <c r="BN102" s="206"/>
      <c r="BO102" s="206"/>
      <c r="BP102" s="206"/>
      <c r="BQ102" s="206"/>
      <c r="BR102" s="206"/>
      <c r="BS102" s="206"/>
      <c r="BT102" s="206"/>
      <c r="BU102" s="206"/>
      <c r="BV102" s="206"/>
      <c r="BW102" s="206"/>
      <c r="CB102" s="299"/>
      <c r="CO102" s="397"/>
      <c r="CY102" s="206"/>
      <c r="CZ102" s="206"/>
      <c r="DA102" s="206"/>
      <c r="DB102" s="206"/>
      <c r="DC102" s="206"/>
      <c r="DD102" s="206"/>
      <c r="DE102" s="206"/>
      <c r="DP102" s="299"/>
      <c r="DQ102" s="299"/>
      <c r="DR102" s="299"/>
    </row>
    <row r="103" spans="28:122" x14ac:dyDescent="0.25">
      <c r="BN103" s="206"/>
      <c r="BO103" s="206"/>
      <c r="BP103" s="206"/>
      <c r="BQ103" s="206"/>
      <c r="BR103" s="206"/>
      <c r="BS103" s="206"/>
      <c r="BT103" s="206"/>
      <c r="BU103" s="206"/>
      <c r="BV103" s="206"/>
      <c r="BW103" s="206"/>
      <c r="CB103" s="299"/>
      <c r="CO103" s="397"/>
      <c r="CY103" s="206"/>
      <c r="CZ103" s="206"/>
      <c r="DA103" s="206"/>
      <c r="DB103" s="206"/>
      <c r="DC103" s="206"/>
      <c r="DD103" s="206"/>
      <c r="DE103" s="206"/>
      <c r="DP103" s="299"/>
      <c r="DQ103" s="299"/>
      <c r="DR103" s="299"/>
    </row>
    <row r="104" spans="28:122" x14ac:dyDescent="0.25">
      <c r="BN104" s="206"/>
      <c r="BO104" s="206"/>
      <c r="BP104" s="206"/>
      <c r="BQ104" s="206"/>
      <c r="BR104" s="206"/>
      <c r="BS104" s="206"/>
      <c r="BT104" s="206"/>
      <c r="BU104" s="206"/>
      <c r="BV104" s="206"/>
      <c r="BW104" s="206"/>
      <c r="CB104" s="299"/>
      <c r="CO104" s="397"/>
      <c r="CY104" s="206"/>
      <c r="CZ104" s="206"/>
      <c r="DA104" s="206"/>
      <c r="DB104" s="206"/>
      <c r="DC104" s="206"/>
      <c r="DD104" s="206"/>
      <c r="DE104" s="206"/>
      <c r="DP104" s="299"/>
      <c r="DQ104" s="299"/>
      <c r="DR104" s="299"/>
    </row>
    <row r="105" spans="28:122" x14ac:dyDescent="0.25">
      <c r="BN105" s="206"/>
      <c r="BO105" s="206"/>
      <c r="BP105" s="206"/>
      <c r="BQ105" s="206"/>
      <c r="BR105" s="206"/>
      <c r="BS105" s="206"/>
      <c r="BT105" s="206"/>
      <c r="BU105" s="206"/>
      <c r="BV105" s="206"/>
      <c r="BW105" s="206"/>
      <c r="CB105" s="299"/>
      <c r="CO105" s="397"/>
      <c r="CY105" s="206"/>
      <c r="CZ105" s="206"/>
      <c r="DA105" s="206"/>
      <c r="DB105" s="206"/>
      <c r="DC105" s="206"/>
      <c r="DD105" s="206"/>
      <c r="DE105" s="206"/>
      <c r="DP105" s="299"/>
      <c r="DQ105" s="299"/>
      <c r="DR105" s="299"/>
    </row>
    <row r="106" spans="28:122" x14ac:dyDescent="0.25">
      <c r="BN106" s="502"/>
      <c r="BO106" s="501"/>
      <c r="BP106" s="206"/>
      <c r="BQ106" s="206"/>
      <c r="BR106" s="206"/>
      <c r="BS106" s="206"/>
      <c r="BT106" s="206"/>
      <c r="BU106" s="206"/>
      <c r="BV106" s="206"/>
      <c r="BW106" s="206"/>
      <c r="CB106" s="299"/>
      <c r="CO106" s="397"/>
      <c r="CY106" s="206"/>
      <c r="CZ106" s="206"/>
      <c r="DA106" s="206"/>
      <c r="DB106" s="206"/>
      <c r="DC106" s="206"/>
      <c r="DD106" s="206"/>
      <c r="DE106" s="206"/>
      <c r="DP106" s="299"/>
      <c r="DQ106" s="299"/>
      <c r="DR106" s="299"/>
    </row>
    <row r="107" spans="28:122" x14ac:dyDescent="0.25">
      <c r="BN107" s="206"/>
      <c r="BO107" s="501"/>
      <c r="BP107" s="206"/>
      <c r="BQ107" s="206"/>
      <c r="BR107" s="206"/>
      <c r="BS107" s="206"/>
      <c r="BT107" s="206"/>
      <c r="BU107" s="206"/>
      <c r="BV107" s="206"/>
      <c r="BW107" s="206"/>
      <c r="CB107" s="299"/>
      <c r="CO107" s="397"/>
      <c r="CY107" s="206"/>
      <c r="CZ107" s="206"/>
      <c r="DA107" s="206"/>
      <c r="DB107" s="206"/>
      <c r="DC107" s="206"/>
      <c r="DD107" s="206"/>
      <c r="DE107" s="206"/>
      <c r="DP107" s="299"/>
      <c r="DQ107" s="299"/>
      <c r="DR107" s="299"/>
    </row>
    <row r="108" spans="28:122" x14ac:dyDescent="0.25">
      <c r="BN108" s="206"/>
      <c r="BO108" s="501"/>
      <c r="BP108" s="206"/>
      <c r="BQ108" s="206"/>
      <c r="BR108" s="206"/>
      <c r="BS108" s="206"/>
      <c r="BT108" s="206"/>
      <c r="BU108" s="206"/>
      <c r="BV108" s="206"/>
      <c r="BW108" s="206"/>
      <c r="CB108" s="299"/>
      <c r="CO108" s="397"/>
      <c r="CY108" s="206"/>
      <c r="CZ108" s="206"/>
      <c r="DA108" s="206"/>
      <c r="DB108" s="206"/>
      <c r="DC108" s="206"/>
      <c r="DD108" s="206"/>
      <c r="DE108" s="206"/>
      <c r="DP108" s="299"/>
      <c r="DQ108" s="299"/>
      <c r="DR108" s="299"/>
    </row>
    <row r="109" spans="28:122" x14ac:dyDescent="0.25">
      <c r="BN109" s="206"/>
      <c r="BO109" s="206"/>
      <c r="BP109" s="206"/>
      <c r="BQ109" s="206"/>
      <c r="BR109" s="206"/>
      <c r="BS109" s="206"/>
      <c r="BT109" s="206"/>
      <c r="BU109" s="206"/>
      <c r="BV109" s="206"/>
      <c r="BW109" s="206"/>
      <c r="CB109" s="299"/>
      <c r="CO109" s="397"/>
      <c r="CY109" s="206"/>
      <c r="CZ109" s="206"/>
      <c r="DA109" s="206"/>
      <c r="DB109" s="206"/>
      <c r="DC109" s="206"/>
      <c r="DD109" s="206"/>
      <c r="DE109" s="206"/>
      <c r="DP109" s="299"/>
      <c r="DQ109" s="299"/>
      <c r="DR109" s="299"/>
    </row>
    <row r="110" spans="28:122" x14ac:dyDescent="0.25">
      <c r="BN110" s="206"/>
      <c r="BO110" s="206"/>
      <c r="BP110" s="206"/>
      <c r="BQ110" s="206"/>
      <c r="BR110" s="206"/>
      <c r="BS110" s="206"/>
      <c r="BT110" s="206"/>
      <c r="BU110" s="206"/>
      <c r="BV110" s="206"/>
      <c r="BW110" s="206"/>
      <c r="CB110" s="299"/>
      <c r="CO110" s="397"/>
      <c r="CY110" s="206"/>
      <c r="CZ110" s="206"/>
      <c r="DA110" s="206"/>
      <c r="DB110" s="206"/>
      <c r="DC110" s="206"/>
      <c r="DD110" s="206"/>
      <c r="DE110" s="206"/>
      <c r="DP110" s="299"/>
      <c r="DQ110" s="299"/>
      <c r="DR110" s="299"/>
    </row>
    <row r="111" spans="28:122" x14ac:dyDescent="0.25">
      <c r="BN111" s="206"/>
      <c r="BO111" s="206"/>
      <c r="BP111" s="206"/>
      <c r="BQ111" s="206"/>
      <c r="BR111" s="206"/>
      <c r="BS111" s="206"/>
      <c r="BT111" s="206"/>
      <c r="BU111" s="206"/>
      <c r="BV111" s="206"/>
      <c r="BW111" s="206"/>
      <c r="CB111" s="299"/>
      <c r="CO111" s="397"/>
      <c r="CY111" s="206"/>
      <c r="CZ111" s="206"/>
      <c r="DA111" s="206"/>
      <c r="DB111" s="206"/>
      <c r="DC111" s="206"/>
      <c r="DD111" s="206"/>
      <c r="DE111" s="206"/>
      <c r="DP111" s="299"/>
      <c r="DQ111" s="299"/>
      <c r="DR111" s="299"/>
    </row>
    <row r="112" spans="28:122" x14ac:dyDescent="0.25">
      <c r="BN112" s="206"/>
      <c r="BO112" s="206"/>
      <c r="BP112" s="206"/>
      <c r="BQ112" s="206"/>
      <c r="BR112" s="206"/>
      <c r="BS112" s="206"/>
      <c r="BT112" s="206"/>
      <c r="BU112" s="206"/>
      <c r="BV112" s="206"/>
      <c r="BW112" s="206"/>
      <c r="CB112" s="299"/>
      <c r="CO112" s="397"/>
      <c r="CY112" s="206"/>
      <c r="CZ112" s="206"/>
      <c r="DA112" s="206"/>
      <c r="DB112" s="206"/>
      <c r="DC112" s="206"/>
      <c r="DD112" s="206"/>
      <c r="DE112" s="206"/>
      <c r="DP112" s="299"/>
      <c r="DQ112" s="299"/>
      <c r="DR112" s="299"/>
    </row>
    <row r="113" spans="66:122" x14ac:dyDescent="0.25">
      <c r="BN113" s="206"/>
      <c r="BO113" s="206"/>
      <c r="BP113" s="206"/>
      <c r="BQ113" s="206"/>
      <c r="BR113" s="206"/>
      <c r="BS113" s="206"/>
      <c r="BT113" s="206"/>
      <c r="BU113" s="206"/>
      <c r="BV113" s="206"/>
      <c r="BW113" s="206"/>
      <c r="CB113" s="299"/>
      <c r="CO113" s="397"/>
      <c r="CY113" s="206"/>
      <c r="CZ113" s="206"/>
      <c r="DA113" s="206"/>
      <c r="DB113" s="206"/>
      <c r="DC113" s="206"/>
      <c r="DD113" s="206"/>
      <c r="DE113" s="206"/>
      <c r="DP113" s="299"/>
      <c r="DQ113" s="299"/>
      <c r="DR113" s="299"/>
    </row>
    <row r="114" spans="66:122" x14ac:dyDescent="0.25">
      <c r="BN114" s="206"/>
      <c r="BO114" s="206"/>
      <c r="BP114" s="206"/>
      <c r="BQ114" s="206"/>
      <c r="BR114" s="206"/>
      <c r="BS114" s="206"/>
      <c r="BT114" s="206"/>
      <c r="BU114" s="206"/>
      <c r="BV114" s="206"/>
      <c r="BW114" s="206"/>
      <c r="CB114" s="299"/>
      <c r="CO114" s="397"/>
      <c r="CY114" s="206"/>
      <c r="CZ114" s="206"/>
      <c r="DA114" s="206"/>
      <c r="DB114" s="206"/>
      <c r="DC114" s="206"/>
      <c r="DD114" s="206"/>
      <c r="DE114" s="206"/>
      <c r="DP114" s="299"/>
      <c r="DQ114" s="299"/>
      <c r="DR114" s="299"/>
    </row>
    <row r="115" spans="66:122" x14ac:dyDescent="0.25">
      <c r="BN115" s="206"/>
      <c r="BO115" s="206"/>
      <c r="BP115" s="206"/>
      <c r="BQ115" s="206"/>
      <c r="BR115" s="206"/>
      <c r="BS115" s="206"/>
      <c r="BT115" s="206"/>
      <c r="BU115" s="206"/>
      <c r="BV115" s="206"/>
      <c r="BW115" s="206"/>
      <c r="CB115" s="299"/>
      <c r="CO115" s="397"/>
      <c r="CY115" s="206"/>
      <c r="CZ115" s="206"/>
      <c r="DA115" s="206"/>
      <c r="DB115" s="206"/>
      <c r="DC115" s="206"/>
      <c r="DD115" s="206"/>
      <c r="DE115" s="206"/>
      <c r="DP115" s="299"/>
      <c r="DQ115" s="299"/>
      <c r="DR115" s="299"/>
    </row>
    <row r="116" spans="66:122" x14ac:dyDescent="0.25">
      <c r="BN116" s="206"/>
      <c r="BO116" s="206"/>
      <c r="BP116" s="206"/>
      <c r="BQ116" s="206"/>
      <c r="BR116" s="206"/>
      <c r="BS116" s="206"/>
      <c r="BT116" s="206"/>
      <c r="BU116" s="206"/>
      <c r="BV116" s="206"/>
      <c r="BW116" s="206"/>
      <c r="CB116" s="299"/>
      <c r="CO116" s="397"/>
      <c r="CY116" s="206"/>
      <c r="CZ116" s="206"/>
      <c r="DA116" s="206"/>
      <c r="DB116" s="206"/>
      <c r="DC116" s="206"/>
      <c r="DD116" s="206"/>
      <c r="DE116" s="206"/>
      <c r="DP116" s="299"/>
      <c r="DQ116" s="299"/>
      <c r="DR116" s="299"/>
    </row>
    <row r="117" spans="66:122" x14ac:dyDescent="0.25">
      <c r="BN117" s="206"/>
      <c r="BO117" s="206"/>
      <c r="BP117" s="206"/>
      <c r="BQ117" s="206"/>
      <c r="BR117" s="206"/>
      <c r="BS117" s="206"/>
      <c r="BT117" s="206"/>
      <c r="BU117" s="206"/>
      <c r="BV117" s="206"/>
      <c r="BW117" s="206"/>
      <c r="CB117" s="299"/>
      <c r="CO117" s="397"/>
      <c r="CY117" s="206"/>
      <c r="CZ117" s="206"/>
      <c r="DA117" s="206"/>
      <c r="DB117" s="206"/>
      <c r="DC117" s="206"/>
      <c r="DD117" s="206"/>
      <c r="DE117" s="206"/>
      <c r="DP117" s="299"/>
      <c r="DQ117" s="299"/>
      <c r="DR117" s="299"/>
    </row>
    <row r="118" spans="66:122" x14ac:dyDescent="0.25">
      <c r="BN118" s="206"/>
      <c r="BO118" s="206"/>
      <c r="BP118" s="206"/>
      <c r="BQ118" s="206"/>
      <c r="BR118" s="206"/>
      <c r="BS118" s="206"/>
      <c r="BT118" s="206"/>
      <c r="BU118" s="206"/>
      <c r="BV118" s="206"/>
      <c r="BW118" s="206"/>
      <c r="CB118" s="299"/>
      <c r="CO118" s="397"/>
      <c r="CY118" s="206"/>
      <c r="CZ118" s="206"/>
      <c r="DA118" s="206"/>
      <c r="DB118" s="206"/>
      <c r="DC118" s="206"/>
      <c r="DD118" s="206"/>
      <c r="DE118" s="206"/>
      <c r="DP118" s="299"/>
      <c r="DQ118" s="299"/>
      <c r="DR118" s="299"/>
    </row>
    <row r="119" spans="66:122" x14ac:dyDescent="0.25">
      <c r="BN119" s="206"/>
      <c r="BO119" s="206"/>
      <c r="BP119" s="206"/>
      <c r="BQ119" s="206"/>
      <c r="BR119" s="206"/>
      <c r="BS119" s="206"/>
      <c r="BT119" s="206"/>
      <c r="BU119" s="206"/>
      <c r="BV119" s="206"/>
      <c r="BW119" s="206"/>
      <c r="CB119" s="299"/>
      <c r="CO119" s="397"/>
      <c r="CY119" s="206"/>
      <c r="CZ119" s="206"/>
      <c r="DA119" s="206"/>
      <c r="DB119" s="206"/>
      <c r="DC119" s="206"/>
      <c r="DD119" s="206"/>
      <c r="DE119" s="206"/>
      <c r="DP119" s="299"/>
      <c r="DQ119" s="299"/>
      <c r="DR119" s="299"/>
    </row>
    <row r="120" spans="66:122" x14ac:dyDescent="0.25">
      <c r="BN120" s="206"/>
      <c r="BO120" s="206"/>
      <c r="BP120" s="206"/>
      <c r="BQ120" s="206"/>
      <c r="BR120" s="206"/>
      <c r="BS120" s="206"/>
      <c r="BT120" s="206"/>
      <c r="BU120" s="206"/>
      <c r="BV120" s="206"/>
      <c r="BW120" s="206"/>
      <c r="CB120" s="299"/>
      <c r="CO120" s="397"/>
      <c r="CY120" s="206"/>
      <c r="CZ120" s="206"/>
      <c r="DA120" s="206"/>
      <c r="DB120" s="206"/>
      <c r="DC120" s="206"/>
      <c r="DD120" s="206"/>
      <c r="DE120" s="206"/>
      <c r="DP120" s="299"/>
      <c r="DQ120" s="299"/>
      <c r="DR120" s="299"/>
    </row>
    <row r="121" spans="66:122" x14ac:dyDescent="0.25">
      <c r="BN121" s="206"/>
      <c r="BO121" s="206"/>
      <c r="BP121" s="206"/>
      <c r="BQ121" s="206"/>
      <c r="BR121" s="206"/>
      <c r="BS121" s="206"/>
      <c r="BT121" s="206"/>
      <c r="BU121" s="206"/>
      <c r="BV121" s="206"/>
      <c r="BW121" s="206"/>
      <c r="CB121" s="299"/>
      <c r="CO121" s="397"/>
      <c r="CY121" s="206"/>
      <c r="CZ121" s="206"/>
      <c r="DA121" s="206"/>
      <c r="DB121" s="206"/>
      <c r="DC121" s="206"/>
      <c r="DD121" s="206"/>
      <c r="DE121" s="206"/>
      <c r="DP121" s="299"/>
      <c r="DQ121" s="299"/>
      <c r="DR121" s="299"/>
    </row>
    <row r="122" spans="66:122" x14ac:dyDescent="0.25">
      <c r="BN122" s="206"/>
      <c r="BO122" s="206"/>
      <c r="BP122" s="206"/>
      <c r="BQ122" s="206"/>
      <c r="BR122" s="206"/>
      <c r="BS122" s="206"/>
      <c r="BT122" s="206"/>
      <c r="BU122" s="206"/>
      <c r="BV122" s="206"/>
      <c r="BW122" s="206"/>
      <c r="CB122" s="299"/>
      <c r="CO122" s="397"/>
      <c r="CY122" s="206"/>
      <c r="CZ122" s="206"/>
      <c r="DA122" s="206"/>
      <c r="DB122" s="206"/>
      <c r="DC122" s="206"/>
      <c r="DD122" s="206"/>
      <c r="DE122" s="206"/>
      <c r="DP122" s="299"/>
      <c r="DQ122" s="299"/>
      <c r="DR122" s="299"/>
    </row>
    <row r="123" spans="66:122" x14ac:dyDescent="0.25">
      <c r="BN123" s="206"/>
      <c r="BO123" s="206"/>
      <c r="BP123" s="206"/>
      <c r="BQ123" s="206"/>
      <c r="BR123" s="206"/>
      <c r="BS123" s="206"/>
      <c r="BT123" s="206"/>
      <c r="BU123" s="206"/>
      <c r="BV123" s="206"/>
      <c r="BW123" s="206"/>
      <c r="CB123" s="299"/>
      <c r="CO123" s="397"/>
      <c r="CY123" s="206"/>
      <c r="CZ123" s="206"/>
      <c r="DA123" s="206"/>
      <c r="DB123" s="206"/>
      <c r="DC123" s="206"/>
      <c r="DD123" s="206"/>
      <c r="DE123" s="206"/>
      <c r="DP123" s="299"/>
      <c r="DQ123" s="299"/>
      <c r="DR123" s="299"/>
    </row>
    <row r="124" spans="66:122" x14ac:dyDescent="0.25">
      <c r="BN124" s="206"/>
      <c r="BO124" s="206"/>
      <c r="BP124" s="206"/>
      <c r="BQ124" s="206"/>
      <c r="BR124" s="206"/>
      <c r="BS124" s="206"/>
      <c r="BT124" s="206"/>
      <c r="BU124" s="206"/>
      <c r="BV124" s="206"/>
      <c r="BW124" s="206"/>
      <c r="CB124" s="299"/>
      <c r="CO124" s="397"/>
      <c r="CY124" s="206"/>
      <c r="CZ124" s="206"/>
      <c r="DA124" s="206"/>
      <c r="DB124" s="206"/>
      <c r="DC124" s="206"/>
      <c r="DD124" s="206"/>
      <c r="DE124" s="206"/>
      <c r="DP124" s="299"/>
      <c r="DQ124" s="299"/>
      <c r="DR124" s="299"/>
    </row>
    <row r="125" spans="66:122" x14ac:dyDescent="0.25">
      <c r="BN125" s="206"/>
      <c r="BO125" s="206"/>
      <c r="BP125" s="206"/>
      <c r="BQ125" s="206"/>
      <c r="BR125" s="206"/>
      <c r="BS125" s="206"/>
      <c r="BT125" s="206"/>
      <c r="BU125" s="206"/>
      <c r="BV125" s="206"/>
      <c r="BW125" s="206"/>
      <c r="CB125" s="298"/>
      <c r="CO125" s="397"/>
      <c r="CY125" s="206"/>
      <c r="CZ125" s="206"/>
      <c r="DA125" s="206"/>
      <c r="DB125" s="206"/>
      <c r="DC125" s="206"/>
      <c r="DD125" s="206"/>
      <c r="DE125" s="206"/>
      <c r="DP125" s="298"/>
      <c r="DQ125" s="298"/>
      <c r="DR125" s="298"/>
    </row>
    <row r="126" spans="66:122" x14ac:dyDescent="0.25">
      <c r="BN126" s="206"/>
      <c r="BO126" s="206"/>
      <c r="BP126" s="206"/>
      <c r="BQ126" s="206"/>
      <c r="BR126" s="206"/>
      <c r="BS126" s="206"/>
      <c r="BT126" s="206"/>
      <c r="BU126" s="206"/>
      <c r="BV126" s="206"/>
      <c r="BW126" s="206"/>
      <c r="CB126" s="206"/>
      <c r="CO126" s="397"/>
      <c r="CY126" s="206"/>
      <c r="CZ126" s="206"/>
      <c r="DA126" s="206"/>
      <c r="DB126" s="206"/>
      <c r="DC126" s="206"/>
      <c r="DD126" s="206"/>
      <c r="DE126" s="206"/>
      <c r="DP126" s="206"/>
      <c r="DQ126" s="206"/>
      <c r="DR126" s="206"/>
    </row>
    <row r="127" spans="66:122" x14ac:dyDescent="0.25">
      <c r="BN127" s="206"/>
      <c r="BO127" s="206"/>
      <c r="BP127" s="206"/>
      <c r="BQ127" s="206"/>
      <c r="BR127" s="206"/>
      <c r="BS127" s="206"/>
      <c r="BT127" s="206"/>
      <c r="BU127" s="206"/>
      <c r="BV127" s="206"/>
      <c r="BW127" s="206"/>
      <c r="CB127" s="206"/>
      <c r="CO127" s="397"/>
      <c r="CY127" s="206"/>
      <c r="CZ127" s="206"/>
      <c r="DA127" s="206"/>
      <c r="DB127" s="206"/>
      <c r="DC127" s="206"/>
      <c r="DD127" s="206"/>
      <c r="DE127" s="206"/>
      <c r="DP127" s="206"/>
      <c r="DQ127" s="206"/>
      <c r="DR127" s="206"/>
    </row>
    <row r="128" spans="66:122" x14ac:dyDescent="0.25">
      <c r="BN128" s="206"/>
      <c r="BO128" s="206"/>
      <c r="BP128" s="206"/>
      <c r="BQ128" s="206"/>
      <c r="BR128" s="206"/>
      <c r="BS128" s="206"/>
      <c r="CO128" s="397"/>
    </row>
    <row r="129" spans="66:71" x14ac:dyDescent="0.25">
      <c r="BN129" s="206"/>
      <c r="BO129" s="206"/>
      <c r="BP129" s="206"/>
      <c r="BQ129" s="206"/>
      <c r="BR129" s="206"/>
      <c r="BS129" s="206"/>
    </row>
    <row r="130" spans="66:71" x14ac:dyDescent="0.25">
      <c r="BN130" s="206"/>
      <c r="BO130" s="206"/>
      <c r="BP130" s="206"/>
      <c r="BQ130" s="206"/>
      <c r="BR130" s="206"/>
      <c r="BS130" s="206"/>
    </row>
    <row r="131" spans="66:71" x14ac:dyDescent="0.25">
      <c r="BN131" s="206"/>
      <c r="BO131" s="206"/>
      <c r="BP131" s="206"/>
      <c r="BQ131" s="206"/>
      <c r="BR131" s="206"/>
      <c r="BS131" s="206"/>
    </row>
    <row r="132" spans="66:71" x14ac:dyDescent="0.25">
      <c r="BN132" s="206"/>
      <c r="BO132" s="206"/>
      <c r="BP132" s="206"/>
      <c r="BQ132" s="206"/>
      <c r="BR132" s="206"/>
      <c r="BS132" s="206"/>
    </row>
    <row r="133" spans="66:71" x14ac:dyDescent="0.25">
      <c r="BN133" s="206"/>
      <c r="BO133" s="206"/>
      <c r="BP133" s="206"/>
      <c r="BQ133" s="206"/>
      <c r="BR133" s="206"/>
      <c r="BS133" s="206"/>
    </row>
    <row r="134" spans="66:71" x14ac:dyDescent="0.25">
      <c r="BN134" s="206"/>
      <c r="BO134" s="206"/>
      <c r="BP134" s="206"/>
      <c r="BQ134" s="206"/>
      <c r="BR134" s="206"/>
      <c r="BS134" s="206"/>
    </row>
    <row r="135" spans="66:71" x14ac:dyDescent="0.25">
      <c r="BN135" s="206"/>
      <c r="BO135" s="206"/>
      <c r="BP135" s="206"/>
      <c r="BQ135" s="206"/>
      <c r="BR135" s="206"/>
      <c r="BS135" s="206"/>
    </row>
    <row r="136" spans="66:71" x14ac:dyDescent="0.25">
      <c r="BN136" s="206"/>
      <c r="BO136" s="206"/>
      <c r="BP136" s="206"/>
      <c r="BQ136" s="206"/>
      <c r="BR136" s="206"/>
      <c r="BS136" s="206"/>
    </row>
    <row r="137" spans="66:71" x14ac:dyDescent="0.25">
      <c r="BN137" s="206"/>
      <c r="BO137" s="206"/>
      <c r="BP137" s="206"/>
      <c r="BQ137" s="206"/>
      <c r="BR137" s="206"/>
      <c r="BS137" s="206"/>
    </row>
    <row r="138" spans="66:71" x14ac:dyDescent="0.25">
      <c r="BN138" s="206"/>
      <c r="BO138" s="206"/>
      <c r="BP138" s="206"/>
      <c r="BQ138" s="206"/>
      <c r="BR138" s="206"/>
      <c r="BS138" s="206"/>
    </row>
    <row r="139" spans="66:71" x14ac:dyDescent="0.25">
      <c r="BN139" s="206"/>
      <c r="BO139" s="206"/>
      <c r="BP139" s="206"/>
      <c r="BQ139" s="206"/>
      <c r="BR139" s="206"/>
      <c r="BS139" s="206"/>
    </row>
    <row r="140" spans="66:71" x14ac:dyDescent="0.25">
      <c r="BN140" s="206"/>
      <c r="BO140" s="206"/>
      <c r="BP140" s="206"/>
      <c r="BQ140" s="206"/>
      <c r="BR140" s="206"/>
      <c r="BS140" s="206"/>
    </row>
    <row r="141" spans="66:71" x14ac:dyDescent="0.25">
      <c r="BN141" s="206"/>
      <c r="BO141" s="206"/>
      <c r="BP141" s="206"/>
      <c r="BQ141" s="206"/>
      <c r="BR141" s="206"/>
      <c r="BS141" s="206"/>
    </row>
    <row r="142" spans="66:71" x14ac:dyDescent="0.25">
      <c r="BN142" s="206"/>
      <c r="BO142" s="206"/>
      <c r="BP142" s="206"/>
      <c r="BQ142" s="206"/>
      <c r="BR142" s="206"/>
      <c r="BS142" s="206"/>
    </row>
    <row r="143" spans="66:71" x14ac:dyDescent="0.25">
      <c r="BN143" s="206"/>
      <c r="BO143" s="206"/>
      <c r="BP143" s="206"/>
      <c r="BQ143" s="206"/>
      <c r="BR143" s="206"/>
      <c r="BS143" s="206"/>
    </row>
    <row r="144" spans="66:71" x14ac:dyDescent="0.25">
      <c r="BN144" s="206"/>
      <c r="BO144" s="206"/>
      <c r="BP144" s="206"/>
      <c r="BQ144" s="206"/>
      <c r="BR144" s="206"/>
      <c r="BS144" s="206"/>
    </row>
    <row r="145" spans="66:71" x14ac:dyDescent="0.25">
      <c r="BN145" s="206"/>
      <c r="BO145" s="206"/>
      <c r="BP145" s="206"/>
      <c r="BQ145" s="206"/>
      <c r="BR145" s="206"/>
      <c r="BS145" s="206"/>
    </row>
    <row r="146" spans="66:71" x14ac:dyDescent="0.25">
      <c r="BN146" s="206"/>
      <c r="BO146" s="206"/>
      <c r="BP146" s="206"/>
      <c r="BQ146" s="206"/>
      <c r="BR146" s="206"/>
      <c r="BS146" s="206"/>
    </row>
    <row r="147" spans="66:71" x14ac:dyDescent="0.25">
      <c r="BN147" s="206"/>
      <c r="BO147" s="206"/>
      <c r="BP147" s="206"/>
      <c r="BQ147" s="206"/>
      <c r="BR147" s="206"/>
      <c r="BS147" s="206"/>
    </row>
    <row r="148" spans="66:71" x14ac:dyDescent="0.25">
      <c r="BN148" s="206"/>
      <c r="BO148" s="206"/>
      <c r="BP148" s="206"/>
      <c r="BQ148" s="206"/>
      <c r="BR148" s="206"/>
      <c r="BS148" s="206"/>
    </row>
    <row r="149" spans="66:71" x14ac:dyDescent="0.25">
      <c r="BN149" s="206"/>
      <c r="BO149" s="206"/>
      <c r="BP149" s="206"/>
      <c r="BQ149" s="206"/>
      <c r="BR149" s="206"/>
      <c r="BS149" s="206"/>
    </row>
    <row r="150" spans="66:71" x14ac:dyDescent="0.25">
      <c r="BN150" s="206"/>
      <c r="BO150" s="206"/>
      <c r="BP150" s="206"/>
      <c r="BQ150" s="206"/>
      <c r="BR150" s="206"/>
      <c r="BS150" s="206"/>
    </row>
    <row r="151" spans="66:71" x14ac:dyDescent="0.25">
      <c r="BN151" s="206"/>
      <c r="BO151" s="206"/>
      <c r="BP151" s="206"/>
      <c r="BQ151" s="206"/>
      <c r="BR151" s="206"/>
      <c r="BS151" s="206"/>
    </row>
    <row r="152" spans="66:71" x14ac:dyDescent="0.25">
      <c r="BN152" s="206"/>
      <c r="BO152" s="206"/>
      <c r="BP152" s="206"/>
      <c r="BQ152" s="206"/>
      <c r="BR152" s="206"/>
      <c r="BS152" s="206"/>
    </row>
    <row r="153" spans="66:71" x14ac:dyDescent="0.25">
      <c r="BN153" s="206"/>
      <c r="BO153" s="206"/>
      <c r="BP153" s="206"/>
      <c r="BQ153" s="206"/>
      <c r="BR153" s="206"/>
      <c r="BS153" s="206"/>
    </row>
    <row r="154" spans="66:71" x14ac:dyDescent="0.25">
      <c r="BN154" s="206"/>
      <c r="BO154" s="206"/>
      <c r="BP154" s="206"/>
      <c r="BQ154" s="206"/>
      <c r="BR154" s="206"/>
      <c r="BS154" s="206"/>
    </row>
    <row r="155" spans="66:71" x14ac:dyDescent="0.25">
      <c r="BN155" s="206"/>
      <c r="BO155" s="206"/>
      <c r="BP155" s="206"/>
      <c r="BQ155" s="206"/>
      <c r="BR155" s="206"/>
      <c r="BS155" s="206"/>
    </row>
  </sheetData>
  <dataValidations count="3">
    <dataValidation type="list" allowBlank="1" showInputMessage="1" showErrorMessage="1" sqref="BO106">
      <formula1>"FXSPOTS,FXFWDS,XCCYSWAPS"</formula1>
    </dataValidation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DE145"/>
  <sheetViews>
    <sheetView showGridLines="0" zoomScale="75" zoomScaleNormal="75" workbookViewId="0">
      <selection activeCell="P21" sqref="P21"/>
    </sheetView>
  </sheetViews>
  <sheetFormatPr defaultRowHeight="15" outlineLevelCol="2" x14ac:dyDescent="0.25"/>
  <cols>
    <col min="1" max="2" width="9.140625" customWidth="1"/>
    <col min="6" max="6" width="10.7109375" customWidth="1" outlineLevel="2"/>
    <col min="7" max="7" width="30.7109375" customWidth="1" outlineLevel="2"/>
    <col min="8" max="8" width="40.7109375" customWidth="1" outlineLevel="2"/>
    <col min="9" max="9" width="10.7109375" customWidth="1" outlineLevel="2"/>
    <col min="10" max="10" width="9.140625" customWidth="1"/>
    <col min="11" max="11" width="15.42578125" customWidth="1"/>
    <col min="12" max="15" width="10.7109375" customWidth="1"/>
    <col min="16" max="16" width="9.140625" customWidth="1"/>
    <col min="17" max="17" width="10.7109375" customWidth="1" outlineLevel="1"/>
    <col min="18" max="18" width="30.7109375" customWidth="1" outlineLevel="1"/>
    <col min="19" max="19" width="40.7109375" style="209" customWidth="1" outlineLevel="1"/>
    <col min="20" max="20" width="10.7109375" customWidth="1" outlineLevel="1"/>
    <col min="21" max="21" width="9.140625" customWidth="1"/>
    <col min="22" max="22" width="25.7109375" bestFit="1" customWidth="1"/>
    <col min="23" max="23" width="26.42578125" customWidth="1"/>
    <col min="24" max="24" width="10.7109375" customWidth="1"/>
    <col min="25" max="25" width="10.7109375" style="5" customWidth="1"/>
    <col min="26" max="26" width="10.7109375" customWidth="1"/>
    <col min="28" max="28" width="10.7109375" customWidth="1" outlineLevel="1"/>
    <col min="29" max="29" width="30.7109375" customWidth="1" outlineLevel="1"/>
    <col min="30" max="30" width="40.7109375" style="209" customWidth="1" outlineLevel="1"/>
    <col min="31" max="31" width="10.7109375" customWidth="1" outlineLevel="1"/>
    <col min="33" max="33" width="14.42578125" customWidth="1"/>
    <col min="34" max="36" width="10.7109375" customWidth="1"/>
    <col min="37" max="37" width="14.85546875" style="208" bestFit="1" customWidth="1"/>
    <col min="39" max="39" width="9.140625" hidden="1" customWidth="1" outlineLevel="1"/>
    <col min="40" max="40" width="30.7109375" hidden="1" customWidth="1" outlineLevel="1"/>
    <col min="41" max="41" width="40.7109375" hidden="1" customWidth="1" outlineLevel="1"/>
    <col min="42" max="42" width="9.140625" hidden="1" customWidth="1" outlineLevel="1"/>
    <col min="43" max="43" width="11" hidden="1" customWidth="1" outlineLevel="1"/>
    <col min="44" max="44" width="14.28515625" hidden="1" customWidth="1" outlineLevel="1"/>
    <col min="45" max="48" width="10.7109375" hidden="1" customWidth="1" outlineLevel="1"/>
    <col min="49" max="49" width="9.140625" collapsed="1"/>
    <col min="50" max="50" width="10.7109375" customWidth="1" outlineLevel="1"/>
    <col min="51" max="51" width="30.7109375" customWidth="1" outlineLevel="1"/>
    <col min="52" max="52" width="40.7109375" customWidth="1" outlineLevel="1"/>
    <col min="53" max="53" width="10.7109375" customWidth="1" outlineLevel="1"/>
    <col min="55" max="55" width="15.28515625" customWidth="1"/>
    <col min="56" max="56" width="10.7109375" style="203" customWidth="1"/>
    <col min="57" max="59" width="10.7109375" customWidth="1"/>
    <col min="61" max="61" width="10.7109375" customWidth="1" outlineLevel="1"/>
    <col min="62" max="62" width="30.7109375" customWidth="1" outlineLevel="1"/>
    <col min="63" max="63" width="68.7109375" customWidth="1" outlineLevel="1"/>
    <col min="64" max="64" width="10.7109375" customWidth="1" outlineLevel="1"/>
    <col min="66" max="66" width="16.140625" customWidth="1"/>
    <col min="67" max="70" width="10.7109375" customWidth="1"/>
    <col min="72" max="72" width="10.7109375" customWidth="1" outlineLevel="1"/>
    <col min="73" max="73" width="28.5703125" customWidth="1" outlineLevel="1"/>
    <col min="74" max="74" width="20.7109375" customWidth="1" outlineLevel="1"/>
    <col min="75" max="75" width="10.7109375" customWidth="1" outlineLevel="1"/>
    <col min="76" max="76" width="10.7109375" style="206" customWidth="1"/>
    <col min="77" max="77" width="20.7109375" customWidth="1"/>
    <col min="78" max="78" width="18" customWidth="1"/>
    <col min="79" max="79" width="15.7109375" customWidth="1"/>
    <col min="80" max="80" width="9.140625" customWidth="1"/>
    <col min="81" max="81" width="10.7109375" customWidth="1"/>
    <col min="82" max="82" width="20.7109375" customWidth="1"/>
    <col min="83" max="83" width="33.140625" bestFit="1" customWidth="1"/>
    <col min="84" max="87" width="10.7109375" customWidth="1"/>
    <col min="88" max="88" width="20.7109375" customWidth="1"/>
    <col min="89" max="89" width="33.28515625" bestFit="1" customWidth="1"/>
    <col min="90" max="90" width="10.7109375" customWidth="1"/>
    <col min="91" max="92" width="20.7109375" style="299" customWidth="1"/>
    <col min="93" max="93" width="14.28515625" style="299" customWidth="1"/>
    <col min="94" max="94" width="8.5703125" style="299" customWidth="1"/>
    <col min="95" max="95" width="9.42578125" style="299" customWidth="1"/>
    <col min="96" max="96" width="10" style="507" customWidth="1"/>
    <col min="97" max="97" width="9.7109375" style="507" bestFit="1" customWidth="1"/>
    <col min="98" max="98" width="9.140625" style="299"/>
    <col min="99" max="99" width="11" style="299" bestFit="1" customWidth="1"/>
    <col min="100" max="100" width="10.85546875" style="299" bestFit="1" customWidth="1"/>
    <col min="101" max="101" width="9.140625" style="299"/>
  </cols>
  <sheetData>
    <row r="1" spans="1:101" x14ac:dyDescent="0.25">
      <c r="A1" t="s">
        <v>172</v>
      </c>
      <c r="L1" s="5"/>
      <c r="M1" s="5"/>
      <c r="N1" s="5"/>
      <c r="O1" s="5"/>
      <c r="W1" s="5"/>
      <c r="X1" s="5"/>
      <c r="Z1" s="5"/>
      <c r="AE1" s="549"/>
      <c r="AH1" s="5"/>
      <c r="AI1" s="5"/>
      <c r="AJ1" s="5"/>
      <c r="AK1" s="358"/>
      <c r="AM1" s="209"/>
      <c r="AN1" s="209"/>
      <c r="AO1" s="209"/>
      <c r="AP1" s="209"/>
      <c r="AX1" s="209"/>
      <c r="AY1" s="209"/>
      <c r="AZ1" s="209"/>
      <c r="BA1" s="209"/>
      <c r="BD1" s="368"/>
      <c r="BE1" s="5"/>
      <c r="BF1" s="5"/>
      <c r="BG1" s="5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M1" s="323"/>
      <c r="CO1" s="543"/>
      <c r="CP1" s="403"/>
      <c r="CQ1" s="403"/>
      <c r="CR1" s="451"/>
      <c r="CS1" s="451"/>
      <c r="CT1" s="544"/>
    </row>
    <row r="2" spans="1:101" x14ac:dyDescent="0.25">
      <c r="F2" s="237" t="s">
        <v>712</v>
      </c>
      <c r="K2" s="2" t="str">
        <f>A1&amp;"_OIS"</f>
        <v>PLN_OIS</v>
      </c>
      <c r="L2" s="5"/>
      <c r="M2" s="5"/>
      <c r="N2" s="5"/>
      <c r="O2" s="5"/>
      <c r="Q2" s="237"/>
      <c r="V2" s="2" t="str">
        <f>A1&amp;"_SWAP_6M"</f>
        <v>PLN_SWAP_6M</v>
      </c>
      <c r="W2" s="5"/>
      <c r="X2" s="5"/>
      <c r="Z2" s="5"/>
      <c r="AB2" s="237"/>
      <c r="AG2" s="2" t="str">
        <f>A1&amp;"_SWAP_3M"</f>
        <v>PLN_SWAP_3M</v>
      </c>
      <c r="AH2" s="5"/>
      <c r="AI2" s="5"/>
      <c r="AJ2" s="5"/>
      <c r="AK2" s="358"/>
      <c r="AR2" t="str">
        <f>A1&amp;"_BASIS_12M"</f>
        <v>PLN_BASIS_12M</v>
      </c>
      <c r="BC2" s="2" t="str">
        <f>A1&amp;"_SWAP_1M"</f>
        <v>PLN_SWAP_1M</v>
      </c>
      <c r="BD2" s="368"/>
      <c r="BE2" s="5"/>
      <c r="BF2" s="5"/>
      <c r="BG2" s="5"/>
      <c r="BN2" s="2" t="str">
        <f>A1&amp;"_XCCYBASIS"</f>
        <v>PLN_XCCYBASIS</v>
      </c>
      <c r="BO2" s="5"/>
      <c r="BP2" s="5"/>
      <c r="BQ2" s="5"/>
      <c r="BR2" s="5"/>
      <c r="CD2" t="s">
        <v>1327</v>
      </c>
      <c r="CM2" s="332"/>
      <c r="CN2" s="332"/>
      <c r="CO2" s="545"/>
      <c r="CP2" s="404"/>
      <c r="CQ2" s="404"/>
      <c r="CR2" s="452"/>
      <c r="CS2" s="451"/>
      <c r="CT2" s="544"/>
    </row>
    <row r="3" spans="1:101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358"/>
      <c r="AM3" s="45"/>
      <c r="AN3" s="48"/>
      <c r="AO3" s="48"/>
      <c r="AP3" s="49"/>
      <c r="AX3" s="45"/>
      <c r="AY3" s="48"/>
      <c r="AZ3" s="48"/>
      <c r="BA3" s="49"/>
      <c r="BD3" s="368"/>
      <c r="BE3" s="5"/>
      <c r="BF3" s="5"/>
      <c r="BG3" s="5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8"/>
      <c r="CM3" s="546"/>
      <c r="CN3" s="436"/>
      <c r="CO3" s="543"/>
      <c r="CP3" s="547"/>
      <c r="CQ3" s="547"/>
      <c r="CR3" s="548"/>
      <c r="CS3" s="451"/>
      <c r="CT3" s="544"/>
    </row>
    <row r="4" spans="1:101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358"/>
      <c r="AM4" s="50"/>
      <c r="AN4" s="81"/>
      <c r="AO4" s="228"/>
      <c r="AP4" s="53"/>
      <c r="AX4" s="50"/>
      <c r="AY4" s="81"/>
      <c r="AZ4" s="228"/>
      <c r="BA4" s="53"/>
      <c r="BD4" s="368"/>
      <c r="BE4" s="5"/>
      <c r="BF4" s="5">
        <v>0</v>
      </c>
      <c r="BG4" s="5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2"/>
      <c r="CM4" s="546"/>
      <c r="CN4" s="436"/>
      <c r="CO4" s="543"/>
      <c r="CP4" s="547"/>
      <c r="CQ4" s="547"/>
      <c r="CR4" s="548"/>
      <c r="CS4" s="451"/>
      <c r="CT4" s="544"/>
    </row>
    <row r="5" spans="1:101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358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D5" s="368"/>
      <c r="BE5" s="5"/>
      <c r="BF5" s="5"/>
      <c r="BG5" s="5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1345</v>
      </c>
      <c r="CE5" s="228"/>
      <c r="CF5" s="53"/>
      <c r="CI5" s="50"/>
      <c r="CJ5" s="54" t="s">
        <v>1329</v>
      </c>
      <c r="CK5" s="228"/>
      <c r="CL5" s="52"/>
      <c r="CM5" s="546"/>
      <c r="CN5" s="436"/>
      <c r="CO5" s="543"/>
      <c r="CP5" s="547"/>
      <c r="CQ5" s="547"/>
      <c r="CR5" s="548"/>
      <c r="CS5" s="451"/>
      <c r="CT5" s="544"/>
    </row>
    <row r="6" spans="1:101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358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s="368" t="s">
        <v>430</v>
      </c>
      <c r="BE6" s="5" t="s">
        <v>433</v>
      </c>
      <c r="BF6" s="5" t="s">
        <v>665</v>
      </c>
      <c r="BG6" s="5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2"/>
      <c r="CM6" s="546"/>
      <c r="CN6" s="436"/>
      <c r="CP6" s="547"/>
      <c r="CQ6" s="547"/>
      <c r="CR6" s="548"/>
      <c r="CS6" s="451"/>
      <c r="CT6" s="544"/>
    </row>
    <row r="7" spans="1:101" x14ac:dyDescent="0.25">
      <c r="F7" s="50"/>
      <c r="G7" s="59" t="s">
        <v>711</v>
      </c>
      <c r="H7" s="211" t="str">
        <f>$A$1&amp;"_OIS"</f>
        <v>PLN_OIS</v>
      </c>
      <c r="I7" s="53"/>
      <c r="K7" t="s">
        <v>298</v>
      </c>
      <c r="L7" s="357">
        <f>O7+N7/10000</f>
        <v>2.0000000000000001E-4</v>
      </c>
      <c r="M7" s="5" t="b">
        <v>0</v>
      </c>
      <c r="N7" s="5">
        <f>$N$4</f>
        <v>0</v>
      </c>
      <c r="O7" s="358">
        <f>PLN_DATA!M7</f>
        <v>2.0000000000000001E-4</v>
      </c>
      <c r="Q7" s="50"/>
      <c r="R7" s="59" t="s">
        <v>711</v>
      </c>
      <c r="S7" s="211" t="str">
        <f>$A$1&amp;"_SWAP_"&amp;"6M"</f>
        <v>PLN_SWAP_6M</v>
      </c>
      <c r="T7" s="53"/>
      <c r="V7" t="s">
        <v>298</v>
      </c>
      <c r="W7" s="367">
        <f t="shared" ref="W7:W42" si="0">Z7+Y7/10000</f>
        <v>8.9999999999999998E-4</v>
      </c>
      <c r="X7" s="5" t="b">
        <v>1</v>
      </c>
      <c r="Y7" s="5">
        <f t="shared" ref="Y7:Y42" si="1">$Y$4</f>
        <v>0</v>
      </c>
      <c r="Z7" s="368">
        <f>PLN_DATA!U7</f>
        <v>8.9999999999999998E-4</v>
      </c>
      <c r="AA7" s="203"/>
      <c r="AB7" s="50"/>
      <c r="AC7" s="59" t="s">
        <v>711</v>
      </c>
      <c r="AD7" s="211" t="str">
        <f>$A$1&amp;"_BASIS_3M6M"</f>
        <v>PLN_BASIS_3M6M</v>
      </c>
      <c r="AE7" s="53"/>
      <c r="AG7" t="s">
        <v>298</v>
      </c>
      <c r="AH7" s="357">
        <f t="shared" ref="AH7:AH8" si="2">AK7</f>
        <v>8.9999999999999998E-4</v>
      </c>
      <c r="AI7" s="5" t="b">
        <v>1</v>
      </c>
      <c r="AJ7" s="5"/>
      <c r="AK7" s="358">
        <f>PLN_DATA!U7</f>
        <v>8.9999999999999998E-4</v>
      </c>
      <c r="AL7" s="207"/>
      <c r="AM7" s="50"/>
      <c r="AN7" s="59" t="s">
        <v>711</v>
      </c>
      <c r="AO7" s="211" t="str">
        <f>A1&amp;"_BASIS_3X12"</f>
        <v>PLN_BASIS_3X12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PLN_BASIS_1M3M</v>
      </c>
      <c r="BA7" s="53"/>
      <c r="BC7" t="s">
        <v>298</v>
      </c>
      <c r="BD7" s="368">
        <f>BG7</f>
        <v>8.9999999999999998E-4</v>
      </c>
      <c r="BE7" s="5" t="b">
        <v>1</v>
      </c>
      <c r="BF7" s="5"/>
      <c r="BG7" s="368">
        <f>PLN_DATA!U7</f>
        <v>8.9999999999999998E-4</v>
      </c>
      <c r="BI7" s="50"/>
      <c r="BJ7" s="59" t="s">
        <v>711</v>
      </c>
      <c r="BK7" s="211" t="str">
        <f>$A$1&amp;"_XCCY"</f>
        <v>PLN_XCCY</v>
      </c>
      <c r="BL7" s="53"/>
      <c r="BN7" t="s">
        <v>2</v>
      </c>
      <c r="BO7" s="5" t="s">
        <v>172</v>
      </c>
      <c r="BP7" s="509">
        <f>BR7</f>
        <v>3.7863000000000002</v>
      </c>
      <c r="BQ7" s="5"/>
      <c r="BR7" s="5">
        <f>FX!O2</f>
        <v>3.7863000000000002</v>
      </c>
      <c r="BT7" s="50"/>
      <c r="BU7" s="270" t="s">
        <v>830</v>
      </c>
      <c r="BV7" s="271" t="str">
        <f>"FX_CURVE_"&amp;$A$1&amp;"USD"</f>
        <v>FX_CURVE_PLNUSD</v>
      </c>
      <c r="BW7" s="52"/>
      <c r="BX7" s="299"/>
      <c r="BY7" t="s">
        <v>836</v>
      </c>
      <c r="BZ7" s="296">
        <f>PLN_DATA!AW7</f>
        <v>3.7856999999999998</v>
      </c>
      <c r="CA7" s="296">
        <f>PLN_DATA!AX7</f>
        <v>3.7869000000000002</v>
      </c>
      <c r="CC7" s="50"/>
      <c r="CD7" s="59" t="s">
        <v>711</v>
      </c>
      <c r="CE7" s="211" t="str">
        <f>$A$1&amp;"_EURCSA"</f>
        <v>PLN_EURCSA</v>
      </c>
      <c r="CF7" s="53"/>
      <c r="CI7" s="50"/>
      <c r="CJ7" s="59" t="s">
        <v>711</v>
      </c>
      <c r="CK7" s="211" t="str">
        <f>$A$1&amp;"_JPYCSA"</f>
        <v>PLN_JPYCSA</v>
      </c>
      <c r="CL7" s="52"/>
      <c r="CM7" s="546"/>
      <c r="CN7" s="436"/>
      <c r="CP7" s="547"/>
      <c r="CQ7" s="547"/>
      <c r="CR7" s="548"/>
      <c r="CS7" s="451"/>
      <c r="CT7" s="544"/>
    </row>
    <row r="8" spans="1:101" x14ac:dyDescent="0.25">
      <c r="F8" s="50"/>
      <c r="G8" s="72" t="s">
        <v>670</v>
      </c>
      <c r="H8" s="35" t="str">
        <f>IF(H$6,_xll.meLWOCurveGeneratorCreate(H$7,"CURVEPROPERTIES",G12:H18,"OIS",G23:H37),"Disabled")</f>
        <v>PLN_OIS@363:6</v>
      </c>
      <c r="I8" s="53" t="s">
        <v>424</v>
      </c>
      <c r="K8" t="s">
        <v>305</v>
      </c>
      <c r="L8" s="357">
        <f t="shared" ref="L8:L31" si="3">O8+N8/10000</f>
        <v>2.0000000000000001E-4</v>
      </c>
      <c r="M8" s="5" t="b">
        <v>0</v>
      </c>
      <c r="N8" s="5">
        <f t="shared" ref="N8:N31" si="4">$N$4</f>
        <v>0</v>
      </c>
      <c r="O8" s="358">
        <f>PLN_DATA!M8</f>
        <v>2.0000000000000001E-4</v>
      </c>
      <c r="Q8" s="50"/>
      <c r="R8" s="72" t="s">
        <v>670</v>
      </c>
      <c r="S8" s="35" t="str">
        <f>IF(S$6,_xll.meLWOCurveGeneratorCreate(S$7,"CURVEPROPERTIES",R12:S27,"MONEYMARKET",R30:S32,"LIBORFIXINGS",R35:S39,"FRAS",R42:S47,"SWAPS",R50:S68,"BASISSWAPS",R71:S102),"Disabled")</f>
        <v>PLN_SWAP_6M@364:6</v>
      </c>
      <c r="T8" s="53" t="s">
        <v>424</v>
      </c>
      <c r="V8" t="s">
        <v>300</v>
      </c>
      <c r="W8" s="367">
        <f t="shared" si="0"/>
        <v>2E-3</v>
      </c>
      <c r="X8" s="5" t="b">
        <v>1</v>
      </c>
      <c r="Y8" s="5">
        <f t="shared" si="1"/>
        <v>0</v>
      </c>
      <c r="Z8" s="368">
        <f>PLN_DATA!U8</f>
        <v>2E-3</v>
      </c>
      <c r="AA8" s="203"/>
      <c r="AB8" s="50"/>
      <c r="AC8" s="72" t="s">
        <v>670</v>
      </c>
      <c r="AD8" s="35" t="str">
        <f>IF(AD$6,_xll.meLWOCurveGeneratorCreate(AD$7,"CURVEPROPERTIES",AC12:AD22,"MONEYMARKET",AC27:AD29,"LIBORFIXINGS",AC32:AD36,"FRAS",AC39:AD44,"BASISSWAPS",AC47:AD88),"Disabled")</f>
        <v>PLN_BASIS_3M6M@361:6</v>
      </c>
      <c r="AE8" s="53" t="s">
        <v>424</v>
      </c>
      <c r="AG8" t="s">
        <v>300</v>
      </c>
      <c r="AH8" s="357">
        <f t="shared" si="2"/>
        <v>2E-3</v>
      </c>
      <c r="AI8" s="5" t="b">
        <v>1</v>
      </c>
      <c r="AJ8" s="5"/>
      <c r="AK8" s="358">
        <f>PLN_DATA!U8</f>
        <v>2E-3</v>
      </c>
      <c r="AL8" s="207"/>
      <c r="AM8" s="50"/>
      <c r="AN8" s="72" t="s">
        <v>670</v>
      </c>
      <c r="AO8" s="35" t="str">
        <f>IF(AO$6,_xll.meLWOCurveGeneratorCreate(AO$7,AN11,AN12:AO21,AN26,AN27:AO68),"Disabled")</f>
        <v>PLN_BASIS_3X12@359:6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IF(AZ$6,_xll.meLWOCurveGeneratorCreate(AZ$7,"CURVEPROPERTIES",AY12:AZ23,"MONEYMARKET",AY26:AZ28,"LIBORFIXINGS",AY31:AZ36,"BASISSWAPS",AY38:AZ79),"Disabled")</f>
        <v>PLN_BASIS_1M3M@362:6</v>
      </c>
      <c r="BA8" s="53" t="s">
        <v>424</v>
      </c>
      <c r="BC8" t="s">
        <v>300</v>
      </c>
      <c r="BD8" s="368">
        <f>BG8</f>
        <v>2E-3</v>
      </c>
      <c r="BE8" s="5" t="b">
        <v>1</v>
      </c>
      <c r="BF8" s="5"/>
      <c r="BG8" s="368">
        <f>PLN_DATA!U8</f>
        <v>2E-3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PLN_XCCY@365:6</v>
      </c>
      <c r="BL8" s="53" t="s">
        <v>424</v>
      </c>
      <c r="BN8" t="s">
        <v>298</v>
      </c>
      <c r="BO8" s="5">
        <f>BR8</f>
        <v>-0.13</v>
      </c>
      <c r="BP8" s="5" t="b">
        <v>1</v>
      </c>
      <c r="BQ8" s="5"/>
      <c r="BR8" s="369">
        <f>PLN_DATA!AZ8</f>
        <v>-0.13</v>
      </c>
      <c r="BT8" s="50"/>
      <c r="BU8" t="s">
        <v>670</v>
      </c>
      <c r="BV8" s="263" t="str">
        <f>IF(BV6,_xll.meLWOCurveGeneratorCreate(BV7,"CURVEPROPERTIES",BU12:BV15,"FXFWDS",BU20:BV25),"DISABLED")</f>
        <v>FX_CURVE_PLNUSD@360:6</v>
      </c>
      <c r="BW8" s="52"/>
      <c r="BX8" s="299"/>
      <c r="BY8" s="15" t="s">
        <v>298</v>
      </c>
      <c r="BZ8" s="297">
        <f>PLN_DATA!AW8</f>
        <v>-0.2</v>
      </c>
      <c r="CA8" s="297">
        <f>PLN_DATA!AX8</f>
        <v>-0.05</v>
      </c>
      <c r="CC8" s="50"/>
      <c r="CD8" s="72" t="s">
        <v>670</v>
      </c>
      <c r="CE8" s="35" t="str">
        <f>IF(CE$6,_xll.meLWOCurveGeneratorCreate(CE$7,"CURVEPROPERTIES",CD12:CE20,"FWDFXCONST",CD27:CE31),"Disabled")</f>
        <v>PLN_EURCSA@366:6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PLN_JPYCSA@367:6</v>
      </c>
      <c r="CL8" s="52" t="s">
        <v>424</v>
      </c>
      <c r="CM8" s="546"/>
      <c r="CN8" s="436"/>
      <c r="CO8" s="545"/>
      <c r="CP8" s="547"/>
      <c r="CQ8" s="547"/>
      <c r="CR8" s="548"/>
      <c r="CS8" s="451"/>
      <c r="CT8" s="544"/>
      <c r="CU8" s="383"/>
      <c r="CV8" s="383"/>
      <c r="CW8" s="544"/>
    </row>
    <row r="9" spans="1:101" x14ac:dyDescent="0.25">
      <c r="F9" s="50"/>
      <c r="G9" s="289"/>
      <c r="H9" s="289"/>
      <c r="I9" s="53" t="s">
        <v>424</v>
      </c>
      <c r="K9" t="s">
        <v>313</v>
      </c>
      <c r="L9" s="357">
        <f t="shared" si="3"/>
        <v>2.0000000000000001E-4</v>
      </c>
      <c r="M9" s="5" t="b">
        <v>1</v>
      </c>
      <c r="N9" s="5">
        <f t="shared" si="4"/>
        <v>0</v>
      </c>
      <c r="O9" s="358">
        <f>PLN_DATA!M9</f>
        <v>2.0000000000000001E-4</v>
      </c>
      <c r="Q9" s="50"/>
      <c r="R9" s="52"/>
      <c r="S9" s="52"/>
      <c r="T9" s="53"/>
      <c r="V9" t="s">
        <v>49</v>
      </c>
      <c r="W9" s="367">
        <f t="shared" si="0"/>
        <v>2.3E-3</v>
      </c>
      <c r="X9" s="5" t="b">
        <v>1</v>
      </c>
      <c r="Y9" s="5">
        <f t="shared" si="1"/>
        <v>0</v>
      </c>
      <c r="Z9" s="368">
        <f>PLN_DATA!U9</f>
        <v>2.3E-3</v>
      </c>
      <c r="AA9" s="203"/>
      <c r="AB9" s="50"/>
      <c r="AC9" s="52"/>
      <c r="AD9" s="52"/>
      <c r="AE9" s="53"/>
      <c r="AG9" t="s">
        <v>49</v>
      </c>
      <c r="AH9" s="357">
        <f>AK9</f>
        <v>2.3E-3</v>
      </c>
      <c r="AI9" s="5" t="b">
        <v>1</v>
      </c>
      <c r="AJ9" s="5"/>
      <c r="AK9" s="358">
        <f>PLN_DATA!U9</f>
        <v>2.3E-3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47</v>
      </c>
      <c r="BD9" s="368">
        <f>BG9+BF9/10000</f>
        <v>2.6000000000000003E-4</v>
      </c>
      <c r="BE9" s="5" t="b">
        <v>1</v>
      </c>
      <c r="BF9" s="5">
        <f>$BF$4</f>
        <v>0</v>
      </c>
      <c r="BG9" s="368">
        <f>PLN_DATA!AE7</f>
        <v>2.6000000000000003E-4</v>
      </c>
      <c r="BI9" s="50"/>
      <c r="BJ9" s="52"/>
      <c r="BK9" s="52"/>
      <c r="BL9" s="53"/>
      <c r="BN9" t="s">
        <v>506</v>
      </c>
      <c r="BO9" s="5">
        <f t="shared" ref="BO9:BO20" si="5">BR9</f>
        <v>-0.17499999999999999</v>
      </c>
      <c r="BP9" s="5" t="b">
        <v>1</v>
      </c>
      <c r="BQ9" s="5"/>
      <c r="BR9" s="369">
        <f>PLN_DATA!AZ9</f>
        <v>-0.17499999999999999</v>
      </c>
      <c r="BT9" s="50"/>
      <c r="BU9" s="57"/>
      <c r="BV9" s="57"/>
      <c r="BW9" s="52"/>
      <c r="BX9" s="299"/>
      <c r="BY9" s="25" t="s">
        <v>506</v>
      </c>
      <c r="BZ9" s="297">
        <f>PLN_DATA!AW9</f>
        <v>-0.2</v>
      </c>
      <c r="CA9" s="297">
        <f>PLN_DATA!AX9</f>
        <v>-0.15</v>
      </c>
      <c r="CC9" s="50"/>
      <c r="CD9" s="52"/>
      <c r="CE9" s="52"/>
      <c r="CF9" s="53"/>
      <c r="CI9" s="50"/>
      <c r="CJ9" s="52"/>
      <c r="CK9" s="52"/>
      <c r="CL9" s="52"/>
      <c r="CM9" s="546"/>
      <c r="CN9" s="436"/>
      <c r="CO9" s="545"/>
      <c r="CP9" s="547"/>
      <c r="CQ9" s="547"/>
      <c r="CR9" s="548"/>
      <c r="CS9" s="451"/>
      <c r="CT9" s="544"/>
      <c r="CU9" s="383"/>
      <c r="CV9" s="383"/>
      <c r="CW9" s="544"/>
    </row>
    <row r="10" spans="1:101" x14ac:dyDescent="0.25">
      <c r="F10" s="50"/>
      <c r="G10" s="289"/>
      <c r="H10" s="289"/>
      <c r="I10" s="53"/>
      <c r="K10" t="s">
        <v>300</v>
      </c>
      <c r="L10" s="357">
        <f t="shared" si="3"/>
        <v>2.0000000000000001E-4</v>
      </c>
      <c r="M10" s="5" t="b">
        <v>1</v>
      </c>
      <c r="N10" s="5">
        <f t="shared" si="4"/>
        <v>0</v>
      </c>
      <c r="O10" s="358">
        <f>PLN_DATA!M10</f>
        <v>2.0000000000000001E-4</v>
      </c>
      <c r="Q10" s="50"/>
      <c r="R10" s="52"/>
      <c r="S10" s="52"/>
      <c r="T10" s="53"/>
      <c r="V10" t="s">
        <v>46</v>
      </c>
      <c r="W10" s="367">
        <f t="shared" si="0"/>
        <v>2.7000000000000001E-3</v>
      </c>
      <c r="X10" s="5" t="b">
        <v>1</v>
      </c>
      <c r="Y10" s="5">
        <f t="shared" si="1"/>
        <v>0</v>
      </c>
      <c r="Z10" s="368">
        <f>PLN_DATA!U10</f>
        <v>2.7000000000000001E-3</v>
      </c>
      <c r="AA10" s="203"/>
      <c r="AB10" s="50"/>
      <c r="AC10" s="52"/>
      <c r="AD10" s="52"/>
      <c r="AE10" s="53"/>
      <c r="AG10" t="s">
        <v>494</v>
      </c>
      <c r="AH10" s="358">
        <f t="shared" ref="AH10:AH16" si="6">AK10+AJ10/10000</f>
        <v>2.1099999999999999E-3</v>
      </c>
      <c r="AI10" s="5" t="b">
        <v>1</v>
      </c>
      <c r="AJ10" s="5">
        <f t="shared" ref="AJ10:AJ16" si="7">$AJ$4</f>
        <v>0</v>
      </c>
      <c r="AK10" s="358">
        <f>PLN_DATA!Z7</f>
        <v>2.1099999999999999E-3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308</v>
      </c>
      <c r="BD10" s="368">
        <f t="shared" ref="BD10:BD18" si="8">BG10+BF10/10000</f>
        <v>2.4499999999999999E-4</v>
      </c>
      <c r="BE10" s="5" t="b">
        <v>1</v>
      </c>
      <c r="BF10" s="5">
        <f t="shared" ref="BF10:BF18" si="9">$BF$4</f>
        <v>0</v>
      </c>
      <c r="BG10" s="368">
        <f>PLN_DATA!AE8</f>
        <v>2.4499999999999999E-4</v>
      </c>
      <c r="BI10" s="50"/>
      <c r="BJ10" s="52"/>
      <c r="BK10" s="52"/>
      <c r="BL10" s="53"/>
      <c r="BN10" t="s">
        <v>1483</v>
      </c>
      <c r="BO10" s="5">
        <f t="shared" si="5"/>
        <v>-0.5</v>
      </c>
      <c r="BP10" s="5" t="b">
        <v>1</v>
      </c>
      <c r="BQ10" s="5"/>
      <c r="BR10" s="369">
        <f>PLN_DATA!AZ10</f>
        <v>-0.5</v>
      </c>
      <c r="BT10" s="50"/>
      <c r="BU10" s="57"/>
      <c r="BV10" s="57"/>
      <c r="BW10" s="52"/>
      <c r="BX10" s="299"/>
      <c r="BY10" s="25" t="s">
        <v>305</v>
      </c>
      <c r="BZ10" s="297">
        <f>PLN_DATA!AW11</f>
        <v>-1.6</v>
      </c>
      <c r="CA10" s="297">
        <f>PLN_DATA!AX11</f>
        <v>-1.2</v>
      </c>
      <c r="CC10" s="50"/>
      <c r="CD10" s="52"/>
      <c r="CE10" s="52"/>
      <c r="CF10" s="53"/>
      <c r="CI10" s="50"/>
      <c r="CJ10" s="52"/>
      <c r="CK10" s="52"/>
      <c r="CL10" s="52"/>
      <c r="CM10" s="546"/>
      <c r="CN10" s="436"/>
      <c r="CO10" s="545"/>
      <c r="CP10" s="547"/>
      <c r="CQ10" s="547"/>
      <c r="CR10" s="548"/>
      <c r="CS10" s="451"/>
      <c r="CT10" s="544"/>
      <c r="CU10" s="383"/>
      <c r="CV10" s="383"/>
      <c r="CW10" s="544"/>
    </row>
    <row r="11" spans="1:101" x14ac:dyDescent="0.25">
      <c r="F11" s="50"/>
      <c r="G11" s="54" t="s">
        <v>671</v>
      </c>
      <c r="H11" s="52"/>
      <c r="I11" s="53"/>
      <c r="K11" t="s">
        <v>335</v>
      </c>
      <c r="L11" s="357">
        <f t="shared" si="3"/>
        <v>2.0000000000000001E-4</v>
      </c>
      <c r="M11" s="5" t="b">
        <v>1</v>
      </c>
      <c r="N11" s="5">
        <f t="shared" si="4"/>
        <v>0</v>
      </c>
      <c r="O11" s="358">
        <f>PLN_DATA!M11</f>
        <v>2.0000000000000001E-4</v>
      </c>
      <c r="Q11" s="50"/>
      <c r="R11" s="54" t="s">
        <v>671</v>
      </c>
      <c r="S11" s="52" t="s">
        <v>713</v>
      </c>
      <c r="T11" s="53"/>
      <c r="V11" t="s">
        <v>1070</v>
      </c>
      <c r="W11" s="367">
        <f t="shared" si="0"/>
        <v>2.32E-3</v>
      </c>
      <c r="X11" s="5" t="b">
        <v>1</v>
      </c>
      <c r="Y11" s="5">
        <f t="shared" si="1"/>
        <v>0</v>
      </c>
      <c r="Z11" s="368">
        <f>PLN_DATA!U11</f>
        <v>2.32E-3</v>
      </c>
      <c r="AA11" s="203"/>
      <c r="AB11" s="50"/>
      <c r="AC11" s="54" t="s">
        <v>671</v>
      </c>
      <c r="AD11" s="85" t="s">
        <v>713</v>
      </c>
      <c r="AE11" s="53"/>
      <c r="AG11" t="s">
        <v>495</v>
      </c>
      <c r="AH11" s="358">
        <f t="shared" si="6"/>
        <v>1.9E-3</v>
      </c>
      <c r="AI11" s="5" t="b">
        <v>1</v>
      </c>
      <c r="AJ11" s="5">
        <f t="shared" si="7"/>
        <v>0</v>
      </c>
      <c r="AK11" s="358">
        <f>PLN_DATA!Z8</f>
        <v>1.9E-3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316</v>
      </c>
      <c r="BD11" s="368">
        <f t="shared" si="8"/>
        <v>2.3500000000000002E-4</v>
      </c>
      <c r="BE11" s="5" t="b">
        <v>1</v>
      </c>
      <c r="BF11" s="5">
        <f t="shared" si="9"/>
        <v>0</v>
      </c>
      <c r="BG11" s="368">
        <f>PLN_DATA!AE9</f>
        <v>2.3500000000000002E-4</v>
      </c>
      <c r="BI11" s="50"/>
      <c r="BJ11" s="54" t="s">
        <v>671</v>
      </c>
      <c r="BK11" s="85"/>
      <c r="BL11" s="53"/>
      <c r="BN11" t="s">
        <v>305</v>
      </c>
      <c r="BO11" s="5">
        <f t="shared" si="5"/>
        <v>-1.4</v>
      </c>
      <c r="BP11" s="5" t="b">
        <v>1</v>
      </c>
      <c r="BQ11" s="5"/>
      <c r="BR11" s="369">
        <f>PLN_DATA!AZ11</f>
        <v>-1.4</v>
      </c>
      <c r="BT11" s="50"/>
      <c r="BU11" s="56" t="s">
        <v>671</v>
      </c>
      <c r="BV11" s="272" t="s">
        <v>825</v>
      </c>
      <c r="BW11" s="52"/>
      <c r="BX11" s="299"/>
      <c r="BY11" s="25" t="s">
        <v>313</v>
      </c>
      <c r="BZ11" s="297">
        <f>PLN_DATA!AW12</f>
        <v>-3</v>
      </c>
      <c r="CA11" s="297">
        <f>PLN_DATA!AX12</f>
        <v>-2.5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2"/>
      <c r="CM11" s="546"/>
      <c r="CN11" s="436"/>
      <c r="CO11" s="545"/>
      <c r="CP11" s="547"/>
      <c r="CQ11" s="547"/>
      <c r="CR11" s="548"/>
      <c r="CS11" s="451"/>
      <c r="CT11" s="544"/>
      <c r="CU11" s="383"/>
      <c r="CV11" s="383"/>
      <c r="CW11" s="544"/>
    </row>
    <row r="12" spans="1:101" x14ac:dyDescent="0.25">
      <c r="F12" s="50"/>
      <c r="G12" s="212" t="s">
        <v>435</v>
      </c>
      <c r="H12" s="213" t="s">
        <v>426</v>
      </c>
      <c r="I12" s="53"/>
      <c r="K12" t="s">
        <v>49</v>
      </c>
      <c r="L12" s="357">
        <f t="shared" si="3"/>
        <v>2.0000000000000001E-4</v>
      </c>
      <c r="M12" s="5" t="b">
        <v>1</v>
      </c>
      <c r="N12" s="5">
        <f t="shared" si="4"/>
        <v>0</v>
      </c>
      <c r="O12" s="358">
        <f>PLN_DATA!M12</f>
        <v>2.0000000000000001E-4</v>
      </c>
      <c r="Q12" s="50"/>
      <c r="R12" s="220" t="s">
        <v>435</v>
      </c>
      <c r="S12" s="221" t="s">
        <v>463</v>
      </c>
      <c r="T12" s="53"/>
      <c r="V12" t="s">
        <v>1071</v>
      </c>
      <c r="W12" s="367">
        <f t="shared" si="0"/>
        <v>2.2000000000000001E-3</v>
      </c>
      <c r="X12" s="5" t="b">
        <v>1</v>
      </c>
      <c r="Y12" s="5">
        <f t="shared" si="1"/>
        <v>0</v>
      </c>
      <c r="Z12" s="368">
        <f>PLN_DATA!U12</f>
        <v>2.2000000000000001E-3</v>
      </c>
      <c r="AA12" s="203"/>
      <c r="AB12" s="50"/>
      <c r="AC12" s="220" t="s">
        <v>434</v>
      </c>
      <c r="AD12" s="238" t="str">
        <f>$A$1</f>
        <v>PLN</v>
      </c>
      <c r="AE12" s="53"/>
      <c r="AG12" t="s">
        <v>496</v>
      </c>
      <c r="AH12" s="358">
        <f t="shared" si="6"/>
        <v>1.7499999999999998E-3</v>
      </c>
      <c r="AI12" s="5" t="b">
        <v>1</v>
      </c>
      <c r="AJ12" s="5">
        <f t="shared" si="7"/>
        <v>0</v>
      </c>
      <c r="AK12" s="358">
        <f>PLN_DATA!Z9</f>
        <v>1.7499999999999998E-3</v>
      </c>
      <c r="AL12" s="207"/>
      <c r="AM12" s="50"/>
      <c r="AN12" s="220" t="s">
        <v>434</v>
      </c>
      <c r="AO12" s="238" t="str">
        <f>$A$1</f>
        <v>PLN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PLN</v>
      </c>
      <c r="BA12" s="53"/>
      <c r="BC12" t="s">
        <v>324</v>
      </c>
      <c r="BD12" s="368">
        <f t="shared" si="8"/>
        <v>2.3500000000000002E-4</v>
      </c>
      <c r="BE12" s="5" t="b">
        <v>1</v>
      </c>
      <c r="BF12" s="5">
        <f t="shared" si="9"/>
        <v>0</v>
      </c>
      <c r="BG12" s="368">
        <f>PLN_DATA!AE10</f>
        <v>2.3500000000000002E-4</v>
      </c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5"/>
        <v>-8.375</v>
      </c>
      <c r="BP12" s="5" t="b">
        <v>1</v>
      </c>
      <c r="BQ12" s="5"/>
      <c r="BR12" s="369">
        <f>PLN_DATA!AZ13</f>
        <v>-8.375</v>
      </c>
      <c r="BT12" s="50"/>
      <c r="BU12" s="238" t="s">
        <v>434</v>
      </c>
      <c r="BV12" s="238" t="str">
        <f>$A$1&amp;"/"&amp;"USD"</f>
        <v>PLN/USD</v>
      </c>
      <c r="BW12" s="52"/>
      <c r="BX12" s="299"/>
      <c r="BY12" s="25" t="s">
        <v>300</v>
      </c>
      <c r="BZ12" s="297">
        <f>PLN_DATA!AW13</f>
        <v>-8.75</v>
      </c>
      <c r="CA12" s="297">
        <f>PLN_DATA!AX13</f>
        <v>-8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2"/>
      <c r="CM12" s="546"/>
      <c r="CN12" s="436"/>
      <c r="CO12" s="545"/>
      <c r="CP12" s="547"/>
      <c r="CQ12" s="547"/>
      <c r="CR12" s="548"/>
      <c r="CS12" s="451"/>
      <c r="CT12" s="544"/>
      <c r="CU12" s="383"/>
      <c r="CV12" s="383"/>
      <c r="CW12" s="544"/>
    </row>
    <row r="13" spans="1:101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357">
        <f t="shared" si="3"/>
        <v>2.0000000000000001E-4</v>
      </c>
      <c r="M13" s="5" t="b">
        <v>1</v>
      </c>
      <c r="N13" s="5">
        <f t="shared" si="4"/>
        <v>0</v>
      </c>
      <c r="O13" s="358">
        <f>PLN_DATA!M13</f>
        <v>2.0000000000000001E-4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SEMI-ANNUAL</v>
      </c>
      <c r="T13" s="53"/>
      <c r="V13" t="s">
        <v>1072</v>
      </c>
      <c r="W13" s="367">
        <f t="shared" si="0"/>
        <v>2.0999999999999999E-3</v>
      </c>
      <c r="X13" s="5" t="b">
        <v>1</v>
      </c>
      <c r="Y13" s="5">
        <f t="shared" si="1"/>
        <v>0</v>
      </c>
      <c r="Z13" s="368">
        <f>PLN_DATA!U13</f>
        <v>2.0999999999999999E-3</v>
      </c>
      <c r="AA13" s="203"/>
      <c r="AB13" s="50"/>
      <c r="AC13" s="222" t="s">
        <v>435</v>
      </c>
      <c r="AD13" s="216" t="s">
        <v>468</v>
      </c>
      <c r="AE13" s="53"/>
      <c r="AG13" t="s">
        <v>1068</v>
      </c>
      <c r="AH13" s="358">
        <f t="shared" si="6"/>
        <v>1.7699999999999999E-3</v>
      </c>
      <c r="AI13" s="5" t="b">
        <v>1</v>
      </c>
      <c r="AJ13" s="5">
        <f t="shared" si="7"/>
        <v>0</v>
      </c>
      <c r="AK13" s="358">
        <f>PLN_DATA!Z10</f>
        <v>1.7699999999999999E-3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331</v>
      </c>
      <c r="BD13" s="368">
        <f t="shared" si="8"/>
        <v>2.3500000000000002E-4</v>
      </c>
      <c r="BE13" s="5" t="b">
        <v>1</v>
      </c>
      <c r="BF13" s="5">
        <f t="shared" si="9"/>
        <v>0</v>
      </c>
      <c r="BG13" s="368">
        <f>PLN_DATA!AE11</f>
        <v>2.3500000000000002E-4</v>
      </c>
      <c r="BI13" s="50"/>
      <c r="BJ13" s="222" t="s">
        <v>438</v>
      </c>
      <c r="BK13" s="216" t="s">
        <v>458</v>
      </c>
      <c r="BL13" s="53"/>
      <c r="BN13" t="s">
        <v>335</v>
      </c>
      <c r="BO13" s="5">
        <f t="shared" si="5"/>
        <v>-13.5</v>
      </c>
      <c r="BP13" s="5" t="b">
        <v>1</v>
      </c>
      <c r="BQ13" s="5"/>
      <c r="BR13" s="369">
        <f>PLN_DATA!AZ14</f>
        <v>-13.5</v>
      </c>
      <c r="BT13" s="50"/>
      <c r="BU13" s="216" t="s">
        <v>724</v>
      </c>
      <c r="BV13" s="216" t="s">
        <v>1459</v>
      </c>
      <c r="BW13" s="52"/>
      <c r="BX13" s="299"/>
      <c r="BY13" s="25" t="s">
        <v>335</v>
      </c>
      <c r="BZ13" s="297">
        <f>PLN_DATA!AW14</f>
        <v>-14.5</v>
      </c>
      <c r="CA13" s="297">
        <f>PLN_DATA!AX14</f>
        <v>-12.5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2"/>
      <c r="CM13" s="546"/>
      <c r="CN13" s="436"/>
      <c r="CO13" s="545"/>
      <c r="CP13" s="547"/>
      <c r="CQ13" s="547"/>
      <c r="CR13" s="548"/>
      <c r="CS13" s="451"/>
      <c r="CT13" s="544"/>
      <c r="CU13" s="383"/>
      <c r="CV13" s="383"/>
      <c r="CW13" s="544"/>
    </row>
    <row r="14" spans="1:101" x14ac:dyDescent="0.25">
      <c r="F14" s="50"/>
      <c r="G14" s="214" t="s">
        <v>672</v>
      </c>
      <c r="H14" s="215" t="s">
        <v>426</v>
      </c>
      <c r="I14" s="53"/>
      <c r="K14" t="s">
        <v>376</v>
      </c>
      <c r="L14" s="357">
        <f t="shared" si="3"/>
        <v>2.0000000000000001E-4</v>
      </c>
      <c r="M14" s="5" t="b">
        <v>1</v>
      </c>
      <c r="N14" s="5">
        <f t="shared" si="4"/>
        <v>0</v>
      </c>
      <c r="O14" s="358">
        <f>PLN_DATA!M14</f>
        <v>2.0000000000000001E-4</v>
      </c>
      <c r="Q14" s="50"/>
      <c r="R14" s="222" t="s">
        <v>672</v>
      </c>
      <c r="S14" s="223" t="s">
        <v>714</v>
      </c>
      <c r="T14" s="53"/>
      <c r="V14" t="s">
        <v>1073</v>
      </c>
      <c r="W14" s="367">
        <f t="shared" si="0"/>
        <v>2.14E-3</v>
      </c>
      <c r="X14" s="5" t="b">
        <v>1</v>
      </c>
      <c r="Y14" s="5">
        <f t="shared" si="1"/>
        <v>0</v>
      </c>
      <c r="Z14" s="368">
        <f>PLN_DATA!U14</f>
        <v>2.14E-3</v>
      </c>
      <c r="AA14" s="203"/>
      <c r="AB14" s="50"/>
      <c r="AC14" s="222" t="s">
        <v>438</v>
      </c>
      <c r="AD14" s="216" t="s">
        <v>458</v>
      </c>
      <c r="AE14" s="53"/>
      <c r="AG14" t="s">
        <v>1069</v>
      </c>
      <c r="AH14" s="358">
        <f t="shared" si="6"/>
        <v>1.7499999999999998E-3</v>
      </c>
      <c r="AI14" s="5" t="b">
        <v>1</v>
      </c>
      <c r="AJ14" s="5">
        <f t="shared" si="7"/>
        <v>0</v>
      </c>
      <c r="AK14" s="358">
        <f>PLN_DATA!Z11</f>
        <v>1.7499999999999998E-3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339</v>
      </c>
      <c r="BD14" s="368">
        <f t="shared" si="8"/>
        <v>2.3500000000000002E-4</v>
      </c>
      <c r="BE14" s="5" t="b">
        <v>1</v>
      </c>
      <c r="BF14" s="5">
        <f t="shared" si="9"/>
        <v>0</v>
      </c>
      <c r="BG14" s="368">
        <f>PLN_DATA!AE12</f>
        <v>2.3500000000000002E-4</v>
      </c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5"/>
        <v>-17.75</v>
      </c>
      <c r="BP14" s="5" t="b">
        <v>1</v>
      </c>
      <c r="BQ14" s="5"/>
      <c r="BR14" s="369">
        <f>PLN_DATA!AZ15</f>
        <v>-17.75</v>
      </c>
      <c r="BT14" s="50"/>
      <c r="BU14" s="216" t="s">
        <v>435</v>
      </c>
      <c r="BV14" s="216" t="s">
        <v>820</v>
      </c>
      <c r="BW14" s="52"/>
      <c r="BX14" s="299"/>
      <c r="BY14" s="25" t="s">
        <v>49</v>
      </c>
      <c r="BZ14" s="297">
        <f>PLN_DATA!AW15</f>
        <v>-18.5</v>
      </c>
      <c r="CA14" s="297">
        <f>PLN_DATA!AX15</f>
        <v>-17</v>
      </c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2"/>
      <c r="CM14" s="546"/>
      <c r="CN14" s="436"/>
      <c r="CO14" s="545"/>
      <c r="CP14" s="547"/>
      <c r="CQ14" s="547"/>
      <c r="CR14" s="548"/>
      <c r="CS14" s="451"/>
      <c r="CT14" s="544"/>
      <c r="CU14" s="383"/>
      <c r="CV14" s="383"/>
      <c r="CW14" s="544"/>
    </row>
    <row r="15" spans="1:101" x14ac:dyDescent="0.25">
      <c r="F15" s="50"/>
      <c r="G15" s="235" t="s">
        <v>673</v>
      </c>
      <c r="H15" s="236" t="str">
        <f>H14&amp;":"&amp;$A$1&amp;H12</f>
        <v>OIS:PLNOIS</v>
      </c>
      <c r="I15" s="53" t="s">
        <v>424</v>
      </c>
      <c r="K15" t="s">
        <v>47</v>
      </c>
      <c r="L15" s="357">
        <f t="shared" si="3"/>
        <v>2.0000000000000001E-4</v>
      </c>
      <c r="M15" s="5" t="b">
        <v>1</v>
      </c>
      <c r="N15" s="5">
        <f t="shared" si="4"/>
        <v>0</v>
      </c>
      <c r="O15" s="358">
        <f>PLN_DATA!M15</f>
        <v>2.0000000000000001E-4</v>
      </c>
      <c r="Q15" s="50"/>
      <c r="R15" s="233" t="s">
        <v>673</v>
      </c>
      <c r="S15" s="230" t="str">
        <f>"STD:"&amp;"WIB6M"</f>
        <v>STD:WIB6M</v>
      </c>
      <c r="T15" s="53"/>
      <c r="V15" t="s">
        <v>1074</v>
      </c>
      <c r="W15" s="367">
        <f t="shared" si="0"/>
        <v>2.2200000000000002E-3</v>
      </c>
      <c r="X15" s="5" t="b">
        <v>1</v>
      </c>
      <c r="Y15" s="5">
        <f t="shared" si="1"/>
        <v>0</v>
      </c>
      <c r="Z15" s="368">
        <f>PLN_DATA!U15</f>
        <v>2.2200000000000002E-3</v>
      </c>
      <c r="AA15" s="203"/>
      <c r="AB15" s="50"/>
      <c r="AC15" s="222" t="s">
        <v>672</v>
      </c>
      <c r="AD15" s="216" t="s">
        <v>745</v>
      </c>
      <c r="AE15" s="53"/>
      <c r="AG15" t="s">
        <v>497</v>
      </c>
      <c r="AH15" s="358">
        <f t="shared" si="6"/>
        <v>1.7499999999999998E-3</v>
      </c>
      <c r="AI15" s="5" t="b">
        <v>1</v>
      </c>
      <c r="AJ15" s="5">
        <f t="shared" si="7"/>
        <v>0</v>
      </c>
      <c r="AK15" s="358">
        <f>PLN_DATA!Z12</f>
        <v>1.7499999999999998E-3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342</v>
      </c>
      <c r="BD15" s="368">
        <f t="shared" si="8"/>
        <v>2.3500000000000002E-4</v>
      </c>
      <c r="BE15" s="5" t="b">
        <v>1</v>
      </c>
      <c r="BF15" s="5">
        <f t="shared" si="9"/>
        <v>0</v>
      </c>
      <c r="BG15" s="368">
        <f>PLN_DATA!AE13</f>
        <v>2.3500000000000002E-4</v>
      </c>
      <c r="BI15" s="50"/>
      <c r="BJ15" s="222" t="s">
        <v>673</v>
      </c>
      <c r="BK15" s="216" t="s">
        <v>1341</v>
      </c>
      <c r="BL15" s="53"/>
      <c r="BN15" t="s">
        <v>351</v>
      </c>
      <c r="BO15" s="5">
        <f t="shared" ref="BO15:BO16" si="10">BR15</f>
        <v>-22</v>
      </c>
      <c r="BP15" s="5" t="b">
        <v>1</v>
      </c>
      <c r="BQ15" s="5"/>
      <c r="BR15" s="369">
        <f>PLN_DATA!AZ16</f>
        <v>-22</v>
      </c>
      <c r="BT15" s="50"/>
      <c r="BU15" s="219" t="s">
        <v>826</v>
      </c>
      <c r="BV15" s="219" t="s">
        <v>828</v>
      </c>
      <c r="BW15" s="52"/>
      <c r="BX15" s="299"/>
      <c r="BY15" s="25" t="s">
        <v>46</v>
      </c>
      <c r="BZ15" s="297">
        <f>PLN_DATA!AW18</f>
        <v>-30</v>
      </c>
      <c r="CA15" s="297">
        <f>PLN_DATA!AX18</f>
        <v>-25</v>
      </c>
      <c r="CC15" s="50"/>
      <c r="CD15" s="222" t="s">
        <v>673</v>
      </c>
      <c r="CE15" s="216" t="s">
        <v>1024</v>
      </c>
      <c r="CF15" s="53"/>
      <c r="CI15" s="50"/>
      <c r="CJ15" s="222" t="s">
        <v>673</v>
      </c>
      <c r="CK15" s="216" t="s">
        <v>1330</v>
      </c>
      <c r="CL15" s="52"/>
      <c r="CM15" s="546"/>
      <c r="CN15" s="436"/>
      <c r="CO15" s="545"/>
      <c r="CP15" s="547"/>
      <c r="CQ15" s="547"/>
      <c r="CR15" s="548"/>
      <c r="CS15" s="451"/>
      <c r="CT15" s="544"/>
      <c r="CU15" s="383"/>
      <c r="CV15" s="383"/>
      <c r="CW15" s="544"/>
    </row>
    <row r="16" spans="1:101" x14ac:dyDescent="0.25">
      <c r="F16" s="50"/>
      <c r="G16" s="214" t="s">
        <v>434</v>
      </c>
      <c r="H16" s="216" t="str">
        <f>$A$1</f>
        <v>PLN</v>
      </c>
      <c r="I16" s="53"/>
      <c r="K16" t="s">
        <v>308</v>
      </c>
      <c r="L16" s="357">
        <f t="shared" si="3"/>
        <v>-7.0000000000000617E-5</v>
      </c>
      <c r="M16" s="5" t="b">
        <v>1</v>
      </c>
      <c r="N16" s="5">
        <f t="shared" si="4"/>
        <v>0</v>
      </c>
      <c r="O16" s="358">
        <f>PLN_DATA!M17</f>
        <v>-7.0000000000000617E-5</v>
      </c>
      <c r="Q16" s="50"/>
      <c r="R16" s="222" t="s">
        <v>434</v>
      </c>
      <c r="S16" s="223" t="str">
        <f>$A$1</f>
        <v>PLN</v>
      </c>
      <c r="T16" s="53"/>
      <c r="V16" t="s">
        <v>1075</v>
      </c>
      <c r="W16" s="367">
        <f t="shared" si="0"/>
        <v>2.2500000000000003E-3</v>
      </c>
      <c r="X16" s="5" t="b">
        <v>0</v>
      </c>
      <c r="Y16" s="5">
        <f t="shared" si="1"/>
        <v>0</v>
      </c>
      <c r="Z16" s="368">
        <f>PLN_DATA!U16</f>
        <v>2.2500000000000003E-3</v>
      </c>
      <c r="AA16" s="203"/>
      <c r="AB16" s="50"/>
      <c r="AC16" s="233" t="s">
        <v>673</v>
      </c>
      <c r="AD16" s="230" t="s">
        <v>958</v>
      </c>
      <c r="AE16" s="53"/>
      <c r="AG16" t="s">
        <v>1076</v>
      </c>
      <c r="AH16" s="358">
        <f t="shared" si="6"/>
        <v>1.8500000000000001E-3</v>
      </c>
      <c r="AI16" s="5" t="b">
        <v>1</v>
      </c>
      <c r="AJ16" s="5">
        <f t="shared" si="7"/>
        <v>0</v>
      </c>
      <c r="AK16" s="358">
        <f>PLN_DATA!Z13</f>
        <v>1.8500000000000001E-3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T16" t="b">
        <v>1</v>
      </c>
      <c r="AX16" s="50"/>
      <c r="AY16" s="233" t="s">
        <v>673</v>
      </c>
      <c r="AZ16" s="230" t="s">
        <v>959</v>
      </c>
      <c r="BA16" s="53"/>
      <c r="BC16" t="s">
        <v>355</v>
      </c>
      <c r="BD16" s="368">
        <f t="shared" si="8"/>
        <v>2.3999999999999998E-4</v>
      </c>
      <c r="BE16" s="5" t="b">
        <v>1</v>
      </c>
      <c r="BF16" s="5">
        <f t="shared" si="9"/>
        <v>0</v>
      </c>
      <c r="BG16" s="368">
        <f>PLN_DATA!AE14</f>
        <v>2.3999999999999998E-4</v>
      </c>
      <c r="BI16" s="50"/>
      <c r="BJ16" s="233" t="s">
        <v>434</v>
      </c>
      <c r="BK16" s="230" t="str">
        <f>$A$1</f>
        <v>PLN</v>
      </c>
      <c r="BL16" s="53"/>
      <c r="BN16" t="s">
        <v>360</v>
      </c>
      <c r="BO16" s="5">
        <f t="shared" si="10"/>
        <v>-25.5</v>
      </c>
      <c r="BP16" s="5" t="b">
        <v>1</v>
      </c>
      <c r="BQ16" s="5"/>
      <c r="BR16" s="369">
        <f>PLN_DATA!AZ17</f>
        <v>-25.5</v>
      </c>
      <c r="BT16" s="50"/>
      <c r="BU16" s="57"/>
      <c r="BV16" s="57"/>
      <c r="BW16" s="52"/>
      <c r="BX16" s="299"/>
      <c r="BY16" s="25" t="s">
        <v>376</v>
      </c>
      <c r="BZ16" s="297">
        <f>PLN_DATA!AW21</f>
        <v>-35</v>
      </c>
      <c r="CA16" s="297">
        <f>PLN_DATA!AX21</f>
        <v>-25</v>
      </c>
      <c r="CC16" s="50"/>
      <c r="CD16" s="233" t="s">
        <v>434</v>
      </c>
      <c r="CE16" s="230" t="str">
        <f>A1</f>
        <v>PLN</v>
      </c>
      <c r="CF16" s="53"/>
      <c r="CI16" s="50"/>
      <c r="CJ16" s="233" t="s">
        <v>434</v>
      </c>
      <c r="CK16" s="230" t="s">
        <v>172</v>
      </c>
      <c r="CL16" s="52"/>
      <c r="CM16" s="546"/>
      <c r="CN16" s="436"/>
      <c r="CO16" s="545"/>
      <c r="CP16" s="547"/>
      <c r="CQ16" s="547"/>
      <c r="CR16" s="548"/>
      <c r="CS16" s="451"/>
      <c r="CT16" s="544"/>
      <c r="CU16" s="383"/>
      <c r="CV16" s="383"/>
      <c r="CW16" s="544"/>
    </row>
    <row r="17" spans="6:101" x14ac:dyDescent="0.25">
      <c r="F17" s="50"/>
      <c r="G17" s="217" t="s">
        <v>674</v>
      </c>
      <c r="H17" s="216" t="s">
        <v>675</v>
      </c>
      <c r="I17" s="53"/>
      <c r="K17" t="s">
        <v>316</v>
      </c>
      <c r="L17" s="357">
        <f t="shared" si="3"/>
        <v>-1.6000000000000042E-4</v>
      </c>
      <c r="M17" s="5" t="b">
        <v>1</v>
      </c>
      <c r="N17" s="5">
        <f t="shared" si="4"/>
        <v>0</v>
      </c>
      <c r="O17" s="358">
        <f>PLN_DATA!M18</f>
        <v>-1.6000000000000042E-4</v>
      </c>
      <c r="Q17" s="50"/>
      <c r="R17" s="222" t="s">
        <v>674</v>
      </c>
      <c r="S17" s="223" t="s">
        <v>1655</v>
      </c>
      <c r="T17" s="53"/>
      <c r="V17" t="s">
        <v>47</v>
      </c>
      <c r="W17" s="367">
        <f t="shared" si="0"/>
        <v>5.0000000000000001E-4</v>
      </c>
      <c r="X17" s="5" t="b">
        <v>1</v>
      </c>
      <c r="Y17" s="5">
        <f t="shared" si="1"/>
        <v>0</v>
      </c>
      <c r="Z17" s="368">
        <f>PLN_DATA!Z14</f>
        <v>5.0000000000000001E-4</v>
      </c>
      <c r="AA17" s="203"/>
      <c r="AB17" s="50"/>
      <c r="AC17" s="222" t="s">
        <v>674</v>
      </c>
      <c r="AD17" s="216" t="s">
        <v>675</v>
      </c>
      <c r="AE17" s="53"/>
      <c r="AG17" t="s">
        <v>47</v>
      </c>
      <c r="AH17" s="358">
        <f>AK17+AJ17/10000</f>
        <v>5.0000000000000001E-4</v>
      </c>
      <c r="AI17" s="5" t="b">
        <v>0</v>
      </c>
      <c r="AJ17" s="5">
        <f>$AJ$4</f>
        <v>0</v>
      </c>
      <c r="AK17" s="358">
        <f>PLN_DATA!Z14</f>
        <v>5.0000000000000001E-4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364</v>
      </c>
      <c r="BD17" s="368">
        <f t="shared" si="8"/>
        <v>2.3999999999999998E-4</v>
      </c>
      <c r="BE17" s="5" t="b">
        <v>1</v>
      </c>
      <c r="BF17" s="5">
        <f t="shared" si="9"/>
        <v>0</v>
      </c>
      <c r="BG17" s="368">
        <f>PLN_DATA!AE15</f>
        <v>2.3999999999999998E-4</v>
      </c>
      <c r="BI17" s="50"/>
      <c r="BJ17" s="222" t="s">
        <v>674</v>
      </c>
      <c r="BK17" s="216" t="s">
        <v>675</v>
      </c>
      <c r="BL17" s="53"/>
      <c r="BN17" t="s">
        <v>46</v>
      </c>
      <c r="BO17" s="5">
        <f t="shared" si="5"/>
        <v>-27.5</v>
      </c>
      <c r="BP17" s="5" t="b">
        <v>1</v>
      </c>
      <c r="BQ17" s="5"/>
      <c r="BR17" s="369">
        <f>PLN_DATA!AZ18</f>
        <v>-27.5</v>
      </c>
      <c r="BT17" s="50"/>
      <c r="BU17" s="57"/>
      <c r="BV17" s="57"/>
      <c r="BW17" s="52"/>
      <c r="BX17" s="299"/>
      <c r="BY17" s="25" t="s">
        <v>322</v>
      </c>
      <c r="BZ17" s="297">
        <f>PLN_DATA!AW24</f>
        <v>-40</v>
      </c>
      <c r="CA17" s="297">
        <f>PLN_DATA!AX24</f>
        <v>-20</v>
      </c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2"/>
      <c r="CM17" s="546"/>
      <c r="CN17" s="436"/>
      <c r="CO17" s="545"/>
      <c r="CP17" s="547"/>
      <c r="CQ17" s="547"/>
      <c r="CR17" s="548"/>
      <c r="CS17" s="451"/>
      <c r="CT17" s="544"/>
      <c r="CU17" s="383"/>
      <c r="CV17" s="383"/>
      <c r="CW17" s="544"/>
    </row>
    <row r="18" spans="6:101" x14ac:dyDescent="0.25">
      <c r="F18" s="50"/>
      <c r="G18" s="214" t="s">
        <v>676</v>
      </c>
      <c r="H18" s="216" t="s">
        <v>675</v>
      </c>
      <c r="I18" s="53"/>
      <c r="K18" t="s">
        <v>324</v>
      </c>
      <c r="L18" s="357">
        <f t="shared" si="3"/>
        <v>-9.000000000000067E-5</v>
      </c>
      <c r="M18" s="5" t="b">
        <v>1</v>
      </c>
      <c r="N18" s="5">
        <f t="shared" si="4"/>
        <v>0</v>
      </c>
      <c r="O18" s="358">
        <f>PLN_DATA!M19</f>
        <v>-9.000000000000067E-5</v>
      </c>
      <c r="Q18" s="50"/>
      <c r="R18" s="222" t="s">
        <v>676</v>
      </c>
      <c r="S18" s="223" t="s">
        <v>1655</v>
      </c>
      <c r="T18" s="53"/>
      <c r="V18" s="620" t="s">
        <v>308</v>
      </c>
      <c r="W18" s="654">
        <f>Z18</f>
        <v>0</v>
      </c>
      <c r="X18" s="5" t="b">
        <v>1</v>
      </c>
      <c r="Z18" s="655">
        <v>0</v>
      </c>
      <c r="AA18" s="203"/>
      <c r="AB18" s="50"/>
      <c r="AC18" s="222" t="s">
        <v>676</v>
      </c>
      <c r="AD18" s="216" t="s">
        <v>675</v>
      </c>
      <c r="AE18" s="53"/>
      <c r="AG18" t="s">
        <v>308</v>
      </c>
      <c r="AH18" s="358">
        <f t="shared" ref="AH18:AH29" si="11">AK18+AJ18/10000</f>
        <v>6.3000000000000003E-4</v>
      </c>
      <c r="AI18" s="5" t="b">
        <v>1</v>
      </c>
      <c r="AJ18" s="5">
        <f t="shared" ref="AJ18:AJ29" si="12">$AJ$4</f>
        <v>0</v>
      </c>
      <c r="AK18" s="358">
        <f>PLN_DATA!Z15</f>
        <v>6.3000000000000003E-4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349</v>
      </c>
      <c r="BD18" s="368">
        <f t="shared" si="8"/>
        <v>2.3999999999999998E-4</v>
      </c>
      <c r="BE18" s="5" t="b">
        <v>1</v>
      </c>
      <c r="BF18" s="5">
        <f t="shared" si="9"/>
        <v>0</v>
      </c>
      <c r="BG18" s="368">
        <f>PLN_DATA!AE16</f>
        <v>2.3999999999999998E-4</v>
      </c>
      <c r="BI18" s="50"/>
      <c r="BJ18" s="222" t="s">
        <v>676</v>
      </c>
      <c r="BK18" s="216" t="s">
        <v>675</v>
      </c>
      <c r="BL18" s="53"/>
      <c r="BN18" t="s">
        <v>1570</v>
      </c>
      <c r="BO18" s="5">
        <f t="shared" ref="BO18:BO19" si="13">BR18</f>
        <v>-28.37</v>
      </c>
      <c r="BP18" s="5" t="b">
        <v>1</v>
      </c>
      <c r="BQ18" s="5"/>
      <c r="BR18" s="369">
        <f>PLN_DATA!AZ19</f>
        <v>-28.37</v>
      </c>
      <c r="BT18" s="50"/>
      <c r="BU18" s="57"/>
      <c r="BV18" s="57"/>
      <c r="BW18" s="52"/>
      <c r="BX18" s="299"/>
      <c r="BY18" s="25" t="s">
        <v>501</v>
      </c>
      <c r="BZ18" s="297">
        <f>PLN_DATA!AW25</f>
        <v>-55</v>
      </c>
      <c r="CA18" s="297">
        <f>PLN_DATA!AX25</f>
        <v>-15</v>
      </c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2"/>
      <c r="CM18" s="546"/>
      <c r="CN18" s="436"/>
      <c r="CO18" s="545"/>
      <c r="CP18" s="547"/>
      <c r="CQ18" s="547"/>
      <c r="CR18" s="548"/>
      <c r="CS18" s="451"/>
      <c r="CT18" s="544"/>
      <c r="CU18" s="383"/>
      <c r="CV18" s="383"/>
      <c r="CW18" s="544"/>
    </row>
    <row r="19" spans="6:101" x14ac:dyDescent="0.25">
      <c r="F19" s="50"/>
      <c r="G19" s="214"/>
      <c r="H19" s="216"/>
      <c r="I19" s="53"/>
      <c r="K19" t="s">
        <v>331</v>
      </c>
      <c r="L19" s="357">
        <f t="shared" si="3"/>
        <v>1.0000000000000026E-4</v>
      </c>
      <c r="M19" s="5" t="b">
        <v>1</v>
      </c>
      <c r="N19" s="5">
        <f t="shared" si="4"/>
        <v>0</v>
      </c>
      <c r="O19" s="358">
        <f>PLN_DATA!M20</f>
        <v>1.0000000000000026E-4</v>
      </c>
      <c r="Q19" s="50"/>
      <c r="R19" s="222" t="s">
        <v>716</v>
      </c>
      <c r="S19" s="223" t="s">
        <v>1655</v>
      </c>
      <c r="T19" s="53"/>
      <c r="V19" s="620" t="s">
        <v>316</v>
      </c>
      <c r="W19" s="654">
        <f t="shared" ref="W19:W29" si="14">Z19</f>
        <v>0</v>
      </c>
      <c r="X19" s="5" t="b">
        <v>1</v>
      </c>
      <c r="Z19" s="655">
        <v>0</v>
      </c>
      <c r="AA19" s="203"/>
      <c r="AB19" s="50"/>
      <c r="AC19" s="222" t="s">
        <v>746</v>
      </c>
      <c r="AD19" s="216" t="s">
        <v>675</v>
      </c>
      <c r="AE19" s="53"/>
      <c r="AG19" t="s">
        <v>316</v>
      </c>
      <c r="AH19" s="358">
        <f t="shared" si="11"/>
        <v>7.2499999999999995E-4</v>
      </c>
      <c r="AI19" s="5" t="b">
        <v>1</v>
      </c>
      <c r="AJ19" s="5">
        <f t="shared" si="12"/>
        <v>0</v>
      </c>
      <c r="AK19" s="358">
        <f>PLN_DATA!Z16</f>
        <v>7.2499999999999995E-4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D19" s="368"/>
      <c r="BE19" s="5"/>
      <c r="BF19" s="5"/>
      <c r="BG19" s="5"/>
      <c r="BI19" s="50"/>
      <c r="BJ19" s="222" t="s">
        <v>746</v>
      </c>
      <c r="BK19" s="216" t="s">
        <v>675</v>
      </c>
      <c r="BL19" s="53"/>
      <c r="BN19" t="s">
        <v>1571</v>
      </c>
      <c r="BO19" s="5">
        <f t="shared" si="13"/>
        <v>-29.16</v>
      </c>
      <c r="BP19" s="5" t="b">
        <v>1</v>
      </c>
      <c r="BQ19" s="5"/>
      <c r="BR19" s="369">
        <f>PLN_DATA!AZ20</f>
        <v>-29.16</v>
      </c>
      <c r="BT19" s="50"/>
      <c r="BU19" s="56" t="s">
        <v>814</v>
      </c>
      <c r="BV19" s="57"/>
      <c r="BW19" s="262"/>
      <c r="BX19" s="303"/>
      <c r="BY19" s="25" t="s">
        <v>308</v>
      </c>
      <c r="BZ19" s="297">
        <f>PLN_DATA!AW26</f>
        <v>-50</v>
      </c>
      <c r="CA19" s="297">
        <f>PLN_DATA!AX26</f>
        <v>10</v>
      </c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2"/>
      <c r="CM19" s="546"/>
      <c r="CN19" s="436"/>
      <c r="CO19" s="545"/>
      <c r="CP19" s="547"/>
      <c r="CQ19" s="547"/>
      <c r="CR19" s="548"/>
      <c r="CS19" s="451"/>
      <c r="CT19" s="544"/>
      <c r="CU19" s="383"/>
      <c r="CV19" s="383"/>
      <c r="CW19" s="544"/>
    </row>
    <row r="20" spans="6:101" x14ac:dyDescent="0.25">
      <c r="F20" s="50"/>
      <c r="G20" s="218"/>
      <c r="H20" s="219"/>
      <c r="I20" s="53"/>
      <c r="K20" t="s">
        <v>339</v>
      </c>
      <c r="L20" s="357">
        <f t="shared" si="3"/>
        <v>4.0000000000000018E-4</v>
      </c>
      <c r="M20" s="5" t="b">
        <v>1</v>
      </c>
      <c r="N20" s="5">
        <f t="shared" si="4"/>
        <v>0</v>
      </c>
      <c r="O20" s="358">
        <f>PLN_DATA!M21</f>
        <v>4.0000000000000018E-4</v>
      </c>
      <c r="Q20" s="50"/>
      <c r="R20" s="233" t="s">
        <v>717</v>
      </c>
      <c r="S20" s="230" t="s">
        <v>718</v>
      </c>
      <c r="T20" s="53"/>
      <c r="V20" s="620" t="s">
        <v>324</v>
      </c>
      <c r="W20" s="654">
        <f t="shared" si="14"/>
        <v>0</v>
      </c>
      <c r="X20" s="5" t="b">
        <v>1</v>
      </c>
      <c r="Z20" s="655">
        <v>0</v>
      </c>
      <c r="AA20" s="203"/>
      <c r="AB20" s="50"/>
      <c r="AC20" s="222" t="s">
        <v>747</v>
      </c>
      <c r="AD20" s="216" t="s">
        <v>720</v>
      </c>
      <c r="AE20" s="53"/>
      <c r="AG20" t="s">
        <v>324</v>
      </c>
      <c r="AH20" s="358">
        <f t="shared" si="11"/>
        <v>7.85E-4</v>
      </c>
      <c r="AI20" s="5" t="b">
        <v>1</v>
      </c>
      <c r="AJ20" s="5">
        <f t="shared" si="12"/>
        <v>0</v>
      </c>
      <c r="AK20" s="358">
        <f>PLN_DATA!Z17</f>
        <v>7.85E-4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D20" s="368"/>
      <c r="BE20" s="5"/>
      <c r="BF20" s="5"/>
      <c r="BG20" s="5"/>
      <c r="BI20" s="50"/>
      <c r="BJ20" s="222" t="s">
        <v>747</v>
      </c>
      <c r="BK20" s="216" t="b">
        <v>0</v>
      </c>
      <c r="BL20" s="53"/>
      <c r="BN20" t="s">
        <v>376</v>
      </c>
      <c r="BO20" s="5">
        <f t="shared" si="5"/>
        <v>-30</v>
      </c>
      <c r="BP20" s="5" t="b">
        <v>1</v>
      </c>
      <c r="BQ20" s="5"/>
      <c r="BR20" s="369">
        <f>PLN_DATA!AZ21</f>
        <v>-30</v>
      </c>
      <c r="BT20" s="50"/>
      <c r="BU20" s="147" t="s">
        <v>704</v>
      </c>
      <c r="BV20" s="221" t="str">
        <f>INDEX('STATIC DATA'!C30:AB30,1,MATCH($A$1,'STATIC DATA'!$C$4:$AB$4,0))</f>
        <v>WAB:TGT:LNB</v>
      </c>
      <c r="BW20" s="52"/>
      <c r="BX20" s="299"/>
      <c r="BY20" s="25" t="s">
        <v>316</v>
      </c>
      <c r="BZ20" s="297">
        <f>PLN_DATA!AW27</f>
        <v>10</v>
      </c>
      <c r="CA20" s="297">
        <f>PLN_DATA!AX27</f>
        <v>110</v>
      </c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2"/>
      <c r="CM20" s="546"/>
      <c r="CN20" s="436"/>
      <c r="CO20" s="545"/>
      <c r="CP20" s="547"/>
      <c r="CQ20" s="547"/>
      <c r="CR20" s="548"/>
      <c r="CS20" s="451"/>
      <c r="CT20" s="544"/>
      <c r="CU20" s="383"/>
      <c r="CV20" s="383"/>
      <c r="CW20" s="544"/>
    </row>
    <row r="21" spans="6:101" x14ac:dyDescent="0.25">
      <c r="F21" s="50"/>
      <c r="G21" s="52"/>
      <c r="H21" s="52"/>
      <c r="I21" s="53"/>
      <c r="K21" t="s">
        <v>342</v>
      </c>
      <c r="L21" s="357">
        <f t="shared" si="3"/>
        <v>7.6000000000000026E-4</v>
      </c>
      <c r="M21" s="5" t="b">
        <v>1</v>
      </c>
      <c r="N21" s="5">
        <f t="shared" si="4"/>
        <v>0</v>
      </c>
      <c r="O21" s="358">
        <f>PLN_DATA!M22</f>
        <v>7.6000000000000026E-4</v>
      </c>
      <c r="Q21" s="50"/>
      <c r="R21" s="233" t="s">
        <v>719</v>
      </c>
      <c r="S21" s="230" t="s">
        <v>720</v>
      </c>
      <c r="T21" s="53"/>
      <c r="V21" s="620" t="s">
        <v>331</v>
      </c>
      <c r="W21" s="654">
        <f t="shared" si="14"/>
        <v>0</v>
      </c>
      <c r="X21" s="5" t="b">
        <v>1</v>
      </c>
      <c r="Z21" s="655">
        <v>0</v>
      </c>
      <c r="AA21" s="203"/>
      <c r="AB21" s="50"/>
      <c r="AC21" s="222" t="s">
        <v>1222</v>
      </c>
      <c r="AD21" s="216" t="b">
        <v>1</v>
      </c>
      <c r="AE21" s="53"/>
      <c r="AG21" t="s">
        <v>331</v>
      </c>
      <c r="AH21" s="358">
        <f t="shared" si="11"/>
        <v>8.25E-4</v>
      </c>
      <c r="AI21" s="5" t="b">
        <v>1</v>
      </c>
      <c r="AJ21" s="5">
        <f t="shared" si="12"/>
        <v>0</v>
      </c>
      <c r="AK21" s="358">
        <f>PLN_DATA!Z18</f>
        <v>8.25E-4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D21" s="368"/>
      <c r="BE21" s="5"/>
      <c r="BF21" s="5"/>
      <c r="BG21" s="5"/>
      <c r="BI21" s="50"/>
      <c r="BJ21" s="234" t="s">
        <v>717</v>
      </c>
      <c r="BK21" s="232" t="b">
        <v>0</v>
      </c>
      <c r="BL21" s="53"/>
      <c r="BN21" t="s">
        <v>47</v>
      </c>
      <c r="BO21" s="358">
        <f>BR21+BQ21/10000</f>
        <v>-4.3430696667913276E-4</v>
      </c>
      <c r="BP21" s="5" t="b">
        <v>1</v>
      </c>
      <c r="BQ21" s="5">
        <f>$BQ$4</f>
        <v>0</v>
      </c>
      <c r="BR21" s="368">
        <f>PLN_DATA!AR21</f>
        <v>-4.3430696667913276E-4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s="25" t="s">
        <v>324</v>
      </c>
      <c r="BZ21" s="297" t="str">
        <f>PLN_DATA!AW28</f>
        <v>#N/A N/A</v>
      </c>
      <c r="CA21" s="297" t="str">
        <f>PLN_DATA!AX28</f>
        <v>#N/A N/A</v>
      </c>
      <c r="CM21" s="546"/>
      <c r="CN21" s="436"/>
      <c r="CO21" s="545"/>
      <c r="CP21" s="547"/>
      <c r="CQ21" s="547"/>
      <c r="CR21" s="548"/>
      <c r="CS21" s="451"/>
      <c r="CT21" s="544"/>
      <c r="CU21" s="383"/>
      <c r="CV21" s="383"/>
      <c r="CW21" s="544"/>
    </row>
    <row r="22" spans="6:101" x14ac:dyDescent="0.25">
      <c r="F22" s="50"/>
      <c r="G22" s="54" t="s">
        <v>426</v>
      </c>
      <c r="H22" s="52"/>
      <c r="I22" s="53"/>
      <c r="K22" t="s">
        <v>355</v>
      </c>
      <c r="L22" s="357">
        <f t="shared" si="3"/>
        <v>1.1800000000000005E-3</v>
      </c>
      <c r="M22" s="5" t="b">
        <v>1</v>
      </c>
      <c r="N22" s="5">
        <f t="shared" si="4"/>
        <v>0</v>
      </c>
      <c r="O22" s="358">
        <f>PLN_DATA!M23</f>
        <v>1.1800000000000005E-3</v>
      </c>
      <c r="Q22" s="50"/>
      <c r="R22" s="222" t="s">
        <v>706</v>
      </c>
      <c r="S22" s="223" t="s">
        <v>721</v>
      </c>
      <c r="T22" s="53"/>
      <c r="V22" s="620" t="s">
        <v>339</v>
      </c>
      <c r="W22" s="654">
        <f t="shared" si="14"/>
        <v>0</v>
      </c>
      <c r="X22" s="5" t="b">
        <v>1</v>
      </c>
      <c r="Z22" s="655">
        <v>0</v>
      </c>
      <c r="AA22" s="203"/>
      <c r="AB22" s="50"/>
      <c r="AC22" s="234" t="s">
        <v>748</v>
      </c>
      <c r="AD22" s="232" t="s">
        <v>426</v>
      </c>
      <c r="AE22" s="53"/>
      <c r="AG22" t="s">
        <v>339</v>
      </c>
      <c r="AH22" s="358">
        <f t="shared" si="11"/>
        <v>8.4999999999999995E-4</v>
      </c>
      <c r="AI22" s="5" t="b">
        <v>1</v>
      </c>
      <c r="AJ22" s="5">
        <f t="shared" si="12"/>
        <v>0</v>
      </c>
      <c r="AK22" s="358">
        <f>PLN_DATA!Z19</f>
        <v>8.4999999999999995E-4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D22" s="368"/>
      <c r="BE22" s="5"/>
      <c r="BF22" s="5"/>
      <c r="BG22" s="5"/>
      <c r="BI22" s="50"/>
      <c r="BJ22" s="222" t="s">
        <v>805</v>
      </c>
      <c r="BK22" s="216" t="b">
        <v>1</v>
      </c>
      <c r="BL22" s="53"/>
      <c r="BN22" t="s">
        <v>308</v>
      </c>
      <c r="BO22" s="358">
        <f>BR22+BQ22/10000</f>
        <v>-1.2529171151032709E-4</v>
      </c>
      <c r="BP22" s="5" t="b">
        <v>1</v>
      </c>
      <c r="BQ22" s="5">
        <f>$BQ$4</f>
        <v>0</v>
      </c>
      <c r="BR22" s="368">
        <f>PLN_DATA!AR22</f>
        <v>-1.2529171151032709E-4</v>
      </c>
      <c r="BT22" s="50"/>
      <c r="BU22" s="149" t="s">
        <v>707</v>
      </c>
      <c r="BV22" s="223" t="s">
        <v>687</v>
      </c>
      <c r="BW22" s="52"/>
      <c r="BX22" s="299"/>
      <c r="BY22" s="25" t="s">
        <v>331</v>
      </c>
      <c r="BZ22" s="297" t="str">
        <f>PLN_DATA!AW29</f>
        <v>#N/A N/A</v>
      </c>
      <c r="CA22" s="297" t="str">
        <f>PLN_DATA!AX29</f>
        <v>#N/A N/A</v>
      </c>
      <c r="CM22" s="546"/>
      <c r="CN22" s="436"/>
      <c r="CO22" s="545"/>
      <c r="CP22" s="547"/>
      <c r="CQ22" s="547"/>
      <c r="CR22" s="548"/>
      <c r="CS22" s="451"/>
      <c r="CT22" s="544"/>
      <c r="CU22" s="383"/>
      <c r="CV22" s="383"/>
      <c r="CW22" s="544"/>
    </row>
    <row r="23" spans="6:101" x14ac:dyDescent="0.25">
      <c r="F23" s="50"/>
      <c r="G23" s="220" t="s">
        <v>677</v>
      </c>
      <c r="H23" s="221" t="str">
        <f>INDEX('STATIC DATA'!C43:AB43,1,MATCH($A$1,'STATIC DATA'!$C$4:$AB$4,0))</f>
        <v>WAB</v>
      </c>
      <c r="I23" s="53"/>
      <c r="K23" t="s">
        <v>364</v>
      </c>
      <c r="L23" s="357">
        <f t="shared" si="3"/>
        <v>1.6199999999999999E-3</v>
      </c>
      <c r="M23" s="5" t="b">
        <v>1</v>
      </c>
      <c r="N23" s="5">
        <f t="shared" si="4"/>
        <v>0</v>
      </c>
      <c r="O23" s="358">
        <f>PLN_DATA!M24</f>
        <v>1.6199999999999999E-3</v>
      </c>
      <c r="Q23" s="50"/>
      <c r="R23" s="222" t="s">
        <v>722</v>
      </c>
      <c r="S23" s="223" t="b">
        <v>0</v>
      </c>
      <c r="T23" s="53"/>
      <c r="V23" s="620" t="s">
        <v>342</v>
      </c>
      <c r="W23" s="654">
        <f t="shared" si="14"/>
        <v>0</v>
      </c>
      <c r="X23" s="5" t="b">
        <v>1</v>
      </c>
      <c r="Z23" s="655">
        <v>0</v>
      </c>
      <c r="AA23" s="203"/>
      <c r="AB23" s="50"/>
      <c r="AC23" s="222" t="s">
        <v>713</v>
      </c>
      <c r="AD23" s="216" t="s">
        <v>713</v>
      </c>
      <c r="AE23" s="53"/>
      <c r="AG23" t="s">
        <v>342</v>
      </c>
      <c r="AH23" s="358">
        <f t="shared" si="11"/>
        <v>8.7500000000000002E-4</v>
      </c>
      <c r="AI23" s="5" t="b">
        <v>1</v>
      </c>
      <c r="AJ23" s="5">
        <f t="shared" si="12"/>
        <v>0</v>
      </c>
      <c r="AK23" s="358">
        <f>PLN_DATA!Z20</f>
        <v>8.7500000000000002E-4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D23" s="368"/>
      <c r="BE23" s="5"/>
      <c r="BF23" s="5"/>
      <c r="BG23" s="5"/>
      <c r="BI23" s="50"/>
      <c r="BJ23" s="234" t="s">
        <v>806</v>
      </c>
      <c r="BK23" s="232" t="b">
        <v>1</v>
      </c>
      <c r="BL23" s="53"/>
      <c r="BN23" t="s">
        <v>316</v>
      </c>
      <c r="BO23" s="358">
        <f t="shared" ref="BO23:BO33" si="15">BR23+BQ23/10000</f>
        <v>8.3125716196020256E-5</v>
      </c>
      <c r="BP23" s="5" t="b">
        <v>1</v>
      </c>
      <c r="BQ23" s="5">
        <f t="shared" ref="BQ23:BQ33" si="16">$BQ$4</f>
        <v>0</v>
      </c>
      <c r="BR23" s="368">
        <f>PLN_DATA!AR23</f>
        <v>8.3125716196020256E-5</v>
      </c>
      <c r="BT23" s="50"/>
      <c r="BU23" s="149" t="s">
        <v>689</v>
      </c>
      <c r="BV23" s="223" t="b">
        <v>1</v>
      </c>
      <c r="BW23" s="52"/>
      <c r="BX23" s="299"/>
      <c r="CM23" s="546"/>
      <c r="CN23" s="436"/>
      <c r="CO23" s="545"/>
      <c r="CP23" s="547"/>
      <c r="CQ23" s="547"/>
      <c r="CR23" s="548"/>
      <c r="CS23" s="451"/>
      <c r="CT23" s="544"/>
      <c r="CU23" s="383"/>
      <c r="CV23" s="383"/>
      <c r="CW23" s="544"/>
    </row>
    <row r="24" spans="6:101" x14ac:dyDescent="0.25">
      <c r="F24" s="50"/>
      <c r="G24" s="222" t="s">
        <v>678</v>
      </c>
      <c r="H24" s="223" t="str">
        <f>INDEX('STATIC DATA'!C59:AB59,1,MATCH($A$1,'STATIC DATA'!C4:AB4,0))</f>
        <v>ACT/365</v>
      </c>
      <c r="I24" s="53"/>
      <c r="K24" t="s">
        <v>349</v>
      </c>
      <c r="L24" s="357">
        <f t="shared" si="3"/>
        <v>2.1099999999999999E-3</v>
      </c>
      <c r="M24" s="5" t="b">
        <v>1</v>
      </c>
      <c r="N24" s="5">
        <f t="shared" si="4"/>
        <v>0</v>
      </c>
      <c r="O24" s="358">
        <f>PLN_DATA!M25</f>
        <v>2.1099999999999999E-3</v>
      </c>
      <c r="Q24" s="50"/>
      <c r="R24" s="222" t="s">
        <v>723</v>
      </c>
      <c r="S24" s="223" t="s">
        <v>718</v>
      </c>
      <c r="T24" s="53"/>
      <c r="V24" s="620" t="s">
        <v>355</v>
      </c>
      <c r="W24" s="654">
        <f t="shared" si="14"/>
        <v>0</v>
      </c>
      <c r="X24" s="5" t="b">
        <v>1</v>
      </c>
      <c r="Z24" s="655">
        <v>0</v>
      </c>
      <c r="AA24" s="203"/>
      <c r="AB24" s="50"/>
      <c r="AC24" s="234" t="s">
        <v>713</v>
      </c>
      <c r="AD24" s="232" t="s">
        <v>713</v>
      </c>
      <c r="AE24" s="53"/>
      <c r="AG24" t="s">
        <v>355</v>
      </c>
      <c r="AH24" s="358">
        <f t="shared" si="11"/>
        <v>8.9999999999999998E-4</v>
      </c>
      <c r="AI24" s="5" t="b">
        <v>1</v>
      </c>
      <c r="AJ24" s="5">
        <f t="shared" si="12"/>
        <v>0</v>
      </c>
      <c r="AK24" s="358">
        <f>PLN_DATA!Z21</f>
        <v>8.9999999999999998E-4</v>
      </c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D24" s="368"/>
      <c r="BE24" s="5"/>
      <c r="BF24" s="5"/>
      <c r="BG24" s="5"/>
      <c r="BI24" s="50"/>
      <c r="BJ24" s="85"/>
      <c r="BK24" s="85"/>
      <c r="BL24" s="53"/>
      <c r="BN24" t="s">
        <v>324</v>
      </c>
      <c r="BO24" s="358">
        <f t="shared" si="15"/>
        <v>3.1172858235763135E-4</v>
      </c>
      <c r="BP24" s="5" t="b">
        <v>1</v>
      </c>
      <c r="BQ24" s="5">
        <f t="shared" si="16"/>
        <v>0</v>
      </c>
      <c r="BR24" s="368">
        <f>PLN_DATA!AR24</f>
        <v>3.1172858235763135E-4</v>
      </c>
      <c r="BT24" s="50"/>
      <c r="BU24" s="149" t="s">
        <v>688</v>
      </c>
      <c r="BV24" s="223">
        <v>31</v>
      </c>
      <c r="BW24" s="52"/>
      <c r="BX24" s="299"/>
      <c r="CM24" s="546"/>
      <c r="CN24" s="436"/>
      <c r="CO24" s="545"/>
      <c r="CP24" s="547"/>
      <c r="CQ24" s="547"/>
      <c r="CR24" s="548"/>
      <c r="CS24" s="451"/>
      <c r="CT24" s="544"/>
      <c r="CU24" s="383"/>
      <c r="CV24" s="383"/>
      <c r="CW24" s="544"/>
    </row>
    <row r="25" spans="6:101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358</v>
      </c>
      <c r="L25" s="357">
        <f t="shared" si="3"/>
        <v>3.0299999999999997E-3</v>
      </c>
      <c r="M25" s="5" t="b">
        <v>1</v>
      </c>
      <c r="N25" s="5">
        <f t="shared" si="4"/>
        <v>0</v>
      </c>
      <c r="O25" s="358">
        <f>PLN_DATA!M26</f>
        <v>3.0299999999999997E-3</v>
      </c>
      <c r="Q25" s="50"/>
      <c r="R25" s="234" t="s">
        <v>724</v>
      </c>
      <c r="S25" s="232" t="s">
        <v>426</v>
      </c>
      <c r="T25" s="53"/>
      <c r="V25" s="620" t="s">
        <v>364</v>
      </c>
      <c r="W25" s="654">
        <f t="shared" si="14"/>
        <v>0</v>
      </c>
      <c r="X25" s="5" t="b">
        <v>1</v>
      </c>
      <c r="Z25" s="655">
        <v>0</v>
      </c>
      <c r="AA25" s="203"/>
      <c r="AB25" s="50"/>
      <c r="AC25" s="85" t="s">
        <v>713</v>
      </c>
      <c r="AD25" s="85" t="s">
        <v>713</v>
      </c>
      <c r="AE25" s="53"/>
      <c r="AG25" t="s">
        <v>364</v>
      </c>
      <c r="AH25" s="358">
        <f t="shared" si="11"/>
        <v>9.2500000000000004E-4</v>
      </c>
      <c r="AI25" s="5" t="b">
        <v>1</v>
      </c>
      <c r="AJ25" s="5">
        <f t="shared" si="12"/>
        <v>0</v>
      </c>
      <c r="AK25" s="358">
        <f>PLN_DATA!Z22</f>
        <v>9.2500000000000004E-4</v>
      </c>
      <c r="AM25" s="50"/>
      <c r="AN25" s="85" t="s">
        <v>713</v>
      </c>
      <c r="AO25" s="85" t="s">
        <v>713</v>
      </c>
      <c r="AP25" s="53"/>
      <c r="AX25" s="50"/>
      <c r="AY25" s="54" t="s">
        <v>726</v>
      </c>
      <c r="AZ25" s="52" t="s">
        <v>713</v>
      </c>
      <c r="BA25" s="53"/>
      <c r="BD25" s="368"/>
      <c r="BE25" s="5"/>
      <c r="BF25" s="5"/>
      <c r="BG25" s="5"/>
      <c r="BI25" s="50"/>
      <c r="BJ25" s="85"/>
      <c r="BK25" s="85"/>
      <c r="BL25" s="53"/>
      <c r="BN25" t="s">
        <v>331</v>
      </c>
      <c r="BO25" s="358">
        <f t="shared" si="15"/>
        <v>4.5012015944744286E-4</v>
      </c>
      <c r="BP25" s="5" t="b">
        <v>1</v>
      </c>
      <c r="BQ25" s="5">
        <f t="shared" si="16"/>
        <v>0</v>
      </c>
      <c r="BR25" s="368">
        <f>PLN_DATA!AR25</f>
        <v>4.5012015944744286E-4</v>
      </c>
      <c r="BT25" s="50"/>
      <c r="BU25" s="151" t="s">
        <v>819</v>
      </c>
      <c r="BV25" s="226" t="b">
        <v>0</v>
      </c>
      <c r="BW25" s="52"/>
      <c r="BX25" s="299"/>
      <c r="CM25" s="546"/>
      <c r="CN25" s="436"/>
      <c r="CO25" s="545"/>
      <c r="CP25" s="547"/>
      <c r="CQ25" s="547"/>
      <c r="CR25" s="548"/>
      <c r="CS25" s="451"/>
      <c r="CT25" s="544"/>
      <c r="CU25" s="383"/>
      <c r="CV25" s="383"/>
      <c r="CW25" s="544"/>
    </row>
    <row r="26" spans="6:101" x14ac:dyDescent="0.25">
      <c r="F26" s="50"/>
      <c r="G26" s="222" t="s">
        <v>681</v>
      </c>
      <c r="H26" s="223" t="s">
        <v>682</v>
      </c>
      <c r="I26" s="53"/>
      <c r="K26" t="s">
        <v>367</v>
      </c>
      <c r="L26" s="357">
        <f t="shared" si="3"/>
        <v>4.15E-3</v>
      </c>
      <c r="M26" s="5" t="b">
        <v>1</v>
      </c>
      <c r="N26" s="5">
        <f t="shared" si="4"/>
        <v>0</v>
      </c>
      <c r="O26" s="358">
        <f>PLN_DATA!M27</f>
        <v>4.15E-3</v>
      </c>
      <c r="Q26" s="50"/>
      <c r="R26" s="222" t="s">
        <v>1146</v>
      </c>
      <c r="S26" s="223" t="b">
        <v>1</v>
      </c>
      <c r="T26" s="53"/>
      <c r="V26" s="620" t="s">
        <v>349</v>
      </c>
      <c r="W26" s="654">
        <f t="shared" si="14"/>
        <v>0</v>
      </c>
      <c r="X26" s="5" t="b">
        <v>1</v>
      </c>
      <c r="Z26" s="655">
        <v>0</v>
      </c>
      <c r="AA26" s="203"/>
      <c r="AB26" s="50"/>
      <c r="AC26" s="54" t="s">
        <v>726</v>
      </c>
      <c r="AD26" s="52" t="s">
        <v>713</v>
      </c>
      <c r="AE26" s="53"/>
      <c r="AG26" t="s">
        <v>349</v>
      </c>
      <c r="AH26" s="358">
        <f t="shared" si="11"/>
        <v>9.5E-4</v>
      </c>
      <c r="AI26" s="5" t="b">
        <v>1</v>
      </c>
      <c r="AJ26" s="5">
        <f t="shared" si="12"/>
        <v>0</v>
      </c>
      <c r="AK26" s="358">
        <f>PLN_DATA!Z23</f>
        <v>9.5E-4</v>
      </c>
      <c r="AM26" s="50"/>
      <c r="AN26" s="54" t="s">
        <v>467</v>
      </c>
      <c r="AO26" s="85" t="s">
        <v>713</v>
      </c>
      <c r="AP26" s="53"/>
      <c r="AX26" s="50"/>
      <c r="AY26" s="220" t="s">
        <v>677</v>
      </c>
      <c r="AZ26" s="221" t="str">
        <f>INDEX('STATIC DATA'!C39:AB39,1,MATCH($A$1,'STATIC DATA'!$C$4:$AB$4,0))</f>
        <v>WAB</v>
      </c>
      <c r="BA26" s="53"/>
      <c r="BD26" s="368"/>
      <c r="BE26" s="5"/>
      <c r="BF26" s="5"/>
      <c r="BG26" s="5"/>
      <c r="BI26" s="50"/>
      <c r="BJ26" s="54" t="s">
        <v>807</v>
      </c>
      <c r="BK26" s="85"/>
      <c r="BL26" s="53"/>
      <c r="BN26" t="s">
        <v>339</v>
      </c>
      <c r="BO26" s="358">
        <f t="shared" si="15"/>
        <v>4.480984482585953E-4</v>
      </c>
      <c r="BP26" s="5" t="b">
        <v>1</v>
      </c>
      <c r="BQ26" s="5">
        <f t="shared" si="16"/>
        <v>0</v>
      </c>
      <c r="BR26" s="368">
        <f>PLN_DATA!AR26</f>
        <v>4.480984482585953E-4</v>
      </c>
      <c r="BT26" s="50"/>
      <c r="BU26" s="52"/>
      <c r="BV26" s="52"/>
      <c r="BW26" s="52"/>
      <c r="BX26" s="299"/>
      <c r="CD26" s="442" t="s">
        <v>1084</v>
      </c>
      <c r="CE26" t="s">
        <v>713</v>
      </c>
      <c r="CJ26" s="442" t="s">
        <v>1084</v>
      </c>
      <c r="CK26" t="s">
        <v>713</v>
      </c>
      <c r="CM26" s="546"/>
      <c r="CN26" s="436"/>
      <c r="CO26" s="545"/>
      <c r="CP26" s="547"/>
      <c r="CQ26" s="547"/>
      <c r="CR26" s="548"/>
      <c r="CS26" s="451"/>
      <c r="CT26" s="544"/>
      <c r="CU26" s="383"/>
      <c r="CV26" s="383"/>
      <c r="CW26" s="544"/>
    </row>
    <row r="27" spans="6:101" x14ac:dyDescent="0.25">
      <c r="F27" s="50"/>
      <c r="G27" s="222" t="s">
        <v>683</v>
      </c>
      <c r="H27" s="223" t="str">
        <f>INDEX('STATIC DATA'!C15:AB15,1,MATCH($A$1,'STATIC DATA'!$C$4:$AB$4,0))</f>
        <v>1d</v>
      </c>
      <c r="I27" s="53"/>
      <c r="K27" t="s">
        <v>374</v>
      </c>
      <c r="L27" s="357">
        <f t="shared" si="3"/>
        <v>5.0400000000000002E-3</v>
      </c>
      <c r="M27" s="5" t="b">
        <v>1</v>
      </c>
      <c r="N27" s="5">
        <f t="shared" si="4"/>
        <v>0</v>
      </c>
      <c r="O27" s="358">
        <f>PLN_DATA!M28</f>
        <v>5.0400000000000002E-3</v>
      </c>
      <c r="Q27" s="50"/>
      <c r="R27" s="222" t="s">
        <v>1147</v>
      </c>
      <c r="S27" s="223" t="s">
        <v>745</v>
      </c>
      <c r="T27" s="53"/>
      <c r="V27" s="620" t="s">
        <v>358</v>
      </c>
      <c r="W27" s="654">
        <f t="shared" si="14"/>
        <v>0</v>
      </c>
      <c r="X27" s="5" t="b">
        <v>1</v>
      </c>
      <c r="Z27" s="655">
        <v>0</v>
      </c>
      <c r="AA27" s="203"/>
      <c r="AB27" s="50"/>
      <c r="AC27" s="220" t="s">
        <v>677</v>
      </c>
      <c r="AD27" s="221" t="str">
        <f>INDEX('STATIC DATA'!C39:AB39,1,MATCH($A$1,'STATIC DATA'!$C$4:$AB$4,0))</f>
        <v>WAB</v>
      </c>
      <c r="AE27" s="53"/>
      <c r="AG27" t="s">
        <v>358</v>
      </c>
      <c r="AH27" s="358">
        <f t="shared" si="11"/>
        <v>9.7499999999999996E-4</v>
      </c>
      <c r="AI27" s="5" t="b">
        <v>1</v>
      </c>
      <c r="AJ27" s="5">
        <f t="shared" si="12"/>
        <v>0</v>
      </c>
      <c r="AK27" s="358">
        <f>PLN_DATA!Z24</f>
        <v>9.7499999999999996E-4</v>
      </c>
      <c r="AM27" s="50"/>
      <c r="AN27" s="245" t="s">
        <v>749</v>
      </c>
      <c r="AO27" s="243" t="s">
        <v>798</v>
      </c>
      <c r="AP27" s="53"/>
      <c r="AX27" s="50"/>
      <c r="AY27" s="222" t="s">
        <v>678</v>
      </c>
      <c r="AZ27" s="223" t="str">
        <f>INDEX('STATIC DATA'!C55:AB55,1,MATCH($A$1,'STATIC DATA'!C4:AB4,0))</f>
        <v>ACT/365</v>
      </c>
      <c r="BA27" s="53"/>
      <c r="BD27" s="368"/>
      <c r="BE27" s="5"/>
      <c r="BF27" s="5"/>
      <c r="BG27" s="5"/>
      <c r="BI27" s="50"/>
      <c r="BJ27" s="245" t="s">
        <v>749</v>
      </c>
      <c r="BK27" s="243" t="s">
        <v>803</v>
      </c>
      <c r="BL27" s="53"/>
      <c r="BN27" t="s">
        <v>342</v>
      </c>
      <c r="BO27" s="358">
        <f t="shared" si="15"/>
        <v>4.9957373070322819E-4</v>
      </c>
      <c r="BP27" s="5" t="b">
        <v>1</v>
      </c>
      <c r="BQ27" s="5">
        <f t="shared" si="16"/>
        <v>0</v>
      </c>
      <c r="BR27" s="368">
        <f>PLN_DATA!AR27</f>
        <v>4.9957373070322819E-4</v>
      </c>
      <c r="BT27" s="50"/>
      <c r="BU27" s="52"/>
      <c r="BV27" s="52"/>
      <c r="BW27" s="52"/>
      <c r="BX27" s="299"/>
      <c r="CD27" s="57" t="s">
        <v>1085</v>
      </c>
      <c r="CE27" s="78" t="s">
        <v>1093</v>
      </c>
      <c r="CJ27" s="57" t="s">
        <v>1085</v>
      </c>
      <c r="CK27" s="57" t="s">
        <v>1128</v>
      </c>
      <c r="CM27" s="546"/>
      <c r="CN27" s="436"/>
      <c r="CO27" s="545"/>
      <c r="CP27" s="547"/>
      <c r="CQ27" s="547"/>
      <c r="CR27" s="548"/>
      <c r="CS27" s="451"/>
      <c r="CT27" s="544"/>
      <c r="CU27" s="383"/>
      <c r="CV27" s="383"/>
      <c r="CW27" s="544"/>
    </row>
    <row r="28" spans="6:101" x14ac:dyDescent="0.25">
      <c r="F28" s="50"/>
      <c r="G28" s="222" t="s">
        <v>684</v>
      </c>
      <c r="H28" s="223" t="s">
        <v>685</v>
      </c>
      <c r="I28" s="53"/>
      <c r="K28" t="s">
        <v>382</v>
      </c>
      <c r="L28" s="357">
        <f t="shared" si="3"/>
        <v>5.1199999999999996E-3</v>
      </c>
      <c r="M28" s="5" t="b">
        <v>1</v>
      </c>
      <c r="N28" s="5">
        <f t="shared" si="4"/>
        <v>0</v>
      </c>
      <c r="O28" s="358">
        <f>PLN_DATA!M29</f>
        <v>5.1199999999999996E-3</v>
      </c>
      <c r="Q28" s="50"/>
      <c r="R28" s="52" t="s">
        <v>713</v>
      </c>
      <c r="S28" s="52" t="s">
        <v>713</v>
      </c>
      <c r="T28" s="53"/>
      <c r="V28" s="620" t="s">
        <v>367</v>
      </c>
      <c r="W28" s="654">
        <f t="shared" si="14"/>
        <v>0</v>
      </c>
      <c r="X28" s="5" t="b">
        <v>1</v>
      </c>
      <c r="Z28" s="655">
        <v>0</v>
      </c>
      <c r="AA28" s="203"/>
      <c r="AB28" s="50"/>
      <c r="AC28" s="222" t="s">
        <v>678</v>
      </c>
      <c r="AD28" s="223" t="str">
        <f>INDEX('STATIC DATA'!C55:AB55,1,MATCH($A$1,'STATIC DATA'!C4:AB4,0))</f>
        <v>ACT/365</v>
      </c>
      <c r="AE28" s="53"/>
      <c r="AG28" t="s">
        <v>367</v>
      </c>
      <c r="AH28" s="358">
        <f t="shared" si="11"/>
        <v>9.5E-4</v>
      </c>
      <c r="AI28" s="5" t="b">
        <v>1</v>
      </c>
      <c r="AJ28" s="5">
        <f t="shared" si="12"/>
        <v>0</v>
      </c>
      <c r="AK28" s="358">
        <f>PLN_DATA!Z25</f>
        <v>9.5E-4</v>
      </c>
      <c r="AM28" s="50"/>
      <c r="AN28" s="233" t="s">
        <v>750</v>
      </c>
      <c r="AO28" s="230" t="s">
        <v>720</v>
      </c>
      <c r="AP28" s="53"/>
      <c r="AX28" s="50"/>
      <c r="AY28" s="225" t="s">
        <v>686</v>
      </c>
      <c r="AZ28" s="226" t="s">
        <v>728</v>
      </c>
      <c r="BA28" s="53"/>
      <c r="BD28" s="368"/>
      <c r="BE28" s="5"/>
      <c r="BF28" s="5"/>
      <c r="BG28" s="5"/>
      <c r="BI28" s="50"/>
      <c r="BJ28" s="233" t="s">
        <v>750</v>
      </c>
      <c r="BK28" s="230" t="b">
        <v>0</v>
      </c>
      <c r="BL28" s="53"/>
      <c r="BN28" t="s">
        <v>355</v>
      </c>
      <c r="BO28" s="358">
        <f t="shared" si="15"/>
        <v>5.7943280215375168E-4</v>
      </c>
      <c r="BP28" s="5" t="b">
        <v>1</v>
      </c>
      <c r="BQ28" s="5">
        <f t="shared" si="16"/>
        <v>0</v>
      </c>
      <c r="BR28" s="368">
        <f>PLN_DATA!AR28</f>
        <v>5.7943280215375168E-4</v>
      </c>
      <c r="BT28" s="50"/>
      <c r="BU28" s="52"/>
      <c r="BV28" s="52"/>
      <c r="BW28" s="52"/>
      <c r="BX28" s="299"/>
      <c r="CD28" s="57" t="s">
        <v>1086</v>
      </c>
      <c r="CE28" s="57" t="s">
        <v>1089</v>
      </c>
      <c r="CJ28" s="57" t="s">
        <v>1086</v>
      </c>
      <c r="CK28" s="57" t="s">
        <v>1129</v>
      </c>
      <c r="CM28" s="546"/>
      <c r="CN28" s="436"/>
      <c r="CO28" s="545"/>
      <c r="CP28" s="547"/>
      <c r="CQ28" s="547"/>
      <c r="CR28" s="548"/>
      <c r="CS28" s="451"/>
      <c r="CT28" s="544"/>
      <c r="CU28" s="383"/>
      <c r="CV28" s="383"/>
      <c r="CW28" s="544"/>
    </row>
    <row r="29" spans="6:101" x14ac:dyDescent="0.25">
      <c r="F29" s="50"/>
      <c r="G29" s="222" t="s">
        <v>686</v>
      </c>
      <c r="H29" s="223" t="s">
        <v>687</v>
      </c>
      <c r="I29" s="53"/>
      <c r="K29" t="s">
        <v>389</v>
      </c>
      <c r="L29" s="357">
        <f t="shared" si="3"/>
        <v>4.9100000000000003E-3</v>
      </c>
      <c r="M29" s="5" t="b">
        <v>1</v>
      </c>
      <c r="N29" s="5">
        <f t="shared" si="4"/>
        <v>0</v>
      </c>
      <c r="O29" s="358">
        <f>PLN_DATA!M30</f>
        <v>4.9100000000000003E-3</v>
      </c>
      <c r="Q29" s="50"/>
      <c r="R29" s="54" t="s">
        <v>726</v>
      </c>
      <c r="S29" s="52" t="s">
        <v>713</v>
      </c>
      <c r="T29" s="53"/>
      <c r="V29" s="620" t="s">
        <v>374</v>
      </c>
      <c r="W29" s="654">
        <f t="shared" si="14"/>
        <v>0</v>
      </c>
      <c r="X29" s="5" t="b">
        <v>1</v>
      </c>
      <c r="Z29" s="655">
        <v>0</v>
      </c>
      <c r="AA29" s="203"/>
      <c r="AB29" s="50"/>
      <c r="AC29" s="225" t="s">
        <v>686</v>
      </c>
      <c r="AD29" s="226" t="s">
        <v>728</v>
      </c>
      <c r="AE29" s="53"/>
      <c r="AG29" t="s">
        <v>374</v>
      </c>
      <c r="AH29" s="358">
        <f t="shared" si="11"/>
        <v>1E-3</v>
      </c>
      <c r="AI29" s="5" t="b">
        <v>1</v>
      </c>
      <c r="AJ29" s="5">
        <f t="shared" si="12"/>
        <v>0</v>
      </c>
      <c r="AK29" s="358">
        <f>PLN_DATA!Z26</f>
        <v>1E-3</v>
      </c>
      <c r="AM29" s="50"/>
      <c r="AN29" s="222" t="s">
        <v>751</v>
      </c>
      <c r="AO29" s="216" t="s">
        <v>608</v>
      </c>
      <c r="AP29" s="53"/>
      <c r="AX29" s="50"/>
      <c r="AY29" s="52" t="s">
        <v>713</v>
      </c>
      <c r="AZ29" s="52" t="s">
        <v>713</v>
      </c>
      <c r="BA29" s="53"/>
      <c r="BD29" s="368"/>
      <c r="BE29" s="5"/>
      <c r="BF29" s="5"/>
      <c r="BG29" s="5"/>
      <c r="BI29" s="50"/>
      <c r="BJ29" s="222" t="s">
        <v>751</v>
      </c>
      <c r="BK29" s="216" t="str">
        <f>INDEX('STATIC DATA'!C30:AB30,1,MATCH($A$1,'STATIC DATA'!$C$4:$AB$4,0))</f>
        <v>WAB:TGT:LNB</v>
      </c>
      <c r="BL29" s="53"/>
      <c r="BN29" t="s">
        <v>364</v>
      </c>
      <c r="BO29" s="358">
        <f t="shared" si="15"/>
        <v>6.5160250245603667E-4</v>
      </c>
      <c r="BP29" s="5" t="b">
        <v>1</v>
      </c>
      <c r="BQ29" s="5">
        <f t="shared" si="16"/>
        <v>0</v>
      </c>
      <c r="BR29" s="368">
        <f>PLN_DATA!AR29</f>
        <v>6.5160250245603667E-4</v>
      </c>
      <c r="BT29" s="50"/>
      <c r="BU29" s="52"/>
      <c r="BV29" s="52"/>
      <c r="BW29" s="55"/>
      <c r="BX29" s="332"/>
      <c r="CD29" s="57" t="s">
        <v>1087</v>
      </c>
      <c r="CE29" s="57" t="s">
        <v>1347</v>
      </c>
      <c r="CJ29" s="57" t="s">
        <v>1087</v>
      </c>
      <c r="CK29" s="57" t="s">
        <v>1347</v>
      </c>
      <c r="CM29" s="546"/>
      <c r="CN29" s="436"/>
      <c r="CO29" s="545"/>
      <c r="CP29" s="547"/>
      <c r="CQ29" s="547"/>
      <c r="CR29" s="548"/>
      <c r="CS29" s="451"/>
      <c r="CT29" s="544"/>
      <c r="CU29" s="383"/>
      <c r="CV29" s="383"/>
      <c r="CW29" s="544"/>
    </row>
    <row r="30" spans="6:101" x14ac:dyDescent="0.25">
      <c r="F30" s="50"/>
      <c r="G30" s="222" t="s">
        <v>688</v>
      </c>
      <c r="H30" s="216">
        <v>31</v>
      </c>
      <c r="I30" s="53"/>
      <c r="K30" t="s">
        <v>445</v>
      </c>
      <c r="L30" s="357">
        <f t="shared" si="3"/>
        <v>4.5199999999999997E-3</v>
      </c>
      <c r="M30" s="5" t="b">
        <v>1</v>
      </c>
      <c r="N30" s="5">
        <f t="shared" si="4"/>
        <v>0</v>
      </c>
      <c r="O30" s="358">
        <f>PLN_DATA!M31</f>
        <v>4.5199999999999997E-3</v>
      </c>
      <c r="Q30" s="50"/>
      <c r="R30" s="220" t="s">
        <v>677</v>
      </c>
      <c r="S30" s="221" t="str">
        <f>INDEX('STATIC DATA'!C43:AB43,1,MATCH($A$1,'STATIC DATA'!$C$4:$AB$4,0))</f>
        <v>WAB</v>
      </c>
      <c r="T30" s="53"/>
      <c r="V30" t="s">
        <v>47</v>
      </c>
      <c r="W30" s="367">
        <f t="shared" si="0"/>
        <v>1.9250000000000001E-3</v>
      </c>
      <c r="X30" s="5" t="b">
        <v>1</v>
      </c>
      <c r="Y30" s="5">
        <f t="shared" si="1"/>
        <v>0</v>
      </c>
      <c r="Z30" s="368">
        <f>PLN_DATA!U17</f>
        <v>1.9250000000000001E-3</v>
      </c>
      <c r="AA30" s="203"/>
      <c r="AB30" s="50"/>
      <c r="AC30" s="52" t="s">
        <v>713</v>
      </c>
      <c r="AD30" s="52" t="s">
        <v>713</v>
      </c>
      <c r="AE30" s="53"/>
      <c r="AH30" s="358"/>
      <c r="AI30" s="5"/>
      <c r="AJ30" s="5"/>
      <c r="AK30" s="358"/>
      <c r="AM30" s="50"/>
      <c r="AN30" s="222" t="s">
        <v>752</v>
      </c>
      <c r="AO30" s="216" t="s">
        <v>48</v>
      </c>
      <c r="AP30" s="53"/>
      <c r="AX30" s="50"/>
      <c r="AY30" s="54" t="s">
        <v>460</v>
      </c>
      <c r="AZ30" s="52" t="s">
        <v>713</v>
      </c>
      <c r="BA30" s="53"/>
      <c r="BD30" s="368"/>
      <c r="BE30" s="5"/>
      <c r="BF30" s="5"/>
      <c r="BG30" s="5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N30" t="s">
        <v>349</v>
      </c>
      <c r="BO30" s="358">
        <f t="shared" si="15"/>
        <v>7.113831102304836E-4</v>
      </c>
      <c r="BP30" s="5" t="b">
        <v>1</v>
      </c>
      <c r="BQ30" s="5">
        <f t="shared" si="16"/>
        <v>0</v>
      </c>
      <c r="BR30" s="368">
        <f>PLN_DATA!AR30</f>
        <v>7.113831102304836E-4</v>
      </c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1347</v>
      </c>
      <c r="CJ30" s="57" t="s">
        <v>1088</v>
      </c>
      <c r="CK30" s="443" t="s">
        <v>1347</v>
      </c>
      <c r="CM30" s="546"/>
      <c r="CN30" s="436"/>
      <c r="CO30" s="545"/>
      <c r="CP30" s="547"/>
      <c r="CQ30" s="547"/>
      <c r="CR30" s="548"/>
      <c r="CS30" s="451"/>
      <c r="CT30" s="544"/>
      <c r="CU30" s="383"/>
      <c r="CV30" s="383"/>
      <c r="CW30" s="544"/>
    </row>
    <row r="31" spans="6:101" x14ac:dyDescent="0.25">
      <c r="F31" s="50"/>
      <c r="G31" s="222" t="s">
        <v>689</v>
      </c>
      <c r="H31" s="224" t="b">
        <v>1</v>
      </c>
      <c r="I31" s="53"/>
      <c r="K31" t="s">
        <v>448</v>
      </c>
      <c r="L31" s="357">
        <f t="shared" si="3"/>
        <v>4.1600000000000005E-3</v>
      </c>
      <c r="M31" s="5" t="b">
        <v>1</v>
      </c>
      <c r="N31" s="5">
        <f t="shared" si="4"/>
        <v>0</v>
      </c>
      <c r="O31" s="358">
        <f>PLN_DATA!M32</f>
        <v>4.1600000000000005E-3</v>
      </c>
      <c r="Q31" s="50"/>
      <c r="R31" s="222" t="s">
        <v>678</v>
      </c>
      <c r="S31" s="223" t="str">
        <f>INDEX('STATIC DATA'!C55:AB55,1,MATCH($A$1,'STATIC DATA'!C4:AB4,0))</f>
        <v>ACT/365</v>
      </c>
      <c r="T31" s="53"/>
      <c r="V31" t="s">
        <v>308</v>
      </c>
      <c r="W31" s="367">
        <f t="shared" si="0"/>
        <v>2.65E-3</v>
      </c>
      <c r="X31" s="5" t="b">
        <v>1</v>
      </c>
      <c r="Y31" s="5">
        <f t="shared" si="1"/>
        <v>0</v>
      </c>
      <c r="Z31" s="368">
        <f>PLN_DATA!U18</f>
        <v>2.65E-3</v>
      </c>
      <c r="AA31" s="203"/>
      <c r="AB31" s="50"/>
      <c r="AC31" s="54" t="s">
        <v>460</v>
      </c>
      <c r="AD31" s="52" t="s">
        <v>713</v>
      </c>
      <c r="AE31" s="53"/>
      <c r="AH31" s="358"/>
      <c r="AI31" s="5"/>
      <c r="AJ31" s="5"/>
      <c r="AK31" s="358"/>
      <c r="AM31" s="50"/>
      <c r="AN31" s="225" t="s">
        <v>753</v>
      </c>
      <c r="AO31" s="219" t="s">
        <v>680</v>
      </c>
      <c r="AP31" s="53"/>
      <c r="AX31" s="50"/>
      <c r="AY31" s="220" t="s">
        <v>677</v>
      </c>
      <c r="AZ31" s="221" t="str">
        <f>INDEX('STATIC DATA'!C39:AB39,1,MATCH($A$1,'STATIC DATA'!$C$4:$AB$4,0))</f>
        <v>WAB</v>
      </c>
      <c r="BA31" s="53"/>
      <c r="BD31" s="368"/>
      <c r="BE31" s="5"/>
      <c r="BF31" s="5"/>
      <c r="BG31" s="5"/>
      <c r="BI31" s="50"/>
      <c r="BJ31" s="225" t="s">
        <v>753</v>
      </c>
      <c r="BK31" s="219" t="s">
        <v>458</v>
      </c>
      <c r="BL31" s="249"/>
      <c r="BN31" t="s">
        <v>358</v>
      </c>
      <c r="BO31" s="358">
        <f t="shared" si="15"/>
        <v>8.12977005382097E-4</v>
      </c>
      <c r="BP31" s="5" t="b">
        <v>1</v>
      </c>
      <c r="BQ31" s="5">
        <f t="shared" si="16"/>
        <v>0</v>
      </c>
      <c r="BR31" s="368">
        <f>PLN_DATA!AR31</f>
        <v>8.12977005382097E-4</v>
      </c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M31" s="546"/>
      <c r="CN31" s="436"/>
      <c r="CO31" s="545"/>
      <c r="CP31" s="547"/>
      <c r="CQ31" s="547"/>
      <c r="CR31" s="548"/>
      <c r="CS31" s="451"/>
      <c r="CT31" s="544"/>
      <c r="CU31" s="383"/>
      <c r="CV31" s="383"/>
      <c r="CW31" s="544"/>
    </row>
    <row r="32" spans="6:101" x14ac:dyDescent="0.25">
      <c r="F32" s="50"/>
      <c r="G32" s="222" t="s">
        <v>690</v>
      </c>
      <c r="H32" s="223" t="s">
        <v>691</v>
      </c>
      <c r="I32" s="53"/>
      <c r="Q32" s="50"/>
      <c r="R32" s="225" t="s">
        <v>686</v>
      </c>
      <c r="S32" s="226" t="s">
        <v>728</v>
      </c>
      <c r="T32" s="53"/>
      <c r="V32" t="s">
        <v>316</v>
      </c>
      <c r="W32" s="367">
        <f t="shared" si="0"/>
        <v>3.4000000000000002E-3</v>
      </c>
      <c r="X32" s="5" t="b">
        <v>1</v>
      </c>
      <c r="Y32" s="5">
        <f t="shared" si="1"/>
        <v>0</v>
      </c>
      <c r="Z32" s="368">
        <f>PLN_DATA!U19</f>
        <v>3.4000000000000002E-3</v>
      </c>
      <c r="AA32" s="203"/>
      <c r="AB32" s="50"/>
      <c r="AC32" s="220" t="s">
        <v>677</v>
      </c>
      <c r="AD32" s="221" t="str">
        <f>INDEX('STATIC DATA'!C39:AB39,1,MATCH($A$1,'STATIC DATA'!$C$4:$AB$4,0))</f>
        <v>WAB</v>
      </c>
      <c r="AE32" s="53"/>
      <c r="AH32" s="358"/>
      <c r="AI32" s="5"/>
      <c r="AJ32" s="5"/>
      <c r="AK32" s="358"/>
      <c r="AM32" s="50"/>
      <c r="AN32" s="222" t="s">
        <v>754</v>
      </c>
      <c r="AO32" s="216" t="s">
        <v>687</v>
      </c>
      <c r="AP32" s="53"/>
      <c r="AX32" s="50"/>
      <c r="AY32" s="222" t="s">
        <v>678</v>
      </c>
      <c r="AZ32" s="223" t="str">
        <f>INDEX('STATIC DATA'!C55:AB55,1,MATCH($A$1,'STATIC DATA'!C4:AB4,0))</f>
        <v>ACT/365</v>
      </c>
      <c r="BA32" s="53"/>
      <c r="BD32" s="368"/>
      <c r="BE32" s="5"/>
      <c r="BF32" s="5"/>
      <c r="BG32" s="5"/>
      <c r="BI32" s="50"/>
      <c r="BJ32" s="222" t="s">
        <v>754</v>
      </c>
      <c r="BK32" s="216" t="s">
        <v>687</v>
      </c>
      <c r="BL32" s="53"/>
      <c r="BN32" t="s">
        <v>367</v>
      </c>
      <c r="BO32" s="358">
        <f t="shared" si="15"/>
        <v>9.7562296188227011E-4</v>
      </c>
      <c r="BP32" s="5" t="b">
        <v>1</v>
      </c>
      <c r="BQ32" s="5">
        <f t="shared" si="16"/>
        <v>0</v>
      </c>
      <c r="BR32" s="368">
        <f>PLN_DATA!AR32</f>
        <v>9.7562296188227011E-4</v>
      </c>
      <c r="BT32" s="50"/>
      <c r="BU32" s="55"/>
      <c r="BV32" s="55"/>
      <c r="BW32" s="55"/>
      <c r="BX32" s="332"/>
      <c r="BY32" s="206"/>
      <c r="BZ32" s="206"/>
      <c r="CA32" s="299"/>
      <c r="CB32" s="299"/>
      <c r="CM32" s="546"/>
      <c r="CN32" s="436"/>
      <c r="CO32" s="545"/>
      <c r="CP32" s="547"/>
      <c r="CQ32" s="547"/>
      <c r="CR32" s="548"/>
      <c r="CS32" s="451"/>
      <c r="CT32" s="544"/>
      <c r="CU32" s="383"/>
      <c r="CV32" s="383"/>
      <c r="CW32" s="544"/>
    </row>
    <row r="33" spans="6:101" x14ac:dyDescent="0.25">
      <c r="F33" s="50"/>
      <c r="G33" s="222" t="s">
        <v>695</v>
      </c>
      <c r="H33" s="223" t="s">
        <v>696</v>
      </c>
      <c r="I33" s="53"/>
      <c r="Q33" s="50"/>
      <c r="R33" s="52" t="s">
        <v>713</v>
      </c>
      <c r="S33" s="52" t="s">
        <v>713</v>
      </c>
      <c r="T33" s="53"/>
      <c r="V33" t="s">
        <v>324</v>
      </c>
      <c r="W33" s="367">
        <f t="shared" si="0"/>
        <v>4.7749999999999997E-3</v>
      </c>
      <c r="X33" s="5" t="b">
        <v>1</v>
      </c>
      <c r="Y33" s="5">
        <f t="shared" si="1"/>
        <v>0</v>
      </c>
      <c r="Z33" s="368">
        <f>PLN_DATA!U20</f>
        <v>4.7749999999999997E-3</v>
      </c>
      <c r="AB33" s="50"/>
      <c r="AC33" s="222" t="s">
        <v>678</v>
      </c>
      <c r="AD33" s="223" t="str">
        <f>INDEX('STATIC DATA'!C55:AB55,1,MATCH($A$1,'STATIC DATA'!C4:AB4,0))</f>
        <v>ACT/365</v>
      </c>
      <c r="AE33" s="53"/>
      <c r="AH33" s="5"/>
      <c r="AI33" s="5"/>
      <c r="AJ33" s="5"/>
      <c r="AK33" s="358"/>
      <c r="AM33" s="50"/>
      <c r="AN33" s="222" t="s">
        <v>755</v>
      </c>
      <c r="AO33" s="216">
        <v>0</v>
      </c>
      <c r="AP33" s="53"/>
      <c r="AX33" s="50"/>
      <c r="AY33" s="222" t="s">
        <v>679</v>
      </c>
      <c r="AZ33" s="223" t="s">
        <v>729</v>
      </c>
      <c r="BA33" s="53"/>
      <c r="BD33" s="368"/>
      <c r="BE33" s="5"/>
      <c r="BF33" s="5"/>
      <c r="BG33" s="5"/>
      <c r="BI33" s="50"/>
      <c r="BJ33" s="222" t="s">
        <v>755</v>
      </c>
      <c r="BK33" s="216" t="str">
        <f>INDEX('STATIC DATA'!C7:AB7,1,MATCH($A$1,'STATIC DATA'!$C$4:$AB$4,0))</f>
        <v>2D</v>
      </c>
      <c r="BL33" s="53"/>
      <c r="BN33" t="s">
        <v>374</v>
      </c>
      <c r="BO33" s="358">
        <f t="shared" si="15"/>
        <v>1.3514901228931355E-3</v>
      </c>
      <c r="BP33" s="5" t="b">
        <v>1</v>
      </c>
      <c r="BQ33" s="5">
        <f t="shared" si="16"/>
        <v>0</v>
      </c>
      <c r="BR33" s="368">
        <f>PLN_DATA!AR33</f>
        <v>1.3514901228931355E-3</v>
      </c>
      <c r="BT33" s="50"/>
      <c r="BU33" s="55"/>
      <c r="BV33" s="55"/>
      <c r="BW33" s="55"/>
      <c r="BX33" s="332"/>
      <c r="BY33" s="206"/>
      <c r="BZ33" s="206"/>
      <c r="CA33" s="305"/>
      <c r="CB33" s="299"/>
      <c r="CM33" s="546"/>
      <c r="CN33" s="436"/>
      <c r="CO33" s="545"/>
      <c r="CP33" s="547"/>
      <c r="CQ33" s="547"/>
      <c r="CR33" s="548"/>
      <c r="CS33" s="451"/>
      <c r="CT33" s="544"/>
      <c r="CU33" s="383"/>
      <c r="CV33" s="383"/>
      <c r="CW33" s="544"/>
    </row>
    <row r="34" spans="6:101" x14ac:dyDescent="0.25">
      <c r="F34" s="50"/>
      <c r="G34" s="222" t="s">
        <v>697</v>
      </c>
      <c r="H34" s="223">
        <v>1E-10</v>
      </c>
      <c r="I34" s="53"/>
      <c r="Q34" s="50"/>
      <c r="R34" s="54" t="s">
        <v>460</v>
      </c>
      <c r="S34" s="52" t="s">
        <v>713</v>
      </c>
      <c r="T34" s="53"/>
      <c r="V34" t="s">
        <v>331</v>
      </c>
      <c r="W34" s="367">
        <f t="shared" si="0"/>
        <v>6.1750000000000008E-3</v>
      </c>
      <c r="X34" s="5" t="b">
        <v>1</v>
      </c>
      <c r="Y34" s="5">
        <f t="shared" si="1"/>
        <v>0</v>
      </c>
      <c r="Z34" s="368">
        <f>PLN_DATA!U21</f>
        <v>6.1750000000000008E-3</v>
      </c>
      <c r="AB34" s="50"/>
      <c r="AC34" s="222" t="s">
        <v>679</v>
      </c>
      <c r="AD34" s="223" t="s">
        <v>729</v>
      </c>
      <c r="AE34" s="53"/>
      <c r="AH34" s="5"/>
      <c r="AI34" s="5"/>
      <c r="AJ34" s="5"/>
      <c r="AK34" s="358"/>
      <c r="AM34" s="50"/>
      <c r="AN34" s="234" t="s">
        <v>756</v>
      </c>
      <c r="AO34" s="247" t="s">
        <v>790</v>
      </c>
      <c r="AP34" s="249" t="s">
        <v>801</v>
      </c>
      <c r="AX34" s="50"/>
      <c r="AY34" s="222" t="s">
        <v>683</v>
      </c>
      <c r="AZ34" s="223" t="str">
        <f>INDEX('STATIC DATA'!C7:AB7,1,MATCH($A$1,'STATIC DATA'!$C$4:$AB$4,0))</f>
        <v>2D</v>
      </c>
      <c r="BA34" s="53"/>
      <c r="BD34" s="368"/>
      <c r="BE34" s="5"/>
      <c r="BF34" s="5"/>
      <c r="BG34" s="5"/>
      <c r="BI34" s="50"/>
      <c r="BJ34" s="234" t="s">
        <v>757</v>
      </c>
      <c r="BK34" s="260" t="s">
        <v>773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M34" s="546"/>
      <c r="CN34" s="436"/>
      <c r="CO34" s="545"/>
      <c r="CP34" s="547"/>
      <c r="CQ34" s="547"/>
      <c r="CR34" s="548"/>
      <c r="CS34" s="451"/>
      <c r="CT34" s="544"/>
      <c r="CU34" s="383"/>
      <c r="CV34" s="383"/>
      <c r="CW34" s="544"/>
    </row>
    <row r="35" spans="6:101" x14ac:dyDescent="0.25">
      <c r="F35" s="50"/>
      <c r="G35" s="222" t="s">
        <v>698</v>
      </c>
      <c r="H35" s="223">
        <v>1000</v>
      </c>
      <c r="I35" s="53"/>
      <c r="Q35" s="50"/>
      <c r="R35" s="220" t="s">
        <v>677</v>
      </c>
      <c r="S35" s="221" t="str">
        <f>INDEX('STATIC DATA'!C39:AB39,1,MATCH($A$1,'STATIC DATA'!$C$4:$AB$4,0))</f>
        <v>WAB</v>
      </c>
      <c r="T35" s="53"/>
      <c r="V35" t="s">
        <v>339</v>
      </c>
      <c r="W35" s="367">
        <f t="shared" si="0"/>
        <v>7.3750000000000005E-3</v>
      </c>
      <c r="X35" s="5" t="b">
        <v>1</v>
      </c>
      <c r="Y35" s="5">
        <f t="shared" si="1"/>
        <v>0</v>
      </c>
      <c r="Z35" s="368">
        <f>PLN_DATA!U22</f>
        <v>7.3750000000000005E-3</v>
      </c>
      <c r="AB35" s="50"/>
      <c r="AC35" s="222" t="s">
        <v>683</v>
      </c>
      <c r="AD35" s="223" t="str">
        <f>INDEX('STATIC DATA'!C7:AB7,1,MATCH($A$1,'STATIC DATA'!$C$4:$AB$4,0))</f>
        <v>2D</v>
      </c>
      <c r="AE35" s="53"/>
      <c r="AM35" s="50"/>
      <c r="AN35" s="234" t="s">
        <v>757</v>
      </c>
      <c r="AO35" s="229" t="s">
        <v>790</v>
      </c>
      <c r="AP35" s="53"/>
      <c r="AX35" s="50"/>
      <c r="AY35" s="225" t="s">
        <v>686</v>
      </c>
      <c r="AZ35" s="226" t="s">
        <v>687</v>
      </c>
      <c r="BA35" s="53"/>
      <c r="BD35" s="368"/>
      <c r="BE35" s="5"/>
      <c r="BF35" s="5"/>
      <c r="BG35" s="5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O35" s="397"/>
      <c r="CP35" s="403"/>
      <c r="CQ35" s="403"/>
      <c r="CR35" s="451"/>
      <c r="CS35" s="451"/>
      <c r="CT35" s="544"/>
      <c r="CU35" s="383"/>
      <c r="CV35" s="383"/>
      <c r="CW35" s="544"/>
    </row>
    <row r="36" spans="6:101" x14ac:dyDescent="0.25">
      <c r="F36" s="50"/>
      <c r="G36" s="222" t="s">
        <v>699</v>
      </c>
      <c r="H36" s="223" t="s">
        <v>700</v>
      </c>
      <c r="I36" s="53"/>
      <c r="Q36" s="50"/>
      <c r="R36" s="222" t="s">
        <v>678</v>
      </c>
      <c r="S36" s="223" t="str">
        <f>INDEX('STATIC DATA'!C55:AB55,1,MATCH($A$1,'STATIC DATA'!C4:AB4,0))</f>
        <v>ACT/365</v>
      </c>
      <c r="T36" s="53"/>
      <c r="V36" t="s">
        <v>342</v>
      </c>
      <c r="W36" s="367">
        <f t="shared" si="0"/>
        <v>8.3499999999999998E-3</v>
      </c>
      <c r="X36" s="5" t="b">
        <v>1</v>
      </c>
      <c r="Y36" s="5">
        <f t="shared" si="1"/>
        <v>0</v>
      </c>
      <c r="Z36" s="368">
        <f>PLN_DATA!U23</f>
        <v>8.3499999999999998E-3</v>
      </c>
      <c r="AB36" s="50"/>
      <c r="AC36" s="225" t="s">
        <v>686</v>
      </c>
      <c r="AD36" s="226" t="s">
        <v>687</v>
      </c>
      <c r="AE36" s="53"/>
      <c r="AM36" s="50"/>
      <c r="AN36" s="245" t="s">
        <v>758</v>
      </c>
      <c r="AO36" s="244" t="s">
        <v>322</v>
      </c>
      <c r="AP36" s="53"/>
      <c r="AX36" s="50"/>
      <c r="AY36" s="457"/>
      <c r="AZ36" s="458"/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/>
      <c r="BZ36" s="299"/>
      <c r="CA36" s="313"/>
      <c r="CB36" s="299"/>
      <c r="CO36" s="397"/>
      <c r="CP36" s="403"/>
      <c r="CQ36" s="403"/>
      <c r="CR36" s="451"/>
      <c r="CS36" s="451"/>
      <c r="CT36" s="544"/>
      <c r="CU36" s="383"/>
      <c r="CV36" s="383"/>
      <c r="CW36" s="544"/>
    </row>
    <row r="37" spans="6:101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2" t="s">
        <v>679</v>
      </c>
      <c r="S37" s="223" t="s">
        <v>729</v>
      </c>
      <c r="T37" s="53"/>
      <c r="V37" t="s">
        <v>355</v>
      </c>
      <c r="W37" s="367">
        <f t="shared" si="0"/>
        <v>9.1500000000000001E-3</v>
      </c>
      <c r="X37" s="5" t="b">
        <v>1</v>
      </c>
      <c r="Y37" s="5">
        <f t="shared" si="1"/>
        <v>0</v>
      </c>
      <c r="Z37" s="368">
        <f>PLN_DATA!U24</f>
        <v>9.1500000000000001E-3</v>
      </c>
      <c r="AB37" s="50"/>
      <c r="AC37" s="52" t="s">
        <v>713</v>
      </c>
      <c r="AD37" s="52" t="s">
        <v>713</v>
      </c>
      <c r="AE37" s="53"/>
      <c r="AG37" s="2" t="s">
        <v>662</v>
      </c>
      <c r="AM37" s="50"/>
      <c r="AN37" s="222" t="s">
        <v>759</v>
      </c>
      <c r="AO37" s="216" t="s">
        <v>48</v>
      </c>
      <c r="AP37" s="53"/>
      <c r="AX37" s="50"/>
      <c r="AY37" s="54" t="s">
        <v>467</v>
      </c>
      <c r="AZ37" s="85" t="s">
        <v>713</v>
      </c>
      <c r="BA37" s="53"/>
      <c r="BC37" s="2" t="s">
        <v>662</v>
      </c>
      <c r="BD37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O37" s="397"/>
      <c r="CP37" s="403"/>
      <c r="CQ37" s="403"/>
      <c r="CR37" s="451"/>
      <c r="CS37" s="451"/>
      <c r="CT37" s="544"/>
      <c r="CU37" s="383"/>
      <c r="CV37" s="383"/>
      <c r="CW37" s="544"/>
    </row>
    <row r="38" spans="6:101" x14ac:dyDescent="0.25">
      <c r="F38" s="50"/>
      <c r="G38" s="222"/>
      <c r="H38" s="223"/>
      <c r="I38" s="53"/>
      <c r="K38" t="s">
        <v>434</v>
      </c>
      <c r="L38" t="str">
        <f>$A$1</f>
        <v>PLN</v>
      </c>
      <c r="Q38" s="50"/>
      <c r="R38" s="222" t="s">
        <v>683</v>
      </c>
      <c r="S38" s="223" t="str">
        <f>INDEX('STATIC DATA'!C7:AB7,1,MATCH($A$1,'STATIC DATA'!$C$4:$AB$4,0))</f>
        <v>2D</v>
      </c>
      <c r="T38" s="53"/>
      <c r="V38" t="s">
        <v>364</v>
      </c>
      <c r="W38" s="367">
        <f t="shared" si="0"/>
        <v>9.8499999999999994E-3</v>
      </c>
      <c r="X38" s="5" t="b">
        <v>1</v>
      </c>
      <c r="Y38" s="5">
        <f t="shared" si="1"/>
        <v>0</v>
      </c>
      <c r="Z38" s="368">
        <f>PLN_DATA!U25</f>
        <v>9.8499999999999994E-3</v>
      </c>
      <c r="AB38" s="50"/>
      <c r="AC38" s="54" t="s">
        <v>730</v>
      </c>
      <c r="AD38" s="52" t="s">
        <v>713</v>
      </c>
      <c r="AE38" s="53"/>
      <c r="AG38" t="s">
        <v>434</v>
      </c>
      <c r="AH38" t="str">
        <f>$A$1</f>
        <v>PLN</v>
      </c>
      <c r="AM38" s="50"/>
      <c r="AN38" s="222" t="s">
        <v>760</v>
      </c>
      <c r="AO38" s="216" t="s">
        <v>608</v>
      </c>
      <c r="AP38" s="53"/>
      <c r="AX38" s="50"/>
      <c r="AY38" s="245" t="s">
        <v>749</v>
      </c>
      <c r="AZ38" s="243" t="s">
        <v>795</v>
      </c>
      <c r="BA38" s="53"/>
      <c r="BC38" t="s">
        <v>434</v>
      </c>
      <c r="BD38" t="str">
        <f>$A$1</f>
        <v>PLN</v>
      </c>
      <c r="BI38" s="50"/>
      <c r="BJ38" s="222" t="s">
        <v>760</v>
      </c>
      <c r="BK38" s="216" t="str">
        <f>INDEX('STATIC DATA'!C30:AB30,1,MATCH($A$1,'STATIC DATA'!$C$4:$AB$4,0))</f>
        <v>WAB:TGT:LNB</v>
      </c>
      <c r="BL38" s="53"/>
      <c r="BN38" t="s">
        <v>434</v>
      </c>
      <c r="BO38" t="str">
        <f>$A$1</f>
        <v>PLN</v>
      </c>
      <c r="BT38" s="50"/>
      <c r="BU38" s="55"/>
      <c r="BV38" s="55"/>
      <c r="BW38" s="55"/>
      <c r="BX38" s="332"/>
      <c r="BY38" s="147" t="s">
        <v>434</v>
      </c>
      <c r="BZ38" s="238" t="s">
        <v>1342</v>
      </c>
      <c r="CA38" s="305"/>
      <c r="CB38" s="299"/>
      <c r="CD38" t="s">
        <v>434</v>
      </c>
      <c r="CE38" t="str">
        <f>$A$1</f>
        <v>PLN</v>
      </c>
      <c r="CJ38" t="s">
        <v>434</v>
      </c>
      <c r="CK38" t="str">
        <f>$A$1</f>
        <v>PLN</v>
      </c>
      <c r="CO38" s="397"/>
      <c r="CP38" s="403"/>
      <c r="CQ38" s="403"/>
      <c r="CR38" s="451"/>
      <c r="CS38" s="451"/>
      <c r="CT38" s="544"/>
      <c r="CU38" s="383"/>
      <c r="CV38" s="383"/>
      <c r="CW38" s="544"/>
    </row>
    <row r="39" spans="6:101" x14ac:dyDescent="0.25">
      <c r="F39" s="50"/>
      <c r="G39" s="225"/>
      <c r="H39" s="226"/>
      <c r="I39" s="53"/>
      <c r="K39" t="s">
        <v>435</v>
      </c>
      <c r="L39" t="s">
        <v>426</v>
      </c>
      <c r="Q39" s="50"/>
      <c r="R39" s="225" t="s">
        <v>686</v>
      </c>
      <c r="S39" s="226" t="s">
        <v>687</v>
      </c>
      <c r="T39" s="53"/>
      <c r="V39" t="s">
        <v>349</v>
      </c>
      <c r="W39" s="367">
        <f t="shared" si="0"/>
        <v>1.0549999999999999E-2</v>
      </c>
      <c r="X39" s="5" t="b">
        <v>1</v>
      </c>
      <c r="Y39" s="5">
        <f t="shared" si="1"/>
        <v>0</v>
      </c>
      <c r="Z39" s="368">
        <f>PLN_DATA!U26</f>
        <v>1.0549999999999999E-2</v>
      </c>
      <c r="AB39" s="50"/>
      <c r="AC39" s="220" t="s">
        <v>704</v>
      </c>
      <c r="AD39" s="221" t="str">
        <f>INDEX('STATIC DATA'!C39:AB39,1,MATCH($A$1,'STATIC DATA'!$C$4:$AB$4,0))</f>
        <v>WAB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33" t="s">
        <v>750</v>
      </c>
      <c r="AZ39" s="230" t="s">
        <v>720</v>
      </c>
      <c r="BA39" s="53"/>
      <c r="BC39" t="s">
        <v>435</v>
      </c>
      <c r="BD39" t="s">
        <v>468</v>
      </c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O39" s="397"/>
      <c r="CP39" s="403"/>
      <c r="CQ39" s="403"/>
      <c r="CR39" s="451"/>
      <c r="CS39" s="451"/>
      <c r="CT39" s="544"/>
      <c r="CU39" s="383"/>
      <c r="CV39" s="383"/>
      <c r="CW39" s="544"/>
    </row>
    <row r="40" spans="6:101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52" t="s">
        <v>713</v>
      </c>
      <c r="S40" s="52" t="s">
        <v>713</v>
      </c>
      <c r="T40" s="53"/>
      <c r="V40" t="s">
        <v>358</v>
      </c>
      <c r="W40" s="367">
        <f t="shared" si="0"/>
        <v>1.1850000000000001E-2</v>
      </c>
      <c r="X40" s="5" t="b">
        <v>1</v>
      </c>
      <c r="Y40" s="5">
        <f t="shared" si="1"/>
        <v>0</v>
      </c>
      <c r="Z40" s="368">
        <f>PLN_DATA!U27</f>
        <v>1.1850000000000001E-2</v>
      </c>
      <c r="AB40" s="50"/>
      <c r="AC40" s="222" t="s">
        <v>731</v>
      </c>
      <c r="AD40" s="223" t="str">
        <f>INDEX('STATIC DATA'!C55:AB55,1,MATCH($A$1,'STATIC DATA'!C4:AB4,0))</f>
        <v>ACT/365</v>
      </c>
      <c r="AE40" s="53"/>
      <c r="AG40" t="s">
        <v>438</v>
      </c>
      <c r="AH40" t="s">
        <v>458</v>
      </c>
      <c r="AM40" s="50"/>
      <c r="AN40" s="225" t="s">
        <v>762</v>
      </c>
      <c r="AO40" s="219" t="s">
        <v>608</v>
      </c>
      <c r="AP40" s="53"/>
      <c r="AX40" s="50"/>
      <c r="AY40" s="222" t="s">
        <v>751</v>
      </c>
      <c r="AZ40" s="216" t="str">
        <f>INDEX('STATIC DATA'!C39:AB39,1,MATCH($A$1,'STATIC DATA'!$C$4:$AB$4,0))</f>
        <v>WAB</v>
      </c>
      <c r="BA40" s="53"/>
      <c r="BC40" t="s">
        <v>438</v>
      </c>
      <c r="BD40" t="s">
        <v>794</v>
      </c>
      <c r="BI40" s="50"/>
      <c r="BJ40" s="225" t="s">
        <v>762</v>
      </c>
      <c r="BK40" s="219" t="str">
        <f>INDEX('STATIC DATA'!C30:AB30,1,MATCH($A$1,'STATIC DATA'!$C$4:$AB$4,0))</f>
        <v>WAB:TGT:LNB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75">
        <f>'STATIC DATA'!S5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O40" s="397"/>
      <c r="CP40" s="403"/>
      <c r="CQ40" s="403"/>
      <c r="CR40" s="451"/>
      <c r="CS40" s="451"/>
      <c r="CT40" s="544"/>
      <c r="CU40" s="383"/>
      <c r="CV40" s="383"/>
      <c r="CW40" s="544"/>
    </row>
    <row r="41" spans="6:101" x14ac:dyDescent="0.25">
      <c r="F41" s="50"/>
      <c r="G41" s="54" t="s">
        <v>702</v>
      </c>
      <c r="H41" s="227" t="s">
        <v>703</v>
      </c>
      <c r="I41" s="53"/>
      <c r="K41" t="s">
        <v>440</v>
      </c>
      <c r="L41" s="200">
        <f>'STATIC DATA'!S5</f>
        <v>44083</v>
      </c>
      <c r="Q41" s="50"/>
      <c r="R41" s="54" t="s">
        <v>730</v>
      </c>
      <c r="S41" s="52" t="s">
        <v>713</v>
      </c>
      <c r="T41" s="53"/>
      <c r="V41" t="s">
        <v>367</v>
      </c>
      <c r="W41" s="367">
        <f t="shared" si="0"/>
        <v>1.34E-2</v>
      </c>
      <c r="X41" s="5" t="b">
        <v>1</v>
      </c>
      <c r="Y41" s="5">
        <f t="shared" si="1"/>
        <v>0</v>
      </c>
      <c r="Z41" s="368">
        <f>PLN_DATA!U28</f>
        <v>1.34E-2</v>
      </c>
      <c r="AB41" s="50"/>
      <c r="AC41" s="222" t="s">
        <v>732</v>
      </c>
      <c r="AD41" s="223" t="str">
        <f>INDEX('STATIC DATA'!C7:AB7,1,MATCH($A$1,'STATIC DATA'!$C$4:$AB$4,0))</f>
        <v>2D</v>
      </c>
      <c r="AE41" s="53"/>
      <c r="AG41" t="s">
        <v>440</v>
      </c>
      <c r="AH41" s="200">
        <f>'STATIC DATA'!S5</f>
        <v>44083</v>
      </c>
      <c r="AM41" s="50"/>
      <c r="AN41" s="225" t="s">
        <v>763</v>
      </c>
      <c r="AO41" s="219">
        <v>0</v>
      </c>
      <c r="AP41" s="53"/>
      <c r="AX41" s="50"/>
      <c r="AY41" s="222" t="s">
        <v>752</v>
      </c>
      <c r="AZ41" s="216" t="str">
        <f>INDEX('STATIC DATA'!C55:AB55,1,MATCH($A$1,'STATIC DATA'!C4:AB4,0))</f>
        <v>ACT/365</v>
      </c>
      <c r="BA41" s="53"/>
      <c r="BC41" t="s">
        <v>440</v>
      </c>
      <c r="BD41" s="200">
        <f>'STATIC DATA'!S5</f>
        <v>44083</v>
      </c>
      <c r="BI41" s="50"/>
      <c r="BJ41" s="225" t="s">
        <v>763</v>
      </c>
      <c r="BK41" s="216" t="str">
        <f>INDEX('STATIC DATA'!C7:AB7,1,MATCH($A$1,'STATIC DATA'!$C$4:$AB$4,0))</f>
        <v>2D</v>
      </c>
      <c r="BL41" s="53"/>
      <c r="BN41" t="s">
        <v>440</v>
      </c>
      <c r="BO41" s="200">
        <f>'STATIC DATA'!S5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DATA'!S5</f>
        <v>44083</v>
      </c>
      <c r="CJ41" t="s">
        <v>440</v>
      </c>
      <c r="CK41" s="275">
        <f>'STATIC DATA'!S5</f>
        <v>44083</v>
      </c>
      <c r="CO41" s="397"/>
      <c r="CP41" s="403"/>
      <c r="CQ41" s="403"/>
      <c r="CR41" s="451"/>
      <c r="CS41" s="451"/>
      <c r="CT41" s="544"/>
      <c r="CU41" s="383"/>
      <c r="CV41" s="383"/>
      <c r="CW41" s="544"/>
    </row>
    <row r="42" spans="6:101" x14ac:dyDescent="0.25">
      <c r="F42" s="50"/>
      <c r="G42" s="220" t="s">
        <v>704</v>
      </c>
      <c r="H42" s="221" t="str">
        <f>INDEX('STATIC DATA'!C43:AB43,1,MATCH(A1,'STATIC DATA'!$C$4:$AB$4,0))</f>
        <v>WAB</v>
      </c>
      <c r="I42" s="53"/>
      <c r="Q42" s="50"/>
      <c r="R42" s="220" t="s">
        <v>704</v>
      </c>
      <c r="S42" s="221" t="str">
        <f>INDEX('STATIC DATA'!C39:AB39,1,MATCH($A$1,'STATIC DATA'!$C$4:$AB$4,0))</f>
        <v>WAB</v>
      </c>
      <c r="T42" s="53"/>
      <c r="V42" t="s">
        <v>374</v>
      </c>
      <c r="W42" s="367">
        <f t="shared" si="0"/>
        <v>1.405E-2</v>
      </c>
      <c r="X42" s="5" t="b">
        <v>1</v>
      </c>
      <c r="Y42" s="5">
        <f t="shared" si="1"/>
        <v>0</v>
      </c>
      <c r="Z42" s="368">
        <f>PLN_DATA!U29</f>
        <v>1.405E-2</v>
      </c>
      <c r="AB42" s="50"/>
      <c r="AC42" s="222" t="s">
        <v>707</v>
      </c>
      <c r="AD42" s="223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5" t="s">
        <v>753</v>
      </c>
      <c r="AZ42" s="219" t="s">
        <v>458</v>
      </c>
      <c r="BA42" s="53"/>
      <c r="BD42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O42" s="397"/>
      <c r="CP42" s="403"/>
      <c r="CQ42" s="403"/>
      <c r="CR42" s="451"/>
      <c r="CS42" s="451"/>
      <c r="CT42" s="544"/>
      <c r="CU42" s="383"/>
      <c r="CV42" s="383"/>
      <c r="CW42" s="544"/>
    </row>
    <row r="43" spans="6:101" x14ac:dyDescent="0.25">
      <c r="F43" s="50"/>
      <c r="G43" s="222" t="s">
        <v>705</v>
      </c>
      <c r="H43" s="223" t="str">
        <f>INDEX('STATIC DATA'!C55:AB55,1,MATCH(A1,'STATIC DATA'!C4:AB4,0))</f>
        <v>ACT/365</v>
      </c>
      <c r="I43" s="53"/>
      <c r="K43" s="2" t="s">
        <v>441</v>
      </c>
      <c r="Q43" s="50"/>
      <c r="R43" s="222" t="s">
        <v>731</v>
      </c>
      <c r="S43" s="223" t="str">
        <f>INDEX('STATIC DATA'!C55:AB55,1,MATCH($A$1,'STATIC DATA'!C4:AB4,0))</f>
        <v>ACT/365</v>
      </c>
      <c r="T43" s="53"/>
      <c r="W43" s="367"/>
      <c r="X43" s="5"/>
      <c r="Z43" s="368"/>
      <c r="AB43" s="50"/>
      <c r="AC43" s="222"/>
      <c r="AD43" s="223"/>
      <c r="AE43" s="53"/>
      <c r="AG43" s="2" t="s">
        <v>441</v>
      </c>
      <c r="AM43" s="50"/>
      <c r="AN43" s="222" t="s">
        <v>765</v>
      </c>
      <c r="AO43" s="216" t="s">
        <v>608</v>
      </c>
      <c r="AP43" s="53"/>
      <c r="AX43" s="50"/>
      <c r="AY43" s="222" t="s">
        <v>754</v>
      </c>
      <c r="AZ43" s="216" t="s">
        <v>687</v>
      </c>
      <c r="BA43" s="53"/>
      <c r="BC43" s="2" t="s">
        <v>441</v>
      </c>
      <c r="BD43"/>
      <c r="BI43" s="50"/>
      <c r="BJ43" s="222" t="s">
        <v>765</v>
      </c>
      <c r="BK43" s="216" t="str">
        <f>INDEX('STATIC DATA'!C30:AB30,1,MATCH($A$1,'STATIC DATA'!$C$4:$AB$4,0))</f>
        <v>WAB:TGT:LNB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O43" s="397"/>
      <c r="CP43" s="403"/>
      <c r="CQ43" s="403"/>
      <c r="CR43" s="451"/>
      <c r="CS43" s="451"/>
      <c r="CT43" s="544"/>
      <c r="CU43" s="383"/>
      <c r="CV43" s="383"/>
      <c r="CW43" s="544"/>
    </row>
    <row r="44" spans="6:101" x14ac:dyDescent="0.25">
      <c r="F44" s="50"/>
      <c r="G44" s="222" t="s">
        <v>706</v>
      </c>
      <c r="H44" s="223" t="str">
        <f>IF(INDEX('STATIC DATA'!C56:AB56,1,MATCH(A1,'STATIC DATA'!C4:AB4,0))="1Y","ANNUAL",(IF(INDEX('STATIC DATA'!C56:AB56,1,MATCH(A1,'STATIC DATA'!C4:AB4,0))="6M","SEMI-ANNUAL", "QUARTERLY")))</f>
        <v>SEMI-ANNUAL</v>
      </c>
      <c r="I44" s="53"/>
      <c r="K44" t="s">
        <v>442</v>
      </c>
      <c r="L44" s="206" t="str">
        <f>L38&amp;"_"&amp;L39&amp;"_CURVE_MARKETDATA"</f>
        <v>PLN_OIS_CURVE_MARKETDATA</v>
      </c>
      <c r="Q44" s="50"/>
      <c r="R44" s="222" t="s">
        <v>732</v>
      </c>
      <c r="S44" s="223" t="str">
        <f>INDEX('STATIC DATA'!C7:AB7,1,MATCH($A$1,'STATIC DATA'!$C$4:$AB$4,0))</f>
        <v>2D</v>
      </c>
      <c r="T44" s="53"/>
      <c r="W44" s="367"/>
      <c r="X44" s="5"/>
      <c r="Z44" s="368"/>
      <c r="AB44" s="50"/>
      <c r="AC44" s="225"/>
      <c r="AD44" s="226"/>
      <c r="AE44" s="53"/>
      <c r="AG44" t="s">
        <v>442</v>
      </c>
      <c r="AH44" t="str">
        <f>A1&amp;"_BASIS_3M6M_MARKETDATA"</f>
        <v>PLN_BASIS_3M6M_MARKETDATA</v>
      </c>
      <c r="AM44" s="50"/>
      <c r="AN44" s="222" t="s">
        <v>766</v>
      </c>
      <c r="AO44" s="216" t="s">
        <v>48</v>
      </c>
      <c r="AP44" s="53"/>
      <c r="AX44" s="50"/>
      <c r="AY44" s="222" t="s">
        <v>755</v>
      </c>
      <c r="AZ44" s="216" t="str">
        <f>INDEX('STATIC DATA'!C7:AB7,1,MATCH($A$1,'STATIC DATA'!$C$4:$AB$4,0))</f>
        <v>2D</v>
      </c>
      <c r="BA44" s="53"/>
      <c r="BC44" t="s">
        <v>442</v>
      </c>
      <c r="BD44" t="str">
        <f>$A$1&amp;"_BASIS_1M3M_MARKETDATA"</f>
        <v>PLN_BASIS_1M3M_MARKETDATA</v>
      </c>
      <c r="BI44" s="50"/>
      <c r="BJ44" s="222" t="s">
        <v>766</v>
      </c>
      <c r="BK44" s="216" t="str">
        <f>INDEX('STATIC DATA'!C55:AB55,1,MATCH($A$1,'STATIC DATA'!C4:AB4,0))</f>
        <v>ACT/365</v>
      </c>
      <c r="BL44" s="53"/>
      <c r="BN44" t="s">
        <v>442</v>
      </c>
      <c r="BO44" t="str">
        <f>A1&amp;"_"&amp;BO39&amp;"_CURVE_MARKETDATA"</f>
        <v>PLN_XCCYBASIS_CURVE_MARKETDATA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1343</v>
      </c>
      <c r="CA44" s="325"/>
      <c r="CB44" s="303"/>
      <c r="CD44" t="s">
        <v>442</v>
      </c>
      <c r="CE44" t="str">
        <f>$A$1&amp;"_FXFWD_MARKET_DATA"</f>
        <v>PLN_FXFWD_MARKET_DATA</v>
      </c>
      <c r="CJ44" t="s">
        <v>442</v>
      </c>
      <c r="CK44" t="str">
        <f>$A$1&amp;"_FXFWD_MARKET_DATA"</f>
        <v>PLN_FXFWD_MARKET_DATA</v>
      </c>
      <c r="CO44" s="397"/>
      <c r="CP44" s="403"/>
      <c r="CQ44" s="403"/>
      <c r="CR44" s="451"/>
      <c r="CS44" s="451"/>
      <c r="CT44" s="544"/>
      <c r="CU44" s="383"/>
      <c r="CV44" s="383"/>
      <c r="CW44" s="544"/>
    </row>
    <row r="45" spans="6:101" x14ac:dyDescent="0.25">
      <c r="F45" s="50"/>
      <c r="G45" s="225" t="s">
        <v>707</v>
      </c>
      <c r="H45" s="226" t="s">
        <v>687</v>
      </c>
      <c r="I45" s="53"/>
      <c r="K45" t="s">
        <v>444</v>
      </c>
      <c r="L45" s="206" t="str">
        <f>_xll.meLWOCurveMarketDataCreate(L44,"MarketDataProperties",K38:L41,"OIS",K7:L31)</f>
        <v>PLN_OIS_CURVE_MARKETDATA@252:42</v>
      </c>
      <c r="Q45" s="50"/>
      <c r="R45" s="222" t="s">
        <v>707</v>
      </c>
      <c r="S45" s="223" t="s">
        <v>687</v>
      </c>
      <c r="T45" s="53"/>
      <c r="W45" s="367"/>
      <c r="X45" s="5"/>
      <c r="Z45" s="368"/>
      <c r="AB45" s="50"/>
      <c r="AC45" s="457"/>
      <c r="AD45" s="458"/>
      <c r="AE45" s="53"/>
      <c r="AG45" t="s">
        <v>444</v>
      </c>
      <c r="AH45" t="str">
        <f>_xll.meLWOCurveMarketDataCreate(AH44,AG37,AG38:AH42,"LIBORFIXINGS",AG7:AI9,"FRAS",AG10:AI16,"BASISSWAPS",AG17:AI29)</f>
        <v>PLN_BASIS_3M6M_MARKETDATA@105:42</v>
      </c>
      <c r="AM45" s="50"/>
      <c r="AN45" s="222" t="s">
        <v>767</v>
      </c>
      <c r="AO45" s="216" t="s">
        <v>458</v>
      </c>
      <c r="AP45" s="53"/>
      <c r="AX45" s="50"/>
      <c r="AY45" s="245" t="s">
        <v>756</v>
      </c>
      <c r="AZ45" s="244" t="s">
        <v>960</v>
      </c>
      <c r="BA45" s="53"/>
      <c r="BC45" t="s">
        <v>444</v>
      </c>
      <c r="BD45" t="str">
        <f>_xll.meLWOCurveMarketDataCreate(BD44,BC37,BC38:BD42,"LIBORFIXINGS",BC7:BE8,"BASISSWAPS",BC9:BE21)</f>
        <v>PLN_BASIS_1M3M_MARKETDATA@87:42</v>
      </c>
      <c r="BI45" s="50"/>
      <c r="BJ45" s="222" t="s">
        <v>767</v>
      </c>
      <c r="BK45" s="216" t="s">
        <v>458</v>
      </c>
      <c r="BL45" s="53"/>
      <c r="BN45" t="s">
        <v>444</v>
      </c>
      <c r="BO45" t="str">
        <f>_xll.meLWOCurveMarketDataCreate(BO44,BN37,BN38:BO41,"FXSPOTS",BN7:BP7,"FXFWDS",BN8:BP20,"XCCYSWAPS",BN21:BP33)</f>
        <v>PLN_XCCYBASIS_CURVE_MARKETDATA@229:1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_xll.meLWOCurveMarketDataCreate(BZ44,"MARKETDATAPROPERTIES",BY38:BZ41,"FXSPOTS",BZ7:CA7,"FXFWDS",BY8:CA20)</f>
        <v>MKTDATA_USDPLN@283:42</v>
      </c>
      <c r="CA45" s="313"/>
      <c r="CB45" s="313"/>
      <c r="CD45" t="s">
        <v>444</v>
      </c>
      <c r="CE45" t="str">
        <f>_xll.meLWOCurveMarketDataCreate(CE44,CD37,CD38:CE41)</f>
        <v>PLN_FXFWD_MARKET_DATA@25:42</v>
      </c>
      <c r="CJ45" t="s">
        <v>444</v>
      </c>
      <c r="CK45" t="str">
        <f>_xll.meLWOCurveMarketDataCreate(CK44,CJ37,CJ38:CK41)</f>
        <v>PLN_FXFWD_MARKET_DATA@26:42</v>
      </c>
      <c r="CO45" s="397"/>
      <c r="CP45" s="403"/>
      <c r="CQ45" s="403"/>
      <c r="CR45" s="451"/>
      <c r="CS45" s="451"/>
      <c r="CT45" s="544"/>
      <c r="CU45" s="383"/>
      <c r="CV45" s="383"/>
      <c r="CW45" s="544"/>
    </row>
    <row r="46" spans="6:101" x14ac:dyDescent="0.25">
      <c r="F46" s="50"/>
      <c r="G46" s="52"/>
      <c r="H46" s="52"/>
      <c r="I46" s="53"/>
      <c r="L46" s="206"/>
      <c r="Q46" s="50"/>
      <c r="R46" s="222"/>
      <c r="S46" s="223"/>
      <c r="T46" s="53"/>
      <c r="W46" s="204"/>
      <c r="Z46" s="203"/>
      <c r="AB46" s="50"/>
      <c r="AC46" s="54" t="s">
        <v>467</v>
      </c>
      <c r="AD46" s="85" t="s">
        <v>713</v>
      </c>
      <c r="AE46" s="53"/>
      <c r="AM46" s="50"/>
      <c r="AN46" s="222" t="s">
        <v>768</v>
      </c>
      <c r="AO46" s="239" t="s">
        <v>680</v>
      </c>
      <c r="AP46" s="53"/>
      <c r="AX46" s="50"/>
      <c r="AY46" s="233" t="s">
        <v>757</v>
      </c>
      <c r="AZ46" s="244" t="s">
        <v>426</v>
      </c>
      <c r="BA46" s="53"/>
      <c r="BD46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O46" s="397"/>
      <c r="CP46" s="403"/>
      <c r="CQ46" s="403"/>
      <c r="CR46" s="451"/>
      <c r="CS46" s="451"/>
      <c r="CT46" s="544"/>
      <c r="CU46" s="383"/>
      <c r="CV46" s="383"/>
      <c r="CW46" s="544"/>
    </row>
    <row r="47" spans="6:101" x14ac:dyDescent="0.25">
      <c r="F47" s="50"/>
      <c r="G47" s="54" t="s">
        <v>428</v>
      </c>
      <c r="H47" s="227" t="s">
        <v>708</v>
      </c>
      <c r="I47" s="53"/>
      <c r="K47" s="2" t="s">
        <v>447</v>
      </c>
      <c r="L47" s="206"/>
      <c r="Q47" s="50"/>
      <c r="R47" s="225"/>
      <c r="S47" s="226"/>
      <c r="T47" s="53"/>
      <c r="AB47" s="50"/>
      <c r="AC47" s="245" t="s">
        <v>749</v>
      </c>
      <c r="AD47" s="243" t="s">
        <v>745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45" t="s">
        <v>758</v>
      </c>
      <c r="AZ47" s="244" t="s">
        <v>49</v>
      </c>
      <c r="BA47" s="53"/>
      <c r="BC47" s="2" t="s">
        <v>447</v>
      </c>
      <c r="BD47"/>
      <c r="BI47" s="50"/>
      <c r="BJ47" s="222" t="s">
        <v>770</v>
      </c>
      <c r="BK47" s="216" t="str">
        <f>INDEX('STATIC DATA'!C2:AB2,1,MATCH($A$1,'STATIC DATA'!$C$4:$AB$4,0))</f>
        <v>PLN_DATA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O47" s="397"/>
      <c r="CP47" s="403"/>
      <c r="CQ47" s="403"/>
      <c r="CR47" s="451"/>
      <c r="CS47" s="451"/>
      <c r="CT47" s="544"/>
      <c r="CU47" s="383"/>
      <c r="CV47" s="383"/>
      <c r="CW47" s="544"/>
    </row>
    <row r="48" spans="6:101" x14ac:dyDescent="0.25">
      <c r="F48" s="50"/>
      <c r="G48" s="220" t="s">
        <v>677</v>
      </c>
      <c r="H48" s="221" t="str">
        <f>INDEX('STATIC DATA'!C43:AB43,1,MATCH(A1,'STATIC DATA'!$C$4:$AB$4,0))</f>
        <v>WAB</v>
      </c>
      <c r="I48" s="53"/>
      <c r="K48" t="s">
        <v>442</v>
      </c>
      <c r="L48" s="206" t="str">
        <f>L38&amp;"_"&amp;L39&amp;"_CURVE"</f>
        <v>PLN_OIS_CURVE</v>
      </c>
      <c r="Q48" s="50"/>
      <c r="R48" s="52" t="s">
        <v>713</v>
      </c>
      <c r="S48" s="52" t="s">
        <v>713</v>
      </c>
      <c r="T48" s="53"/>
      <c r="AB48" s="50"/>
      <c r="AC48" s="233" t="s">
        <v>750</v>
      </c>
      <c r="AD48" s="230" t="s">
        <v>720</v>
      </c>
      <c r="AE48" s="53"/>
      <c r="AG48" t="s">
        <v>442</v>
      </c>
      <c r="AH48" t="str">
        <f>A1&amp;"_BASIS_3M6M_CURVE"</f>
        <v>PLN_BASIS_3M6M_CURVE</v>
      </c>
      <c r="AM48" s="50"/>
      <c r="AN48" s="225" t="s">
        <v>770</v>
      </c>
      <c r="AO48" s="219">
        <v>0</v>
      </c>
      <c r="AP48" s="53"/>
      <c r="AX48" s="50"/>
      <c r="AY48" s="222" t="s">
        <v>759</v>
      </c>
      <c r="AZ48" s="216" t="str">
        <f>INDEX('STATIC DATA'!C55:AB55,1,MATCH($A$1,'STATIC DATA'!C4:AB4,0))</f>
        <v>ACT/365</v>
      </c>
      <c r="BA48" s="53"/>
      <c r="BC48" t="s">
        <v>442</v>
      </c>
      <c r="BD48" t="str">
        <f>$A$1&amp;"_BASIS_1M3M_CURVE"</f>
        <v>PLN_BASIS_1M3M_CURVE</v>
      </c>
      <c r="BI48" s="50"/>
      <c r="BJ48" s="234" t="s">
        <v>772</v>
      </c>
      <c r="BK48" s="247" t="s">
        <v>714</v>
      </c>
      <c r="BL48" s="249" t="s">
        <v>801</v>
      </c>
      <c r="BN48" t="s">
        <v>442</v>
      </c>
      <c r="BO48" t="str">
        <f>A1&amp;"_"&amp;BO39&amp;"_CURVE"</f>
        <v>PLN_XCCYBASIS_CURVE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1346</v>
      </c>
      <c r="CJ48" t="s">
        <v>442</v>
      </c>
      <c r="CK48" t="s">
        <v>1331</v>
      </c>
      <c r="CO48" s="397"/>
      <c r="CP48" s="403"/>
      <c r="CQ48" s="403"/>
      <c r="CR48" s="451"/>
      <c r="CS48" s="451"/>
      <c r="CT48" s="544"/>
      <c r="CU48" s="383"/>
      <c r="CV48" s="383"/>
      <c r="CW48" s="544"/>
    </row>
    <row r="49" spans="6:101" x14ac:dyDescent="0.25">
      <c r="F49" s="50"/>
      <c r="G49" s="222" t="s">
        <v>709</v>
      </c>
      <c r="H49" s="223" t="str">
        <f>INDEX('STATIC DATA'!C57:AB57,1,MATCH($A$1,'STATIC DATA'!C4:AB4,0))</f>
        <v>ACT/365</v>
      </c>
      <c r="I49" s="53"/>
      <c r="K49" t="s">
        <v>450</v>
      </c>
      <c r="L49" s="206" t="str">
        <f>H8</f>
        <v>PLN_OIS@363:6</v>
      </c>
      <c r="Q49" s="50"/>
      <c r="R49" s="54" t="s">
        <v>428</v>
      </c>
      <c r="S49" s="52" t="s">
        <v>713</v>
      </c>
      <c r="T49" s="53"/>
      <c r="V49" s="2" t="s">
        <v>662</v>
      </c>
      <c r="AB49" s="50"/>
      <c r="AC49" s="222" t="s">
        <v>751</v>
      </c>
      <c r="AD49" s="216" t="str">
        <f>INDEX('STATIC DATA'!C39:AB39,1,MATCH($A$1,'STATIC DATA'!$C$4:$AB$4,0))</f>
        <v>WAB</v>
      </c>
      <c r="AE49" s="53"/>
      <c r="AG49" t="s">
        <v>450</v>
      </c>
      <c r="AH49" t="str">
        <f>AD8</f>
        <v>PLN_BASIS_3M6M@361:6</v>
      </c>
      <c r="AM49" s="50"/>
      <c r="AN49" s="234" t="s">
        <v>771</v>
      </c>
      <c r="AO49" s="242" t="s">
        <v>792</v>
      </c>
      <c r="AP49" s="53"/>
      <c r="AX49" s="50"/>
      <c r="AY49" s="222" t="s">
        <v>760</v>
      </c>
      <c r="AZ49" s="216" t="str">
        <f>INDEX('STATIC DATA'!C39:AB39,1,MATCH($A$1,'STATIC DATA'!$C$4:$AB$4,0))</f>
        <v>WAB</v>
      </c>
      <c r="BA49" s="53"/>
      <c r="BC49" t="s">
        <v>450</v>
      </c>
      <c r="BD49" t="str">
        <f>AZ8</f>
        <v>PLN_BASIS_1M3M@362:6</v>
      </c>
      <c r="BI49" s="50"/>
      <c r="BJ49" s="234" t="s">
        <v>771</v>
      </c>
      <c r="BK49" s="242" t="s">
        <v>960</v>
      </c>
      <c r="BL49" s="53"/>
      <c r="BN49" t="s">
        <v>450</v>
      </c>
      <c r="BO49" t="str">
        <f>BK8</f>
        <v>PLN_XCCY@365:6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PLN_EURCSA@366:6</v>
      </c>
      <c r="CJ49" t="s">
        <v>450</v>
      </c>
      <c r="CK49" t="str">
        <f>CK8</f>
        <v>PLN_JPYCSA@367:6</v>
      </c>
      <c r="CO49" s="397"/>
      <c r="CP49" s="403"/>
      <c r="CQ49" s="403"/>
      <c r="CR49" s="451"/>
      <c r="CS49" s="451"/>
      <c r="CT49" s="544"/>
      <c r="CU49" s="383"/>
      <c r="CV49" s="383"/>
      <c r="CW49" s="544"/>
    </row>
    <row r="50" spans="6:101" x14ac:dyDescent="0.25">
      <c r="F50" s="50"/>
      <c r="G50" s="222" t="s">
        <v>710</v>
      </c>
      <c r="H50" s="223" t="str">
        <f>IF(INDEX('STATIC DATA'!C54:AB54,1,MATCH(A1,'STATIC DATA'!C4:AB4,0))="1Y","ANNUAL",(IF(INDEX('STATIC DATA'!C54:AB54,1,MATCH(A1,'STATIC DATA'!C4:AB4,0))="6M","SEMI-ANNUAL", "QUARTERLY")))</f>
        <v>ANNUAL</v>
      </c>
      <c r="I50" s="53"/>
      <c r="K50" t="s">
        <v>452</v>
      </c>
      <c r="L50" s="206" t="str">
        <f>$A$1&amp;"YC"</f>
        <v>PLNYC</v>
      </c>
      <c r="Q50" s="50"/>
      <c r="R50" s="220" t="s">
        <v>704</v>
      </c>
      <c r="S50" s="221" t="str">
        <f>INDEX('STATIC DATA'!C43:AB43,1,MATCH($A$1,'STATIC DATA'!$C$4:$AB$4,0))</f>
        <v>WAB</v>
      </c>
      <c r="T50" s="53"/>
      <c r="V50" t="s">
        <v>434</v>
      </c>
      <c r="W50" t="str">
        <f>$A$1</f>
        <v>PLN</v>
      </c>
      <c r="AB50" s="50"/>
      <c r="AC50" s="222" t="s">
        <v>752</v>
      </c>
      <c r="AD50" s="216" t="str">
        <f>INDEX('STATIC DATA'!C55:AB55,1,MATCH($A$1,'STATIC DATA'!C4:AB4,0))</f>
        <v>ACT/365</v>
      </c>
      <c r="AE50" s="53"/>
      <c r="AG50" t="s">
        <v>452</v>
      </c>
      <c r="AH50" t="str">
        <f>$A$1&amp;"YC"</f>
        <v>PLNYC</v>
      </c>
      <c r="AM50" s="50"/>
      <c r="AN50" s="234" t="s">
        <v>772</v>
      </c>
      <c r="AO50" s="242" t="s">
        <v>792</v>
      </c>
      <c r="AP50" s="53"/>
      <c r="AX50" s="50"/>
      <c r="AY50" s="225" t="s">
        <v>761</v>
      </c>
      <c r="AZ50" s="219" t="s">
        <v>721</v>
      </c>
      <c r="BA50" s="53"/>
      <c r="BC50" t="s">
        <v>452</v>
      </c>
      <c r="BD50" t="str">
        <f>$A$1&amp;"YC"</f>
        <v>PLNYC</v>
      </c>
      <c r="BI50" s="50"/>
      <c r="BJ50" s="245" t="s">
        <v>774</v>
      </c>
      <c r="BK50" s="244" t="s">
        <v>49</v>
      </c>
      <c r="BL50" s="53"/>
      <c r="BN50" t="s">
        <v>452</v>
      </c>
      <c r="BO50" t="str">
        <f>A1&amp;"YC"</f>
        <v>PLNYC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1020</v>
      </c>
      <c r="CJ50" t="s">
        <v>452</v>
      </c>
      <c r="CK50" t="s">
        <v>1020</v>
      </c>
      <c r="CO50" s="397"/>
      <c r="CP50" s="403"/>
      <c r="CQ50" s="403"/>
      <c r="CR50" s="451"/>
      <c r="CS50" s="451"/>
      <c r="CT50" s="544"/>
      <c r="CU50" s="383"/>
      <c r="CV50" s="383"/>
      <c r="CW50" s="544"/>
    </row>
    <row r="51" spans="6:101" x14ac:dyDescent="0.25">
      <c r="F51" s="50"/>
      <c r="G51" s="225" t="s">
        <v>686</v>
      </c>
      <c r="H51" s="226" t="s">
        <v>687</v>
      </c>
      <c r="I51" s="53"/>
      <c r="K51" t="s">
        <v>453</v>
      </c>
      <c r="L51" s="206"/>
      <c r="Q51" s="50"/>
      <c r="R51" s="222" t="s">
        <v>731</v>
      </c>
      <c r="S51" s="223" t="str">
        <f>INDEX('STATIC DATA'!C53:AB53,1,MATCH(A1,'STATIC DATA'!C4:AB4,0))</f>
        <v>ACT/ACT</v>
      </c>
      <c r="T51" s="53"/>
      <c r="V51" t="s">
        <v>435</v>
      </c>
      <c r="W51" t="s">
        <v>463</v>
      </c>
      <c r="AB51" s="50"/>
      <c r="AC51" s="225" t="s">
        <v>753</v>
      </c>
      <c r="AD51" s="219" t="s">
        <v>459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25" t="s">
        <v>762</v>
      </c>
      <c r="AZ51" s="219" t="str">
        <f>INDEX('STATIC DATA'!C39:AB39,1,MATCH($A$1,'STATIC DATA'!$C$4:$AB$4,0))</f>
        <v>WAB</v>
      </c>
      <c r="BA51" s="53"/>
      <c r="BC51" t="s">
        <v>453</v>
      </c>
      <c r="BD51"/>
      <c r="BI51" s="50"/>
      <c r="BJ51" s="222" t="s">
        <v>775</v>
      </c>
      <c r="BK51" s="216" t="str">
        <f>INDEX('STATIC DATA'!C55:AB55,1,MATCH($A$1,'STATIC DATA'!C4:AB4,0))</f>
        <v>ACT/365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O51" s="397"/>
      <c r="CP51" s="403"/>
      <c r="CQ51" s="403"/>
      <c r="CR51" s="451"/>
      <c r="CS51" s="451"/>
      <c r="CT51" s="544"/>
      <c r="CU51" s="383"/>
      <c r="CV51" s="383"/>
      <c r="CW51" s="544"/>
    </row>
    <row r="52" spans="6:101" x14ac:dyDescent="0.25">
      <c r="F52" s="50"/>
      <c r="G52" s="52"/>
      <c r="H52" s="52"/>
      <c r="I52" s="53"/>
      <c r="L52" s="206"/>
      <c r="Q52" s="50"/>
      <c r="R52" s="222" t="s">
        <v>1148</v>
      </c>
      <c r="S52" s="223" t="str">
        <f>INDEX('STATIC DATA'!C53:AB53,1,MATCH(A1,'STATIC DATA'!C4:AB4,0))</f>
        <v>ACT/ACT</v>
      </c>
      <c r="T52" s="53"/>
      <c r="V52" t="s">
        <v>438</v>
      </c>
      <c r="W52" t="str">
        <f>S13</f>
        <v>SEMI-ANNUAL</v>
      </c>
      <c r="AB52" s="50"/>
      <c r="AC52" s="222" t="s">
        <v>754</v>
      </c>
      <c r="AD52" s="216" t="s">
        <v>687</v>
      </c>
      <c r="AE52" s="53"/>
      <c r="AM52" s="50"/>
      <c r="AN52" s="222" t="s">
        <v>775</v>
      </c>
      <c r="AO52" s="216" t="s">
        <v>48</v>
      </c>
      <c r="AP52" s="53"/>
      <c r="AX52" s="50"/>
      <c r="AY52" s="225" t="s">
        <v>763</v>
      </c>
      <c r="AZ52" s="219" t="str">
        <f>INDEX('STATIC DATA'!C7:AB7,1,MATCH($A$1,'STATIC DATA'!$C$4:$AB$4,0))</f>
        <v>2D</v>
      </c>
      <c r="BA52" s="53"/>
      <c r="BD52"/>
      <c r="BI52" s="50"/>
      <c r="BJ52" s="222" t="s">
        <v>776</v>
      </c>
      <c r="BK52" s="216" t="str">
        <f>INDEX('STATIC DATA'!C39:AB39,1,MATCH($A$1,'STATIC DATA'!$C$4:$AB$4,0))</f>
        <v>WAB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O52" s="397"/>
      <c r="CP52" s="403"/>
      <c r="CQ52" s="403"/>
      <c r="CR52" s="451"/>
      <c r="CS52" s="451"/>
      <c r="CT52" s="544"/>
      <c r="CU52" s="383"/>
      <c r="CV52" s="383"/>
      <c r="CW52" s="544"/>
    </row>
    <row r="53" spans="6:101" x14ac:dyDescent="0.25">
      <c r="F53" s="75"/>
      <c r="G53" s="76"/>
      <c r="H53" s="76"/>
      <c r="I53" s="77"/>
      <c r="K53" s="2" t="s">
        <v>454</v>
      </c>
      <c r="Q53" s="50"/>
      <c r="R53" s="222" t="s">
        <v>734</v>
      </c>
      <c r="S53" s="223" t="str">
        <f>INDEX('STATIC DATA'!C55:AB55,1,MATCH(A1,'STATIC DATA'!C4:AB4,0))</f>
        <v>ACT/365</v>
      </c>
      <c r="T53" s="53"/>
      <c r="V53" t="s">
        <v>440</v>
      </c>
      <c r="W53" s="683">
        <f>'STATIC DATA'!S5</f>
        <v>44083</v>
      </c>
      <c r="AB53" s="50"/>
      <c r="AC53" s="222" t="s">
        <v>755</v>
      </c>
      <c r="AD53" s="216" t="str">
        <f>INDEX('STATIC DATA'!C7:AB7,1,MATCH($A$1,'STATIC DATA'!C4:AB4,0))</f>
        <v>2D</v>
      </c>
      <c r="AE53" s="53"/>
      <c r="AG53" s="2" t="s">
        <v>454</v>
      </c>
      <c r="AM53" s="50"/>
      <c r="AN53" s="222" t="s">
        <v>776</v>
      </c>
      <c r="AO53" s="216" t="s">
        <v>608</v>
      </c>
      <c r="AP53" s="53"/>
      <c r="AX53" s="50"/>
      <c r="AY53" s="220" t="s">
        <v>764</v>
      </c>
      <c r="AZ53" s="238" t="s">
        <v>687</v>
      </c>
      <c r="BA53" s="53"/>
      <c r="BC53" s="2" t="s">
        <v>454</v>
      </c>
      <c r="BD53"/>
      <c r="BI53" s="50"/>
      <c r="BJ53" s="222" t="s">
        <v>777</v>
      </c>
      <c r="BK53" s="216" t="s">
        <v>458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M53" s="332"/>
      <c r="CN53" s="332"/>
      <c r="CO53" s="398"/>
      <c r="CP53" s="404"/>
      <c r="CQ53" s="404"/>
      <c r="CR53" s="452"/>
      <c r="CS53" s="451"/>
      <c r="CT53" s="544"/>
      <c r="CU53" s="383"/>
      <c r="CV53" s="383"/>
      <c r="CW53" s="544"/>
    </row>
    <row r="54" spans="6:101" x14ac:dyDescent="0.25">
      <c r="K54" t="s">
        <v>442</v>
      </c>
      <c r="L54" s="290" t="str">
        <f t="array" ref="L54:L57">_xll.meLWOCurveCalibrate(L48,L49,L45,L50)</f>
        <v>PLN_OIS_CURVE@253:10</v>
      </c>
      <c r="Q54" s="50"/>
      <c r="R54" s="222" t="s">
        <v>706</v>
      </c>
      <c r="S54" s="223" t="str">
        <f>IF(INDEX('STATIC DATA'!C54:AB54,1,MATCH(A1,'STATIC DATA'!C4:AB4,0))="1Y","ANNUAL",(IF(INDEX('STATIC DATA'!C54:AB54,1,MATCH(A1,'STATIC DATA'!C4:AB4,0))="6M","SEMI-ANNUAL", "QUARTERLY")))</f>
        <v>ANNUAL</v>
      </c>
      <c r="T54" s="53"/>
      <c r="AB54" s="50"/>
      <c r="AC54" s="245" t="s">
        <v>756</v>
      </c>
      <c r="AD54" s="247" t="s">
        <v>957</v>
      </c>
      <c r="AE54" s="249"/>
      <c r="AG54" t="s">
        <v>442</v>
      </c>
      <c r="AH54" s="647" t="str">
        <f t="array" ref="AH54:AH57">IF(ExistsPLN6M,_xll.meLWOCurveCalibrate($AH$48,$AH$49,$AH$45,$AH$50),"LOAD DEPENDENCY")</f>
        <v>PLN_BASIS_3M6M_CURVE@468:10</v>
      </c>
      <c r="AM54" s="50"/>
      <c r="AN54" s="222" t="s">
        <v>777</v>
      </c>
      <c r="AO54" s="216" t="s">
        <v>721</v>
      </c>
      <c r="AP54" s="53"/>
      <c r="AX54" s="50"/>
      <c r="AY54" s="222" t="s">
        <v>765</v>
      </c>
      <c r="AZ54" s="216" t="str">
        <f>INDEX('STATIC DATA'!C39:AB39,1,MATCH($A$1,'STATIC DATA'!$C$4:$AB$4,0))</f>
        <v>WAB</v>
      </c>
      <c r="BA54" s="53"/>
      <c r="BC54" t="s">
        <v>442</v>
      </c>
      <c r="BD54" s="647" t="str">
        <f t="array" ref="BD54:BD57">IF(ExistsPLN3M,_xll.meLWOCurveCalibrate($BD$48,$BD$49,$BD$45,$BD$50),"LOAD DEPENDENCY")</f>
        <v>PLN_BASIS_1M3M_CURVE@470:10</v>
      </c>
      <c r="BI54" s="50"/>
      <c r="BJ54" s="222" t="s">
        <v>778</v>
      </c>
      <c r="BK54" s="216" t="str">
        <f>INDEX('STATIC DATA'!C40:AB40,1,MATCH($A$1,'STATIC DATA'!$C$4:$AB$4,0))</f>
        <v>WAB</v>
      </c>
      <c r="BL54" s="53"/>
      <c r="BN54" t="s">
        <v>442</v>
      </c>
      <c r="BO54" s="647" t="str">
        <f t="array" ref="BO54:BO57">IF(AND(ExistsPLN3M,ExistsUSD3M),_xll.meLWOCurveCalibrate($BO$48,$BO$49,$BO$45,$BO$50,$BO$51),"LOAD DEPENDENCY")</f>
        <v>PLN_XCCYBASIS_CURVE@482:1</v>
      </c>
      <c r="BT54" s="50"/>
      <c r="BU54" s="55"/>
      <c r="BV54" s="55"/>
      <c r="BW54" s="55"/>
      <c r="BX54" s="332"/>
      <c r="BY54" s="270" t="s">
        <v>831</v>
      </c>
      <c r="BZ54" s="271" t="s">
        <v>1344</v>
      </c>
      <c r="CA54" s="283"/>
      <c r="CB54" s="299"/>
      <c r="CD54" t="s">
        <v>442</v>
      </c>
      <c r="CE54" s="647" t="str">
        <f t="array" ref="CE54:CE57">IF(AND(ExistsPLNXCCY,ExistsEURXCCY),_xll.meLWOCurveCalibrate(CE48,CE49,CE45,CE50,CE51),"LOAD DEPENDENCY")</f>
        <v>PLN_EURCSA_CURVE@528:1</v>
      </c>
      <c r="CJ54" t="s">
        <v>442</v>
      </c>
      <c r="CK54" s="647" t="str">
        <f t="array" ref="CK54:CK57">IF(AND(ExistsPLNXCCY,ExistsJPYXCCY),_xll.meLWOCurveCalibrate(CK48,CK49,CK45,CK50,CK51),"LOAD DEPENDENCY")</f>
        <v>PLN_JPYCSA_CURVE@527:1</v>
      </c>
      <c r="CM54" s="332"/>
      <c r="CN54" s="332"/>
      <c r="CO54" s="398"/>
      <c r="CP54" s="404"/>
      <c r="CQ54" s="404"/>
      <c r="CR54" s="452"/>
      <c r="CS54" s="451"/>
      <c r="CT54" s="544"/>
      <c r="CU54" s="383"/>
      <c r="CV54" s="383"/>
      <c r="CW54" s="544"/>
    </row>
    <row r="55" spans="6:101" x14ac:dyDescent="0.25">
      <c r="K55" t="s">
        <v>455</v>
      </c>
      <c r="L55" t="str">
        <v>PLNYC</v>
      </c>
      <c r="Q55" s="50"/>
      <c r="R55" s="222" t="s">
        <v>1153</v>
      </c>
      <c r="S55" s="223" t="s">
        <v>680</v>
      </c>
      <c r="T55" s="53"/>
      <c r="V55" s="2" t="s">
        <v>441</v>
      </c>
      <c r="AB55" s="50"/>
      <c r="AC55" s="233" t="s">
        <v>757</v>
      </c>
      <c r="AD55" s="229" t="s">
        <v>426</v>
      </c>
      <c r="AE55" s="53"/>
      <c r="AG55" t="s">
        <v>455</v>
      </c>
      <c r="AH55" t="str">
        <v>PLNYC</v>
      </c>
      <c r="AM55" s="50"/>
      <c r="AN55" s="222" t="s">
        <v>778</v>
      </c>
      <c r="AO55" s="216" t="s">
        <v>608</v>
      </c>
      <c r="AP55" s="53"/>
      <c r="AX55" s="50"/>
      <c r="AY55" s="222" t="s">
        <v>766</v>
      </c>
      <c r="AZ55" s="216" t="str">
        <f>INDEX('STATIC DATA'!C55:AB55,1,MATCH($A$1,'STATIC DATA'!C4:AB4,0))</f>
        <v>ACT/365</v>
      </c>
      <c r="BA55" s="53"/>
      <c r="BC55" t="s">
        <v>455</v>
      </c>
      <c r="BD55" t="str">
        <v>PLNYC</v>
      </c>
      <c r="BI55" s="50"/>
      <c r="BJ55" s="222" t="s">
        <v>779</v>
      </c>
      <c r="BK55" s="216" t="str">
        <f>INDEX('STATIC DATA'!C7:AB7,1,MATCH($A$1,'STATIC DATA'!$C$4:$AB$4,0))</f>
        <v>2D</v>
      </c>
      <c r="BL55" s="53"/>
      <c r="BN55" t="s">
        <v>455</v>
      </c>
      <c r="BO55" t="str">
        <v>PLNYC</v>
      </c>
      <c r="BT55" s="50"/>
      <c r="BU55" s="55"/>
      <c r="BV55" s="55"/>
      <c r="BW55" s="55"/>
      <c r="BX55" s="332"/>
      <c r="BZ55" s="263" t="str">
        <f>_xll.meLWOFXCurveCreate(BZ54,BV8,BZ45)</f>
        <v>FX_CURVE_USDPLN@284:10</v>
      </c>
      <c r="CA55" s="283"/>
      <c r="CB55" s="299"/>
      <c r="CD55" t="s">
        <v>455</v>
      </c>
      <c r="CE55" t="str">
        <v>PLNYC</v>
      </c>
      <c r="CJ55" t="s">
        <v>455</v>
      </c>
      <c r="CK55" t="str">
        <v>PLNYC</v>
      </c>
      <c r="CM55" s="332"/>
      <c r="CN55" s="332"/>
      <c r="CO55" s="398"/>
      <c r="CP55" s="404"/>
      <c r="CQ55" s="404"/>
      <c r="CR55" s="452"/>
      <c r="CS55" s="451"/>
      <c r="CT55" s="544"/>
      <c r="CU55" s="383"/>
      <c r="CV55" s="383"/>
      <c r="CW55" s="544"/>
    </row>
    <row r="56" spans="6:101" x14ac:dyDescent="0.25">
      <c r="K56" t="s">
        <v>456</v>
      </c>
      <c r="L56" t="str">
        <v>OIS:PLNOIS</v>
      </c>
      <c r="Q56" s="50"/>
      <c r="R56" s="222" t="s">
        <v>735</v>
      </c>
      <c r="S56" s="223" t="str">
        <f>IF(INDEX('STATIC DATA'!C56:AB56,1,MATCH(A1,'STATIC DATA'!C4:AB4,0))="1Y","ANNUAL",(IF(INDEX('STATIC DATA'!C56:AB56,1,MATCH(A1,'STATIC DATA'!C4:AB4,0))="6M","SEMI-ANNUAL", "QUARTERLY")))</f>
        <v>SEMI-ANNUAL</v>
      </c>
      <c r="T56" s="53"/>
      <c r="V56" t="s">
        <v>442</v>
      </c>
      <c r="W56" t="str">
        <f>W50&amp;"_"&amp;W51&amp;"_"&amp;INDEX('STATIC DATA'!$C$56:$AB$56,1,MATCH($W50,'STATIC DATA'!$C$4:$AB$4,0))&amp;"_CURVE_MARKETDATA"</f>
        <v>PLN_SWAP_6M_CURVE_MARKETDATA</v>
      </c>
      <c r="AB56" s="50"/>
      <c r="AC56" s="245" t="s">
        <v>758</v>
      </c>
      <c r="AD56" s="244" t="s">
        <v>46</v>
      </c>
      <c r="AE56" s="53"/>
      <c r="AG56" t="s">
        <v>456</v>
      </c>
      <c r="AH56" t="str">
        <v>3M6MBasis:WIB3M</v>
      </c>
      <c r="AM56" s="50"/>
      <c r="AN56" s="222" t="s">
        <v>779</v>
      </c>
      <c r="AO56" s="216">
        <v>0</v>
      </c>
      <c r="AP56" s="53"/>
      <c r="AX56" s="50"/>
      <c r="AY56" s="222" t="s">
        <v>767</v>
      </c>
      <c r="AZ56" s="216" t="s">
        <v>794</v>
      </c>
      <c r="BA56" s="53"/>
      <c r="BC56" t="s">
        <v>456</v>
      </c>
      <c r="BD56" t="str">
        <v>1M3MBasis:WIB1M</v>
      </c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XccyBasis:PLNDF_USDCSA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FwdFXConstEUR:PLNDF_EURCSA</v>
      </c>
      <c r="CJ56" t="s">
        <v>456</v>
      </c>
      <c r="CK56" t="str">
        <v>FwdFXConstJPY:PLNDF_JPYCSA</v>
      </c>
      <c r="CM56" s="332"/>
      <c r="CN56" s="332"/>
      <c r="CO56" s="398"/>
      <c r="CP56" s="404"/>
      <c r="CQ56" s="404"/>
      <c r="CR56" s="452"/>
      <c r="CS56" s="451"/>
      <c r="CT56" s="544"/>
      <c r="CU56" s="383"/>
      <c r="CV56" s="383"/>
      <c r="CW56" s="544"/>
    </row>
    <row r="57" spans="6:101" x14ac:dyDescent="0.25">
      <c r="K57" t="s">
        <v>664</v>
      </c>
      <c r="L57" t="str">
        <v>0.064000 sec</v>
      </c>
      <c r="Q57" s="50"/>
      <c r="R57" s="222" t="s">
        <v>1150</v>
      </c>
      <c r="S57" s="223" t="s">
        <v>458</v>
      </c>
      <c r="T57" s="53"/>
      <c r="V57" t="s">
        <v>444</v>
      </c>
      <c r="W57" t="str">
        <f>_xll.meLWOCurveMarketDataCreate(W56,V49,V50:W54,"LIBORFIXINGS",V7:X10,"FRAS",V11:X16,"BASISSWAPS",V17:X29,"SWAPS",V30:X42)</f>
        <v>PLN_SWAP_6M_CURVE_MARKETDATA@90:42</v>
      </c>
      <c r="AB57" s="50"/>
      <c r="AC57" s="222" t="s">
        <v>759</v>
      </c>
      <c r="AD57" s="216" t="str">
        <f>INDEX('STATIC DATA'!C55:AB55,1,MATCH($A$1,'STATIC DATA'!C4:AB4,0))</f>
        <v>ACT/365</v>
      </c>
      <c r="AE57" s="53"/>
      <c r="AG57" t="s">
        <v>664</v>
      </c>
      <c r="AH57" t="str">
        <v>0.010000 sec</v>
      </c>
      <c r="AM57" s="50"/>
      <c r="AN57" s="222" t="s">
        <v>780</v>
      </c>
      <c r="AO57" s="216" t="s">
        <v>687</v>
      </c>
      <c r="AP57" s="53"/>
      <c r="AX57" s="50"/>
      <c r="AY57" s="222" t="s">
        <v>768</v>
      </c>
      <c r="AZ57" s="239" t="s">
        <v>794</v>
      </c>
      <c r="BA57" s="53"/>
      <c r="BC57" t="s">
        <v>664</v>
      </c>
      <c r="BD57" t="str">
        <v>0.010000 sec</v>
      </c>
      <c r="BI57" s="50"/>
      <c r="BJ57" s="233" t="s">
        <v>781</v>
      </c>
      <c r="BK57" s="241" t="s">
        <v>810</v>
      </c>
      <c r="BL57" s="53"/>
      <c r="BN57" t="s">
        <v>664</v>
      </c>
      <c r="BO57" t="str">
        <v>0.021000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0.002000 sec</v>
      </c>
      <c r="CM57" s="332"/>
      <c r="CN57" s="332"/>
      <c r="CO57" s="398"/>
      <c r="CP57" s="404"/>
      <c r="CQ57" s="404"/>
      <c r="CR57" s="452"/>
      <c r="CS57" s="451"/>
      <c r="CT57" s="544"/>
      <c r="CU57" s="383"/>
      <c r="CV57" s="383"/>
      <c r="CW57" s="544"/>
    </row>
    <row r="58" spans="6:101" x14ac:dyDescent="0.25">
      <c r="Q58" s="50"/>
      <c r="R58" s="222" t="s">
        <v>826</v>
      </c>
      <c r="S58" s="223" t="s">
        <v>1655</v>
      </c>
      <c r="T58" s="53"/>
      <c r="AB58" s="50"/>
      <c r="AC58" s="222" t="s">
        <v>760</v>
      </c>
      <c r="AD58" s="216" t="str">
        <f>INDEX('STATIC DATA'!C39:AB39,1,MATCH($A$1,'STATIC DATA'!$C$4:$AB$4,0))</f>
        <v>WAB</v>
      </c>
      <c r="AE58" s="53"/>
      <c r="AM58" s="50"/>
      <c r="AN58" s="233" t="s">
        <v>781</v>
      </c>
      <c r="AO58" s="241" t="s">
        <v>782</v>
      </c>
      <c r="AP58" s="53"/>
      <c r="AX58" s="50"/>
      <c r="AY58" s="222" t="s">
        <v>769</v>
      </c>
      <c r="AZ58" s="216" t="s">
        <v>687</v>
      </c>
      <c r="BA58" s="53"/>
      <c r="BD58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M58" s="332"/>
      <c r="CN58" s="332"/>
      <c r="CO58" s="398"/>
      <c r="CP58" s="404"/>
      <c r="CQ58" s="404"/>
      <c r="CR58" s="452"/>
      <c r="CS58" s="451"/>
      <c r="CT58" s="544"/>
      <c r="CU58" s="383"/>
      <c r="CV58" s="383"/>
      <c r="CW58" s="544"/>
    </row>
    <row r="59" spans="6:101" x14ac:dyDescent="0.25">
      <c r="Q59" s="50"/>
      <c r="R59" s="222" t="s">
        <v>707</v>
      </c>
      <c r="S59" s="223" t="s">
        <v>687</v>
      </c>
      <c r="T59" s="53"/>
      <c r="V59" s="2" t="s">
        <v>447</v>
      </c>
      <c r="AB59" s="50"/>
      <c r="AC59" s="225" t="s">
        <v>761</v>
      </c>
      <c r="AD59" s="219" t="s">
        <v>721</v>
      </c>
      <c r="AE59" s="53"/>
      <c r="AM59" s="50"/>
      <c r="AN59" s="222" t="s">
        <v>783</v>
      </c>
      <c r="AO59" s="216" t="s">
        <v>718</v>
      </c>
      <c r="AP59" s="53"/>
      <c r="AX59" s="50"/>
      <c r="AY59" s="225" t="s">
        <v>770</v>
      </c>
      <c r="AZ59" s="219" t="str">
        <f>INDEX('STATIC DATA'!C7:AB7,1,MATCH($A$1,'STATIC DATA'!$C$4:$AB$4,0))</f>
        <v>2D</v>
      </c>
      <c r="BA59" s="53"/>
      <c r="BD59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M59" s="332"/>
      <c r="CN59" s="332"/>
      <c r="CO59" s="398"/>
      <c r="CP59" s="404"/>
      <c r="CQ59" s="404"/>
      <c r="CR59" s="452"/>
      <c r="CS59" s="451"/>
      <c r="CT59" s="544"/>
      <c r="CU59" s="383"/>
      <c r="CV59" s="383"/>
      <c r="CW59" s="544"/>
    </row>
    <row r="60" spans="6:101" x14ac:dyDescent="0.25">
      <c r="Q60" s="50"/>
      <c r="R60" s="222" t="s">
        <v>736</v>
      </c>
      <c r="S60" s="223" t="s">
        <v>718</v>
      </c>
      <c r="T60" s="53"/>
      <c r="V60" t="s">
        <v>442</v>
      </c>
      <c r="W60" t="str">
        <f>W50&amp;"_"&amp;W51&amp;"_"&amp;INDEX('STATIC DATA'!$C$56:$AB$56,1,MATCH($W50,'STATIC DATA'!$C$4:$AB$4,0))&amp;"_CURVE"</f>
        <v>PLN_SWAP_6M_CURVE</v>
      </c>
      <c r="AB60" s="50"/>
      <c r="AC60" s="225" t="s">
        <v>762</v>
      </c>
      <c r="AD60" s="219" t="str">
        <f>INDEX('STATIC DATA'!C39:AB39,1,MATCH($A$1,'STATIC DATA'!$C$4:$AB$4,0))</f>
        <v>WAB</v>
      </c>
      <c r="AE60" s="53"/>
      <c r="AM60" s="50"/>
      <c r="AN60" s="222" t="s">
        <v>784</v>
      </c>
      <c r="AO60" s="216" t="s">
        <v>675</v>
      </c>
      <c r="AP60" s="53"/>
      <c r="AX60" s="50"/>
      <c r="AY60" s="234" t="s">
        <v>771</v>
      </c>
      <c r="AZ60" s="248" t="s">
        <v>714</v>
      </c>
      <c r="BA60" s="249" t="s">
        <v>801</v>
      </c>
      <c r="BD60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M60" s="332"/>
      <c r="CN60" s="332"/>
      <c r="CO60" s="398"/>
      <c r="CP60" s="404"/>
      <c r="CQ60" s="404"/>
      <c r="CR60" s="452"/>
      <c r="CS60" s="451"/>
      <c r="CT60" s="544"/>
      <c r="CU60" s="383"/>
      <c r="CV60" s="383"/>
      <c r="CW60" s="544"/>
    </row>
    <row r="61" spans="6:101" x14ac:dyDescent="0.25">
      <c r="Q61" s="50"/>
      <c r="R61" s="222" t="s">
        <v>737</v>
      </c>
      <c r="S61" s="223">
        <v>31</v>
      </c>
      <c r="T61" s="53"/>
      <c r="V61" t="s">
        <v>450</v>
      </c>
      <c r="W61" t="str">
        <f>S8</f>
        <v>PLN_SWAP_6M@364:6</v>
      </c>
      <c r="AB61" s="50"/>
      <c r="AC61" s="225" t="s">
        <v>763</v>
      </c>
      <c r="AD61" s="219" t="str">
        <f>INDEX('STATIC DATA'!C7:AB7,1,MATCH($A$1,'STATIC DATA'!C4:AB4,0))</f>
        <v>2D</v>
      </c>
      <c r="AE61" s="53"/>
      <c r="AM61" s="50"/>
      <c r="AN61" s="222" t="s">
        <v>785</v>
      </c>
      <c r="AO61" s="216" t="s">
        <v>718</v>
      </c>
      <c r="AP61" s="53"/>
      <c r="AX61" s="50"/>
      <c r="AY61" s="234" t="s">
        <v>772</v>
      </c>
      <c r="AZ61" s="242" t="s">
        <v>426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O61" s="397"/>
      <c r="CP61" s="403"/>
      <c r="CQ61" s="403"/>
      <c r="CR61" s="451"/>
      <c r="CS61" s="451"/>
      <c r="CT61" s="544"/>
      <c r="CU61" s="383"/>
      <c r="CV61" s="383"/>
      <c r="CW61" s="544"/>
    </row>
    <row r="62" spans="6:101" x14ac:dyDescent="0.25">
      <c r="Q62" s="50"/>
      <c r="R62" s="222" t="s">
        <v>738</v>
      </c>
      <c r="S62" s="223" t="s">
        <v>718</v>
      </c>
      <c r="T62" s="53"/>
      <c r="V62" t="s">
        <v>452</v>
      </c>
      <c r="W62" t="str">
        <f>$A$1&amp;"YC"</f>
        <v>PLNYC</v>
      </c>
      <c r="AB62" s="50"/>
      <c r="AC62" s="220" t="s">
        <v>764</v>
      </c>
      <c r="AD62" s="238" t="s">
        <v>687</v>
      </c>
      <c r="AE62" s="53"/>
      <c r="AM62" s="50"/>
      <c r="AN62" s="233" t="s">
        <v>786</v>
      </c>
      <c r="AO62" s="246" t="s">
        <v>322</v>
      </c>
      <c r="AP62" s="53"/>
      <c r="AX62" s="50"/>
      <c r="AY62" s="245" t="s">
        <v>774</v>
      </c>
      <c r="AZ62" s="244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O62" s="397"/>
      <c r="CP62" s="403"/>
      <c r="CQ62" s="403"/>
      <c r="CR62" s="451"/>
      <c r="CS62" s="451"/>
      <c r="CT62" s="544"/>
      <c r="CU62" s="383"/>
      <c r="CV62" s="383"/>
      <c r="CW62" s="544"/>
    </row>
    <row r="63" spans="6:101" x14ac:dyDescent="0.25">
      <c r="Q63" s="50"/>
      <c r="R63" s="222" t="s">
        <v>740</v>
      </c>
      <c r="S63" s="223" t="s">
        <v>718</v>
      </c>
      <c r="T63" s="53"/>
      <c r="V63" t="s">
        <v>453</v>
      </c>
      <c r="AB63" s="50"/>
      <c r="AC63" s="222" t="s">
        <v>765</v>
      </c>
      <c r="AD63" s="216" t="str">
        <f>INDEX('STATIC DATA'!C39:AB39,1,MATCH($A$1,'STATIC DATA'!$C$4:$AB$4,0))</f>
        <v>WAB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775</v>
      </c>
      <c r="AZ63" s="216" t="str">
        <f>INDEX('STATIC DATA'!C55:AB55,1,MATCH($A$1,'STATIC DATA'!C4:AB4,0))</f>
        <v>ACT/365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O63" s="397"/>
      <c r="CP63" s="403"/>
      <c r="CQ63" s="403"/>
      <c r="CR63" s="451"/>
      <c r="CS63" s="451"/>
      <c r="CT63" s="544"/>
      <c r="CU63" s="383"/>
      <c r="CV63" s="383"/>
      <c r="CW63" s="544"/>
    </row>
    <row r="64" spans="6:101" x14ac:dyDescent="0.25">
      <c r="Q64" s="50"/>
      <c r="R64" s="222" t="s">
        <v>697</v>
      </c>
      <c r="S64" s="224">
        <v>1.0000000000000001E-9</v>
      </c>
      <c r="T64" s="53"/>
      <c r="AB64" s="50"/>
      <c r="AC64" s="222" t="s">
        <v>766</v>
      </c>
      <c r="AD64" s="216" t="str">
        <f>INDEX('STATIC DATA'!C55:AB55,1,MATCH($A$1,'STATIC DATA'!C4:AB4,0))</f>
        <v>ACT/365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2" t="s">
        <v>776</v>
      </c>
      <c r="AZ64" s="216" t="str">
        <f>INDEX('STATIC DATA'!C39:AB39,1,MATCH($A$1,'STATIC DATA'!$C$4:$AB$4,0))</f>
        <v>WAB</v>
      </c>
      <c r="BA64" s="53"/>
      <c r="BI64" s="50"/>
      <c r="BJ64" s="233" t="s">
        <v>786</v>
      </c>
      <c r="BK64" s="246" t="s">
        <v>49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O64" s="397"/>
      <c r="CP64" s="403"/>
      <c r="CQ64" s="403"/>
      <c r="CR64" s="451"/>
      <c r="CS64" s="451"/>
      <c r="CT64" s="544"/>
      <c r="CU64" s="383"/>
      <c r="CV64" s="383"/>
      <c r="CW64" s="544"/>
    </row>
    <row r="65" spans="17:102" x14ac:dyDescent="0.25">
      <c r="Q65" s="50"/>
      <c r="R65" s="222" t="s">
        <v>698</v>
      </c>
      <c r="S65" s="223">
        <v>1000</v>
      </c>
      <c r="T65" s="53"/>
      <c r="V65" s="2" t="s">
        <v>454</v>
      </c>
      <c r="AB65" s="50"/>
      <c r="AC65" s="222" t="s">
        <v>767</v>
      </c>
      <c r="AD65" s="216" t="s">
        <v>458</v>
      </c>
      <c r="AE65" s="53"/>
      <c r="AM65" s="50"/>
      <c r="AN65" s="225" t="s">
        <v>698</v>
      </c>
      <c r="AO65" s="219">
        <v>1000</v>
      </c>
      <c r="AP65" s="53"/>
      <c r="AX65" s="50"/>
      <c r="AY65" s="222" t="s">
        <v>777</v>
      </c>
      <c r="AZ65" s="216" t="s">
        <v>721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O65" s="397"/>
      <c r="CP65" s="403"/>
      <c r="CQ65" s="403"/>
      <c r="CR65" s="451"/>
      <c r="CS65" s="451"/>
      <c r="CT65" s="544"/>
      <c r="CU65" s="383"/>
      <c r="CV65" s="383"/>
      <c r="CW65" s="544"/>
    </row>
    <row r="66" spans="17:102" x14ac:dyDescent="0.25">
      <c r="Q66" s="50"/>
      <c r="R66" s="222" t="s">
        <v>739</v>
      </c>
      <c r="S66" s="223" t="str">
        <f>INDEX('STATIC DATA'!C7:AB7,1,MATCH($A$1,'STATIC DATA'!$C$4:$AB$4,0))</f>
        <v>2D</v>
      </c>
      <c r="T66" s="53"/>
      <c r="V66" t="s">
        <v>442</v>
      </c>
      <c r="W66" s="684" t="str">
        <f t="array" ref="W66:W69">IF(ExistsPLNOIS,_xll.meLWOCurveCalibrate(W60,W61,W57,W62),"LOAD DEPENDENCY")</f>
        <v>PLN_SWAP_6M_CURVE@464:10</v>
      </c>
      <c r="AB66" s="50"/>
      <c r="AC66" s="222" t="s">
        <v>768</v>
      </c>
      <c r="AD66" s="239" t="str">
        <f>AD65</f>
        <v>QUARTERLY</v>
      </c>
      <c r="AE66" s="53"/>
      <c r="AM66" s="50"/>
      <c r="AN66" s="225" t="s">
        <v>788</v>
      </c>
      <c r="AO66" s="219" t="s">
        <v>720</v>
      </c>
      <c r="AP66" s="53"/>
      <c r="AX66" s="50"/>
      <c r="AY66" s="222" t="s">
        <v>778</v>
      </c>
      <c r="AZ66" s="216" t="str">
        <f>INDEX('STATIC DATA'!C39:AB39,1,MATCH($A$1,'STATIC DATA'!$C$4:$AB$4,0))</f>
        <v>WAB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O66" s="397"/>
      <c r="CP66" s="403"/>
      <c r="CQ66" s="403"/>
      <c r="CR66" s="451"/>
      <c r="CS66" s="451"/>
      <c r="CT66" s="544"/>
      <c r="CU66" s="383"/>
      <c r="CV66" s="383"/>
      <c r="CW66" s="544"/>
    </row>
    <row r="67" spans="17:102" x14ac:dyDescent="0.25">
      <c r="Q67" s="50"/>
      <c r="R67" s="222" t="s">
        <v>1152</v>
      </c>
      <c r="S67" s="223" t="s">
        <v>459</v>
      </c>
      <c r="T67" s="53"/>
      <c r="V67" t="s">
        <v>455</v>
      </c>
      <c r="W67" s="206" t="str">
        <v>PLNYC</v>
      </c>
      <c r="AB67" s="50"/>
      <c r="AC67" s="222" t="s">
        <v>769</v>
      </c>
      <c r="AD67" s="216" t="s">
        <v>687</v>
      </c>
      <c r="AE67" s="53"/>
      <c r="AM67" s="50"/>
      <c r="AN67" s="225" t="s">
        <v>789</v>
      </c>
      <c r="AO67" s="219" t="s">
        <v>718</v>
      </c>
      <c r="AP67" s="53"/>
      <c r="AX67" s="50"/>
      <c r="AY67" s="222" t="s">
        <v>779</v>
      </c>
      <c r="AZ67" s="216" t="str">
        <f>INDEX('STATIC DATA'!C7:AB7,1,MATCH($A$1,'STATIC DATA'!$C$4:$AB$4,0))</f>
        <v>2D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O67" s="397"/>
      <c r="CP67" s="403"/>
      <c r="CQ67" s="403"/>
      <c r="CR67" s="451"/>
      <c r="CS67" s="451"/>
      <c r="CT67" s="544"/>
      <c r="CU67" s="383"/>
      <c r="CV67" s="383"/>
      <c r="CW67" s="544"/>
    </row>
    <row r="68" spans="17:102" x14ac:dyDescent="0.25">
      <c r="Q68" s="50"/>
      <c r="R68" s="225"/>
      <c r="S68" s="226"/>
      <c r="T68" s="53"/>
      <c r="V68" t="s">
        <v>456</v>
      </c>
      <c r="W68" s="206" t="str">
        <v>STD:WIB6M</v>
      </c>
      <c r="AB68" s="50"/>
      <c r="AC68" s="225" t="s">
        <v>770</v>
      </c>
      <c r="AD68" s="219" t="str">
        <f>INDEX('STATIC DATA'!C7:AB7,1,MATCH($A$1,'STATIC DATA'!C4:AB4,0))</f>
        <v>2D</v>
      </c>
      <c r="AE68" s="53"/>
      <c r="AM68" s="50"/>
      <c r="AN68" s="225" t="s">
        <v>688</v>
      </c>
      <c r="AO68" s="219">
        <v>31</v>
      </c>
      <c r="AP68" s="53"/>
      <c r="AX68" s="50"/>
      <c r="AY68" s="222" t="s">
        <v>780</v>
      </c>
      <c r="AZ68" s="216" t="s">
        <v>687</v>
      </c>
      <c r="BA68" s="53"/>
      <c r="BI68" s="50"/>
      <c r="BJ68" s="225" t="s">
        <v>677</v>
      </c>
      <c r="BK68" s="240" t="str">
        <f>INDEX('STATIC DATA'!C30:AB30,1,MATCH($A$1,'STATIC DATA'!$C$4:$AB$4,0))</f>
        <v>WAB:TGT:LNB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O68" s="397"/>
      <c r="CP68" s="403"/>
      <c r="CQ68" s="403"/>
      <c r="CR68" s="451"/>
      <c r="CS68" s="451"/>
      <c r="CT68" s="544"/>
      <c r="CU68" s="383"/>
      <c r="CV68" s="383"/>
      <c r="CW68" s="544"/>
      <c r="CX68" s="206"/>
    </row>
    <row r="69" spans="17:102" x14ac:dyDescent="0.25">
      <c r="Q69" s="50"/>
      <c r="R69" s="52"/>
      <c r="S69" s="52"/>
      <c r="T69" s="53"/>
      <c r="V69" t="s">
        <v>664</v>
      </c>
      <c r="W69" s="206" t="str">
        <v>0.009000 sec</v>
      </c>
      <c r="AB69" s="50"/>
      <c r="AC69" s="234" t="s">
        <v>771</v>
      </c>
      <c r="AD69" s="242" t="s">
        <v>714</v>
      </c>
      <c r="AE69" s="53"/>
      <c r="AM69" s="50"/>
      <c r="AN69" s="85"/>
      <c r="AO69" s="85"/>
      <c r="AP69" s="53"/>
      <c r="AX69" s="50"/>
      <c r="AY69" s="233" t="s">
        <v>781</v>
      </c>
      <c r="AZ69" s="241" t="s">
        <v>791</v>
      </c>
      <c r="BA69" s="53"/>
      <c r="BI69" s="50"/>
      <c r="BJ69" s="225" t="s">
        <v>683</v>
      </c>
      <c r="BK69" s="257" t="str">
        <f>INDEX('STATIC DATA'!C19:AB19,1,MATCH($A$1,'STATIC DATA'!$C$4:$AB$4,0))</f>
        <v>2d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O69" s="397"/>
      <c r="CP69" s="403"/>
      <c r="CQ69" s="403"/>
      <c r="CR69" s="451"/>
      <c r="CS69" s="451"/>
      <c r="CT69" s="544"/>
      <c r="CU69" s="383"/>
      <c r="CV69" s="383"/>
      <c r="CW69" s="544"/>
      <c r="CX69" s="206"/>
    </row>
    <row r="70" spans="17:102" x14ac:dyDescent="0.25">
      <c r="Q70" s="50"/>
      <c r="R70" s="54" t="s">
        <v>467</v>
      </c>
      <c r="S70" s="85" t="s">
        <v>713</v>
      </c>
      <c r="T70" s="53"/>
      <c r="AB70" s="50"/>
      <c r="AC70" s="234" t="s">
        <v>772</v>
      </c>
      <c r="AD70" s="242" t="s">
        <v>426</v>
      </c>
      <c r="AE70" s="53"/>
      <c r="AM70" s="50"/>
      <c r="AN70" s="85"/>
      <c r="AO70" s="85"/>
      <c r="AP70" s="53"/>
      <c r="AX70" s="50"/>
      <c r="AY70" s="222" t="s">
        <v>783</v>
      </c>
      <c r="AZ70" s="216" t="s">
        <v>718</v>
      </c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O70" s="397"/>
      <c r="CP70" s="403"/>
      <c r="CQ70" s="403"/>
      <c r="CR70" s="451"/>
      <c r="CS70" s="451"/>
      <c r="CT70" s="544"/>
      <c r="CU70" s="383"/>
      <c r="CV70" s="383"/>
      <c r="CW70" s="544"/>
      <c r="CX70" s="206"/>
    </row>
    <row r="71" spans="17:102" x14ac:dyDescent="0.25">
      <c r="Q71" s="50"/>
      <c r="R71" s="233" t="s">
        <v>750</v>
      </c>
      <c r="S71" s="230" t="s">
        <v>720</v>
      </c>
      <c r="T71" s="53"/>
      <c r="AB71" s="50"/>
      <c r="AC71" s="245" t="s">
        <v>774</v>
      </c>
      <c r="AD71" s="244" t="s">
        <v>49</v>
      </c>
      <c r="AE71" s="53"/>
      <c r="AM71" s="50"/>
      <c r="AN71" s="85"/>
      <c r="AO71" s="85"/>
      <c r="AP71" s="53"/>
      <c r="AX71" s="50"/>
      <c r="AY71" s="222" t="s">
        <v>784</v>
      </c>
      <c r="AZ71" s="216" t="s">
        <v>675</v>
      </c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O71" s="397"/>
      <c r="CP71" s="403"/>
      <c r="CQ71" s="403"/>
      <c r="CR71" s="451"/>
      <c r="CS71" s="451"/>
      <c r="CT71" s="544"/>
      <c r="CU71" s="383"/>
      <c r="CV71" s="383"/>
      <c r="CW71" s="544"/>
      <c r="CX71" s="206"/>
    </row>
    <row r="72" spans="17:102" x14ac:dyDescent="0.25">
      <c r="Q72" s="50"/>
      <c r="R72" s="222" t="s">
        <v>751</v>
      </c>
      <c r="S72" s="216" t="str">
        <f>INDEX('STATIC DATA'!C43:AB43,1,MATCH($A$1,'STATIC DATA'!$C$4:$AB$4,0))</f>
        <v>WAB</v>
      </c>
      <c r="T72" s="53"/>
      <c r="AB72" s="50"/>
      <c r="AC72" s="222" t="s">
        <v>775</v>
      </c>
      <c r="AD72" s="216" t="str">
        <f>INDEX('STATIC DATA'!C55:AB55,1,MATCH($A$1,'STATIC DATA'!C4:AB4,0))</f>
        <v>ACT/365</v>
      </c>
      <c r="AE72" s="53"/>
      <c r="AM72" s="50"/>
      <c r="AN72" s="85"/>
      <c r="AO72" s="85"/>
      <c r="AP72" s="53"/>
      <c r="AX72" s="50"/>
      <c r="AY72" s="222" t="s">
        <v>785</v>
      </c>
      <c r="AZ72" s="216" t="s">
        <v>718</v>
      </c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O72" s="397"/>
      <c r="CP72" s="403"/>
      <c r="CQ72" s="403"/>
      <c r="CR72" s="451"/>
      <c r="CS72" s="451"/>
      <c r="CT72" s="544"/>
      <c r="CU72" s="383"/>
      <c r="CV72" s="383"/>
      <c r="CW72" s="544"/>
      <c r="CX72" s="206"/>
    </row>
    <row r="73" spans="17:102" x14ac:dyDescent="0.25">
      <c r="Q73" s="50"/>
      <c r="R73" s="222" t="s">
        <v>752</v>
      </c>
      <c r="S73" s="216" t="str">
        <f>INDEX('STATIC DATA'!C59:AB59,1,MATCH($A$1,'STATIC DATA'!C4:AF4,0))</f>
        <v>ACT/365</v>
      </c>
      <c r="T73" s="53"/>
      <c r="AB73" s="50"/>
      <c r="AC73" s="222" t="s">
        <v>776</v>
      </c>
      <c r="AD73" s="216" t="str">
        <f>INDEX('STATIC DATA'!C39:AB39,1,MATCH($A$1,'STATIC DATA'!$C$4:$AB$4,0))</f>
        <v>WAB</v>
      </c>
      <c r="AE73" s="53"/>
      <c r="AM73" s="50"/>
      <c r="AN73" s="85"/>
      <c r="AO73" s="85"/>
      <c r="AP73" s="53"/>
      <c r="AX73" s="50"/>
      <c r="AY73" s="233" t="s">
        <v>786</v>
      </c>
      <c r="AZ73" s="246" t="s">
        <v>300</v>
      </c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O73" s="397"/>
      <c r="CP73" s="403"/>
      <c r="CQ73" s="403"/>
      <c r="CR73" s="451"/>
      <c r="CS73" s="451"/>
      <c r="CT73" s="544"/>
      <c r="CU73" s="383"/>
      <c r="CV73" s="383"/>
      <c r="CW73" s="544"/>
      <c r="CX73" s="206"/>
    </row>
    <row r="74" spans="17:102" x14ac:dyDescent="0.25">
      <c r="Q74" s="50"/>
      <c r="R74" s="225" t="s">
        <v>753</v>
      </c>
      <c r="S74" s="219" t="s">
        <v>459</v>
      </c>
      <c r="T74" s="53"/>
      <c r="AB74" s="50"/>
      <c r="AC74" s="222" t="s">
        <v>777</v>
      </c>
      <c r="AD74" s="216" t="s">
        <v>721</v>
      </c>
      <c r="AE74" s="53"/>
      <c r="AM74" s="50"/>
      <c r="AN74" s="85"/>
      <c r="AO74" s="85"/>
      <c r="AP74" s="53"/>
      <c r="AX74" s="50"/>
      <c r="AY74" s="222" t="s">
        <v>787</v>
      </c>
      <c r="AZ74" s="216" t="s">
        <v>720</v>
      </c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O74" s="397"/>
      <c r="CP74" s="403"/>
      <c r="CQ74" s="403"/>
      <c r="CR74" s="451"/>
      <c r="CS74" s="451"/>
      <c r="CT74" s="544"/>
      <c r="CX74" s="206"/>
    </row>
    <row r="75" spans="17:102" x14ac:dyDescent="0.25">
      <c r="Q75" s="50"/>
      <c r="R75" s="222" t="s">
        <v>754</v>
      </c>
      <c r="S75" s="216" t="s">
        <v>687</v>
      </c>
      <c r="T75" s="53"/>
      <c r="AB75" s="50"/>
      <c r="AC75" s="222" t="s">
        <v>778</v>
      </c>
      <c r="AD75" s="216" t="str">
        <f>INDEX('STATIC DATA'!C39:AB39,1,MATCH($A$1,'STATIC DATA'!$C$4:$AB$4,0))</f>
        <v>WAB</v>
      </c>
      <c r="AE75" s="53"/>
      <c r="AM75" s="50"/>
      <c r="AN75" s="85"/>
      <c r="AO75" s="85"/>
      <c r="AP75" s="53"/>
      <c r="AX75" s="50"/>
      <c r="AY75" s="225" t="s">
        <v>697</v>
      </c>
      <c r="AZ75" s="240">
        <v>1.0000000000000003E-9</v>
      </c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O75" s="397"/>
      <c r="CP75" s="403"/>
      <c r="CQ75" s="403"/>
      <c r="CR75" s="451"/>
      <c r="CS75" s="451"/>
      <c r="CT75" s="544"/>
      <c r="CX75" s="206"/>
    </row>
    <row r="76" spans="17:102" x14ac:dyDescent="0.25">
      <c r="Q76" s="50"/>
      <c r="R76" s="222" t="s">
        <v>755</v>
      </c>
      <c r="S76" s="216" t="str">
        <f>INDEX('STATIC DATA'!C7:AB7,1,MATCH($A$1,'STATIC DATA'!$C$4:$AB$4,0))</f>
        <v>2D</v>
      </c>
      <c r="T76" s="53"/>
      <c r="AB76" s="50"/>
      <c r="AC76" s="222" t="s">
        <v>779</v>
      </c>
      <c r="AD76" s="216" t="str">
        <f>INDEX('STATIC DATA'!C7:AB7,1,MATCH($A$1,'STATIC DATA'!C4:AB4,0))</f>
        <v>2D</v>
      </c>
      <c r="AE76" s="53"/>
      <c r="AM76" s="50"/>
      <c r="AN76" s="85"/>
      <c r="AO76" s="85"/>
      <c r="AP76" s="53"/>
      <c r="AX76" s="50"/>
      <c r="AY76" s="225" t="s">
        <v>698</v>
      </c>
      <c r="AZ76" s="219">
        <v>1000</v>
      </c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O76" s="397"/>
      <c r="CP76" s="403"/>
      <c r="CQ76" s="403"/>
      <c r="CR76" s="451"/>
      <c r="CS76" s="451"/>
      <c r="CT76" s="544"/>
      <c r="CX76" s="206"/>
    </row>
    <row r="77" spans="17:102" x14ac:dyDescent="0.25">
      <c r="Q77" s="50"/>
      <c r="R77" s="245" t="s">
        <v>756</v>
      </c>
      <c r="S77" s="247" t="s">
        <v>714</v>
      </c>
      <c r="T77" s="53"/>
      <c r="AB77" s="50"/>
      <c r="AC77" s="222" t="s">
        <v>780</v>
      </c>
      <c r="AD77" s="216" t="s">
        <v>687</v>
      </c>
      <c r="AE77" s="53"/>
      <c r="AM77" s="50"/>
      <c r="AN77" s="85"/>
      <c r="AO77" s="85"/>
      <c r="AP77" s="53"/>
      <c r="AX77" s="50"/>
      <c r="AY77" s="225" t="s">
        <v>788</v>
      </c>
      <c r="AZ77" s="219" t="s">
        <v>720</v>
      </c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O77" s="397"/>
      <c r="CP77" s="403"/>
      <c r="CQ77" s="403"/>
      <c r="CR77" s="451"/>
      <c r="CS77" s="451"/>
      <c r="CT77" s="544"/>
      <c r="CX77" s="206"/>
    </row>
    <row r="78" spans="17:102" x14ac:dyDescent="0.25">
      <c r="Q78" s="50"/>
      <c r="R78" s="233" t="s">
        <v>757</v>
      </c>
      <c r="S78" s="229" t="s">
        <v>426</v>
      </c>
      <c r="T78" s="53"/>
      <c r="AB78" s="50"/>
      <c r="AC78" s="233" t="s">
        <v>781</v>
      </c>
      <c r="AD78" s="241" t="s">
        <v>791</v>
      </c>
      <c r="AE78" s="53"/>
      <c r="AM78" s="50"/>
      <c r="AN78" s="85"/>
      <c r="AO78" s="85"/>
      <c r="AP78" s="53"/>
      <c r="AX78" s="50"/>
      <c r="AY78" s="225" t="s">
        <v>789</v>
      </c>
      <c r="AZ78" s="219" t="s">
        <v>718</v>
      </c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O78" s="397"/>
      <c r="CP78" s="403"/>
      <c r="CQ78" s="403"/>
      <c r="CR78" s="451"/>
      <c r="CS78" s="451"/>
      <c r="CT78" s="544"/>
      <c r="CX78" s="206"/>
    </row>
    <row r="79" spans="17:102" x14ac:dyDescent="0.25">
      <c r="Q79" s="50"/>
      <c r="R79" s="245" t="s">
        <v>758</v>
      </c>
      <c r="S79" s="244" t="s">
        <v>46</v>
      </c>
      <c r="T79" s="53"/>
      <c r="AB79" s="50"/>
      <c r="AC79" s="222" t="s">
        <v>783</v>
      </c>
      <c r="AD79" s="216" t="s">
        <v>718</v>
      </c>
      <c r="AE79" s="53"/>
      <c r="AM79" s="50"/>
      <c r="AN79" s="85"/>
      <c r="AO79" s="85"/>
      <c r="AP79" s="53"/>
      <c r="AX79" s="50"/>
      <c r="AY79" s="225" t="s">
        <v>688</v>
      </c>
      <c r="AZ79" s="219">
        <v>31</v>
      </c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O79" s="397"/>
      <c r="CP79" s="403"/>
      <c r="CQ79" s="403"/>
      <c r="CR79" s="451"/>
      <c r="CS79" s="451"/>
      <c r="CT79" s="544"/>
      <c r="CX79" s="206"/>
    </row>
    <row r="80" spans="17:102" x14ac:dyDescent="0.25">
      <c r="Q80" s="50"/>
      <c r="R80" s="222" t="s">
        <v>759</v>
      </c>
      <c r="S80" s="216" t="str">
        <f>INDEX('STATIC DATA'!C59:AB59,1,MATCH($A$1,'STATIC DATA'!C4:AF4,0))</f>
        <v>ACT/365</v>
      </c>
      <c r="T80" s="53"/>
      <c r="AB80" s="50"/>
      <c r="AC80" s="222" t="s">
        <v>784</v>
      </c>
      <c r="AD80" s="216" t="s">
        <v>675</v>
      </c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O80" s="397"/>
      <c r="CP80" s="403"/>
      <c r="CQ80" s="403"/>
      <c r="CR80" s="451"/>
      <c r="CS80" s="451"/>
      <c r="CT80" s="544"/>
      <c r="CX80" s="206"/>
    </row>
    <row r="81" spans="17:102" x14ac:dyDescent="0.25">
      <c r="Q81" s="50"/>
      <c r="R81" s="222" t="s">
        <v>760</v>
      </c>
      <c r="S81" s="216" t="str">
        <f>INDEX('STATIC DATA'!C43:AB43,1,MATCH($A$1,'STATIC DATA'!$C$4:$AB$4,0))</f>
        <v>WAB</v>
      </c>
      <c r="T81" s="53"/>
      <c r="AB81" s="50"/>
      <c r="AC81" s="222" t="s">
        <v>785</v>
      </c>
      <c r="AD81" s="216" t="s">
        <v>718</v>
      </c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O81" s="397"/>
      <c r="CP81" s="403"/>
      <c r="CQ81" s="403"/>
      <c r="CR81" s="451"/>
      <c r="CS81" s="451"/>
      <c r="CT81" s="544"/>
      <c r="CX81" s="206"/>
    </row>
    <row r="82" spans="17:102" x14ac:dyDescent="0.25">
      <c r="Q82" s="50"/>
      <c r="R82" s="225" t="s">
        <v>761</v>
      </c>
      <c r="S82" s="219" t="s">
        <v>721</v>
      </c>
      <c r="T82" s="53"/>
      <c r="AB82" s="50"/>
      <c r="AC82" s="233" t="s">
        <v>786</v>
      </c>
      <c r="AD82" s="246" t="s">
        <v>49</v>
      </c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O82" s="397"/>
      <c r="CP82" s="403"/>
      <c r="CQ82" s="403"/>
      <c r="CR82" s="451"/>
      <c r="CS82" s="451"/>
      <c r="CT82" s="544"/>
      <c r="CX82" s="206"/>
    </row>
    <row r="83" spans="17:102" x14ac:dyDescent="0.25">
      <c r="Q83" s="50"/>
      <c r="R83" s="225" t="s">
        <v>762</v>
      </c>
      <c r="S83" s="219" t="str">
        <f>INDEX('STATIC DATA'!C43:AB43,1,MATCH($A$1,'STATIC DATA'!$C$4:$AB$4,0))</f>
        <v>WAB</v>
      </c>
      <c r="T83" s="53"/>
      <c r="AB83" s="50"/>
      <c r="AC83" s="222" t="s">
        <v>787</v>
      </c>
      <c r="AD83" s="216" t="s">
        <v>720</v>
      </c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O83" s="397"/>
      <c r="CP83" s="403"/>
      <c r="CQ83" s="403"/>
      <c r="CR83" s="451"/>
      <c r="CS83" s="451"/>
      <c r="CT83" s="544"/>
      <c r="CX83" s="206"/>
    </row>
    <row r="84" spans="17:102" x14ac:dyDescent="0.25">
      <c r="Q84" s="50"/>
      <c r="R84" s="225" t="s">
        <v>763</v>
      </c>
      <c r="S84" s="219" t="str">
        <f>INDEX('STATIC DATA'!C7:AB7,1,MATCH($A$1,'STATIC DATA'!$C$4:$AB$4,0))</f>
        <v>2D</v>
      </c>
      <c r="T84" s="53"/>
      <c r="AB84" s="50"/>
      <c r="AC84" s="225" t="s">
        <v>697</v>
      </c>
      <c r="AD84" s="240">
        <v>1.0000000000000003E-9</v>
      </c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332"/>
      <c r="CE84" s="332"/>
      <c r="CF84" s="299"/>
      <c r="CG84" s="299"/>
      <c r="CH84" s="299"/>
      <c r="CI84" s="299"/>
      <c r="CJ84" s="299"/>
      <c r="CK84" s="299"/>
      <c r="CL84" s="299"/>
      <c r="CO84" s="397"/>
      <c r="CP84" s="403"/>
      <c r="CQ84" s="403"/>
      <c r="CR84" s="451"/>
      <c r="CS84" s="451"/>
      <c r="CT84" s="544"/>
      <c r="CX84" s="206"/>
    </row>
    <row r="85" spans="17:102" x14ac:dyDescent="0.25">
      <c r="Q85" s="50"/>
      <c r="R85" s="220" t="s">
        <v>764</v>
      </c>
      <c r="S85" s="238" t="s">
        <v>687</v>
      </c>
      <c r="T85" s="53"/>
      <c r="AB85" s="50"/>
      <c r="AC85" s="225" t="s">
        <v>698</v>
      </c>
      <c r="AD85" s="219">
        <v>1000</v>
      </c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O85" s="397"/>
      <c r="CP85" s="403"/>
      <c r="CQ85" s="403"/>
      <c r="CR85" s="451"/>
      <c r="CS85" s="451"/>
      <c r="CT85" s="544"/>
      <c r="CX85" s="206"/>
    </row>
    <row r="86" spans="17:102" x14ac:dyDescent="0.25">
      <c r="Q86" s="50"/>
      <c r="R86" s="222" t="s">
        <v>765</v>
      </c>
      <c r="S86" s="216" t="str">
        <f>INDEX('STATIC DATA'!C43:AB43,1,MATCH($A$1,'STATIC DATA'!$C$4:$AB$4,0))</f>
        <v>WAB</v>
      </c>
      <c r="T86" s="53"/>
      <c r="AB86" s="50"/>
      <c r="AC86" s="225" t="s">
        <v>788</v>
      </c>
      <c r="AD86" s="219" t="s">
        <v>720</v>
      </c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O86" s="397"/>
      <c r="CP86" s="403"/>
      <c r="CQ86" s="403"/>
      <c r="CR86" s="451"/>
      <c r="CS86" s="451"/>
      <c r="CT86" s="544"/>
      <c r="CX86" s="206"/>
    </row>
    <row r="87" spans="17:102" x14ac:dyDescent="0.25">
      <c r="Q87" s="50"/>
      <c r="R87" s="222" t="s">
        <v>766</v>
      </c>
      <c r="S87" s="216" t="str">
        <f>INDEX('STATIC DATA'!C59:AB59,1,MATCH($A$1,'STATIC DATA'!C4:AF4,0))</f>
        <v>ACT/365</v>
      </c>
      <c r="T87" s="53"/>
      <c r="AB87" s="50"/>
      <c r="AC87" s="225" t="s">
        <v>789</v>
      </c>
      <c r="AD87" s="219" t="s">
        <v>718</v>
      </c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O87" s="397"/>
      <c r="CP87" s="403"/>
      <c r="CQ87" s="403"/>
      <c r="CR87" s="451"/>
      <c r="CS87" s="451"/>
      <c r="CT87" s="544"/>
      <c r="CX87" s="206"/>
    </row>
    <row r="88" spans="17:102" x14ac:dyDescent="0.25">
      <c r="Q88" s="50"/>
      <c r="R88" s="222" t="s">
        <v>767</v>
      </c>
      <c r="S88" s="216" t="s">
        <v>458</v>
      </c>
      <c r="T88" s="53"/>
      <c r="AB88" s="50"/>
      <c r="AC88" s="225" t="s">
        <v>688</v>
      </c>
      <c r="AD88" s="219">
        <v>31</v>
      </c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O88" s="397"/>
      <c r="CP88" s="403"/>
      <c r="CQ88" s="403"/>
      <c r="CR88" s="451"/>
      <c r="CS88" s="451"/>
      <c r="CT88" s="544"/>
      <c r="CX88" s="206"/>
    </row>
    <row r="89" spans="17:102" x14ac:dyDescent="0.25">
      <c r="Q89" s="50"/>
      <c r="R89" s="222" t="s">
        <v>769</v>
      </c>
      <c r="S89" s="216" t="s">
        <v>687</v>
      </c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O89" s="397"/>
      <c r="CP89" s="403"/>
      <c r="CQ89" s="403"/>
      <c r="CR89" s="451"/>
      <c r="CS89" s="451"/>
      <c r="CT89" s="544"/>
      <c r="CX89" s="206"/>
    </row>
    <row r="90" spans="17:102" x14ac:dyDescent="0.25">
      <c r="Q90" s="50"/>
      <c r="R90" s="225" t="s">
        <v>770</v>
      </c>
      <c r="S90" s="219" t="str">
        <f>INDEX('STATIC DATA'!C7:AB7,1,MATCH($A$1,'STATIC DATA'!$C$4:$AB$4,0))</f>
        <v>2D</v>
      </c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O90" s="397"/>
      <c r="CP90" s="403"/>
      <c r="CQ90" s="403"/>
      <c r="CR90" s="451"/>
      <c r="CS90" s="451"/>
      <c r="CT90" s="544"/>
      <c r="CX90" s="206"/>
    </row>
    <row r="91" spans="17:102" x14ac:dyDescent="0.25">
      <c r="Q91" s="50"/>
      <c r="R91" s="234" t="s">
        <v>771</v>
      </c>
      <c r="S91" s="242" t="s">
        <v>957</v>
      </c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O91" s="397"/>
      <c r="CP91" s="403"/>
      <c r="CQ91" s="403"/>
      <c r="CR91" s="451"/>
      <c r="CS91" s="451"/>
      <c r="CT91" s="544"/>
      <c r="CX91" s="206"/>
    </row>
    <row r="92" spans="17:102" x14ac:dyDescent="0.25">
      <c r="Q92" s="50"/>
      <c r="R92" s="234" t="s">
        <v>772</v>
      </c>
      <c r="S92" s="242" t="s">
        <v>426</v>
      </c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O92" s="397"/>
      <c r="CP92" s="403"/>
      <c r="CQ92" s="403"/>
      <c r="CR92" s="451"/>
      <c r="CS92" s="451"/>
      <c r="CT92" s="544"/>
      <c r="CX92" s="206"/>
    </row>
    <row r="93" spans="17:102" x14ac:dyDescent="0.25">
      <c r="Q93" s="50"/>
      <c r="R93" s="245" t="s">
        <v>774</v>
      </c>
      <c r="S93" s="244" t="s">
        <v>49</v>
      </c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O93" s="397"/>
      <c r="CP93" s="403"/>
      <c r="CQ93" s="403"/>
      <c r="CR93" s="451"/>
      <c r="CS93" s="451"/>
      <c r="CT93" s="544"/>
      <c r="CX93" s="206"/>
    </row>
    <row r="94" spans="17:102" x14ac:dyDescent="0.25">
      <c r="Q94" s="50"/>
      <c r="R94" s="222" t="s">
        <v>775</v>
      </c>
      <c r="S94" s="216" t="str">
        <f>INDEX('STATIC DATA'!C59:AB59,1,MATCH($A$1,'STATIC DATA'!C4:AF4,0))</f>
        <v>ACT/365</v>
      </c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8"/>
      <c r="CG94" s="298"/>
      <c r="CH94" s="298"/>
      <c r="CI94" s="298"/>
      <c r="CJ94" s="298"/>
      <c r="CK94" s="298"/>
      <c r="CL94" s="298"/>
      <c r="CO94" s="397"/>
      <c r="CP94" s="403"/>
      <c r="CQ94" s="403"/>
      <c r="CR94" s="451"/>
      <c r="CS94" s="451"/>
      <c r="CT94" s="544"/>
      <c r="CX94" s="206"/>
    </row>
    <row r="95" spans="17:102" x14ac:dyDescent="0.25">
      <c r="Q95" s="50"/>
      <c r="R95" s="222" t="s">
        <v>776</v>
      </c>
      <c r="S95" s="216" t="str">
        <f>INDEX('STATIC DATA'!C43:AB43,1,MATCH($A$1,'STATIC DATA'!$C$4:$AB$4,0))</f>
        <v>WAB</v>
      </c>
      <c r="T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06"/>
      <c r="CG95" s="206"/>
      <c r="CH95" s="206"/>
      <c r="CI95" s="206"/>
      <c r="CJ95" s="206"/>
      <c r="CK95" s="206"/>
      <c r="CL95" s="206"/>
      <c r="CO95" s="397"/>
      <c r="CP95" s="403"/>
      <c r="CQ95" s="403"/>
      <c r="CR95" s="451"/>
      <c r="CS95" s="451"/>
      <c r="CT95" s="544"/>
      <c r="CX95" s="206"/>
    </row>
    <row r="96" spans="17:102" x14ac:dyDescent="0.25">
      <c r="Q96" s="50"/>
      <c r="R96" s="222" t="s">
        <v>777</v>
      </c>
      <c r="S96" s="216" t="s">
        <v>721</v>
      </c>
      <c r="T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06"/>
      <c r="CG96" s="206"/>
      <c r="CH96" s="206"/>
      <c r="CI96" s="206"/>
      <c r="CJ96" s="206"/>
      <c r="CK96" s="206"/>
      <c r="CL96" s="206"/>
      <c r="CO96" s="397"/>
      <c r="CP96" s="403"/>
      <c r="CQ96" s="403"/>
      <c r="CR96" s="451"/>
      <c r="CS96" s="451"/>
      <c r="CT96" s="544"/>
      <c r="CX96" s="206"/>
    </row>
    <row r="97" spans="17:109" x14ac:dyDescent="0.25">
      <c r="Q97" s="50"/>
      <c r="R97" s="222" t="s">
        <v>778</v>
      </c>
      <c r="S97" s="216" t="str">
        <f>INDEX('STATIC DATA'!C43:AB43,1,MATCH($A$1,'STATIC DATA'!$C$4:$AB$4,0))</f>
        <v>WAB</v>
      </c>
      <c r="T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  <c r="CO97" s="397"/>
      <c r="CP97" s="403"/>
      <c r="CQ97" s="403"/>
      <c r="CR97" s="451"/>
      <c r="CS97" s="451"/>
      <c r="CT97" s="544"/>
    </row>
    <row r="98" spans="17:109" x14ac:dyDescent="0.25">
      <c r="Q98" s="50"/>
      <c r="R98" s="222" t="s">
        <v>779</v>
      </c>
      <c r="S98" s="216" t="str">
        <f>INDEX('STATIC DATA'!C7:AB7,1,MATCH($A$1,'STATIC DATA'!$C$4:$AB$4,0))</f>
        <v>2D</v>
      </c>
      <c r="T98" s="53"/>
      <c r="AB98" s="50"/>
      <c r="AC98" s="85"/>
      <c r="AD98" s="85"/>
      <c r="AE98" s="53"/>
      <c r="AM98" s="75"/>
      <c r="AN98" s="76"/>
      <c r="AO98" s="76"/>
      <c r="AP98" s="77"/>
      <c r="AX98" s="50"/>
      <c r="AY98" s="85"/>
      <c r="AZ98" s="85"/>
      <c r="BA98" s="53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  <c r="CO98" s="397"/>
      <c r="CP98" s="403"/>
      <c r="CQ98" s="403"/>
      <c r="CR98" s="451"/>
      <c r="CS98" s="451"/>
      <c r="CT98" s="544"/>
    </row>
    <row r="99" spans="17:109" x14ac:dyDescent="0.25">
      <c r="Q99" s="50"/>
      <c r="R99" s="222" t="s">
        <v>780</v>
      </c>
      <c r="S99" s="216" t="s">
        <v>687</v>
      </c>
      <c r="T99" s="53"/>
      <c r="AB99" s="50"/>
      <c r="AC99" s="85"/>
      <c r="AD99" s="85"/>
      <c r="AE99" s="53"/>
      <c r="AX99" s="50"/>
      <c r="AY99" s="85"/>
      <c r="AZ99" s="85"/>
      <c r="BA99" s="53"/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O99" s="397"/>
      <c r="CP99" s="403"/>
      <c r="CQ99" s="403"/>
      <c r="CR99" s="451"/>
      <c r="CS99" s="451"/>
      <c r="CT99" s="544"/>
      <c r="CY99" s="206"/>
      <c r="CZ99" s="206"/>
      <c r="DA99" s="206"/>
      <c r="DB99" s="206"/>
      <c r="DC99" s="206"/>
      <c r="DD99" s="206"/>
      <c r="DE99" s="206"/>
    </row>
    <row r="100" spans="17:109" x14ac:dyDescent="0.25">
      <c r="Q100" s="50"/>
      <c r="R100" s="233" t="s">
        <v>781</v>
      </c>
      <c r="S100" s="241" t="s">
        <v>782</v>
      </c>
      <c r="T100" s="53"/>
      <c r="AB100" s="50"/>
      <c r="AC100" s="85"/>
      <c r="AD100" s="85"/>
      <c r="AE100" s="53"/>
      <c r="AX100" s="50"/>
      <c r="AY100" s="85"/>
      <c r="AZ100" s="85"/>
      <c r="BA100" s="53"/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O100" s="397"/>
      <c r="CP100" s="403"/>
      <c r="CQ100" s="403"/>
      <c r="CR100" s="451"/>
      <c r="CS100" s="451"/>
      <c r="CT100" s="544"/>
      <c r="CY100" s="206"/>
      <c r="CZ100" s="206"/>
      <c r="DA100" s="206"/>
      <c r="DB100" s="206"/>
      <c r="DC100" s="206"/>
      <c r="DD100" s="206"/>
      <c r="DE100" s="206"/>
    </row>
    <row r="101" spans="17:109" x14ac:dyDescent="0.25">
      <c r="Q101" s="50"/>
      <c r="R101" s="222" t="s">
        <v>783</v>
      </c>
      <c r="S101" s="216" t="s">
        <v>718</v>
      </c>
      <c r="T101" s="53"/>
      <c r="AB101" s="50"/>
      <c r="AC101" s="85"/>
      <c r="AD101" s="85"/>
      <c r="AE101" s="53"/>
      <c r="AX101" s="50"/>
      <c r="AY101" s="85"/>
      <c r="AZ101" s="85"/>
      <c r="BA101" s="53"/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O101" s="397"/>
      <c r="CP101" s="403"/>
      <c r="CQ101" s="403"/>
      <c r="CR101" s="451"/>
      <c r="CS101" s="451"/>
      <c r="CT101" s="544"/>
      <c r="CY101" s="206"/>
      <c r="CZ101" s="206"/>
      <c r="DA101" s="206"/>
      <c r="DB101" s="206"/>
      <c r="DC101" s="206"/>
      <c r="DD101" s="206"/>
      <c r="DE101" s="206"/>
    </row>
    <row r="102" spans="17:109" x14ac:dyDescent="0.25">
      <c r="Q102" s="50"/>
      <c r="R102" s="222" t="s">
        <v>785</v>
      </c>
      <c r="S102" s="216" t="s">
        <v>718</v>
      </c>
      <c r="T102" s="53"/>
      <c r="AB102" s="50"/>
      <c r="AC102" s="85"/>
      <c r="AD102" s="85"/>
      <c r="AE102" s="53"/>
      <c r="AX102" s="50"/>
      <c r="AY102" s="85"/>
      <c r="AZ102" s="85"/>
      <c r="BA102" s="53"/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O102" s="397"/>
      <c r="CP102" s="403"/>
      <c r="CQ102" s="403"/>
      <c r="CR102" s="451"/>
      <c r="CS102" s="451"/>
      <c r="CT102" s="544"/>
      <c r="CY102" s="206"/>
      <c r="CZ102" s="206"/>
      <c r="DA102" s="206"/>
      <c r="DB102" s="206"/>
      <c r="DC102" s="206"/>
      <c r="DD102" s="206"/>
      <c r="DE102" s="206"/>
    </row>
    <row r="103" spans="17:109" x14ac:dyDescent="0.25">
      <c r="Q103" s="50"/>
      <c r="R103" s="52"/>
      <c r="S103" s="52"/>
      <c r="T103" s="53"/>
      <c r="AB103" s="50"/>
      <c r="AC103" s="85"/>
      <c r="AD103" s="85"/>
      <c r="AE103" s="53"/>
      <c r="AX103" s="50"/>
      <c r="AY103" s="85"/>
      <c r="AZ103" s="85"/>
      <c r="BA103" s="53"/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O103" s="397"/>
      <c r="CP103" s="403"/>
      <c r="CQ103" s="403"/>
      <c r="CR103" s="451"/>
      <c r="CS103" s="451"/>
      <c r="CT103" s="544"/>
      <c r="CY103" s="206"/>
      <c r="CZ103" s="206"/>
      <c r="DA103" s="206"/>
      <c r="DB103" s="206"/>
      <c r="DC103" s="206"/>
      <c r="DD103" s="206"/>
      <c r="DE103" s="206"/>
    </row>
    <row r="104" spans="17:109" x14ac:dyDescent="0.25">
      <c r="Q104" s="50"/>
      <c r="R104" s="52"/>
      <c r="S104" s="52"/>
      <c r="T104" s="53"/>
      <c r="AB104" s="50"/>
      <c r="AC104" s="85"/>
      <c r="AD104" s="85"/>
      <c r="AE104" s="53"/>
      <c r="AX104" s="50"/>
      <c r="AY104" s="85"/>
      <c r="AZ104" s="85"/>
      <c r="BA104" s="53"/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O104" s="397"/>
      <c r="CP104" s="403"/>
      <c r="CQ104" s="403"/>
      <c r="CR104" s="451"/>
      <c r="CS104" s="451"/>
      <c r="CT104" s="544"/>
      <c r="CY104" s="206"/>
      <c r="CZ104" s="206"/>
      <c r="DA104" s="206"/>
      <c r="DB104" s="206"/>
      <c r="DC104" s="206"/>
      <c r="DD104" s="206"/>
      <c r="DE104" s="206"/>
    </row>
    <row r="105" spans="17:109" x14ac:dyDescent="0.25">
      <c r="Q105" s="75"/>
      <c r="R105" s="52"/>
      <c r="S105" s="52"/>
      <c r="T105" s="77"/>
      <c r="AB105" s="50"/>
      <c r="AC105" s="85"/>
      <c r="AD105" s="85"/>
      <c r="AE105" s="53"/>
      <c r="AX105" s="50"/>
      <c r="AY105" s="85"/>
      <c r="AZ105" s="85"/>
      <c r="BA105" s="53"/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O105" s="397"/>
      <c r="CP105" s="403"/>
      <c r="CQ105" s="403"/>
      <c r="CR105" s="451"/>
      <c r="CS105" s="451"/>
      <c r="CT105" s="544"/>
      <c r="CY105" s="206"/>
      <c r="CZ105" s="206"/>
      <c r="DA105" s="206"/>
      <c r="DB105" s="206"/>
      <c r="DC105" s="206"/>
      <c r="DD105" s="206"/>
      <c r="DE105" s="206"/>
    </row>
    <row r="106" spans="17:109" x14ac:dyDescent="0.25">
      <c r="AB106" s="50"/>
      <c r="AC106" s="85"/>
      <c r="AD106" s="85"/>
      <c r="AE106" s="53"/>
      <c r="AX106" s="50"/>
      <c r="AY106" s="85"/>
      <c r="AZ106" s="85"/>
      <c r="BA106" s="53"/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O106" s="397"/>
      <c r="CP106" s="403"/>
      <c r="CQ106" s="403"/>
      <c r="CR106" s="451"/>
      <c r="CS106" s="451"/>
      <c r="CT106" s="544"/>
      <c r="CY106" s="206"/>
      <c r="CZ106" s="206"/>
      <c r="DA106" s="206"/>
      <c r="DB106" s="206"/>
      <c r="DC106" s="206"/>
      <c r="DD106" s="206"/>
      <c r="DE106" s="206"/>
    </row>
    <row r="107" spans="17:109" x14ac:dyDescent="0.25">
      <c r="AB107" s="50"/>
      <c r="AC107" s="85"/>
      <c r="AD107" s="85"/>
      <c r="AE107" s="53"/>
      <c r="AX107" s="50"/>
      <c r="AY107" s="85"/>
      <c r="AZ107" s="85"/>
      <c r="BA107" s="53"/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O107" s="397"/>
      <c r="CP107" s="403"/>
      <c r="CQ107" s="403"/>
      <c r="CR107" s="451"/>
      <c r="CS107" s="451"/>
      <c r="CT107" s="544"/>
      <c r="CY107" s="206"/>
      <c r="CZ107" s="206"/>
      <c r="DA107" s="206"/>
      <c r="DB107" s="206"/>
      <c r="DC107" s="206"/>
      <c r="DD107" s="206"/>
      <c r="DE107" s="206"/>
    </row>
    <row r="108" spans="17:109" x14ac:dyDescent="0.25">
      <c r="AB108" s="50"/>
      <c r="AC108" s="85"/>
      <c r="AD108" s="85"/>
      <c r="AE108" s="53"/>
      <c r="AX108" s="50"/>
      <c r="AY108" s="85"/>
      <c r="AZ108" s="85"/>
      <c r="BA108" s="53"/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O108" s="397"/>
      <c r="CP108" s="403"/>
      <c r="CQ108" s="403"/>
      <c r="CR108" s="451"/>
      <c r="CS108" s="451"/>
      <c r="CT108" s="544"/>
      <c r="CY108" s="206"/>
      <c r="CZ108" s="206"/>
      <c r="DA108" s="206"/>
      <c r="DB108" s="206"/>
      <c r="DC108" s="206"/>
      <c r="DD108" s="206"/>
      <c r="DE108" s="206"/>
    </row>
    <row r="109" spans="17:109" x14ac:dyDescent="0.25">
      <c r="AB109" s="50"/>
      <c r="AC109" s="85"/>
      <c r="AD109" s="85"/>
      <c r="AE109" s="53"/>
      <c r="AX109" s="75"/>
      <c r="AY109" s="76"/>
      <c r="AZ109" s="76"/>
      <c r="BA109" s="77"/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O109" s="397"/>
      <c r="CP109" s="403"/>
      <c r="CQ109" s="403"/>
      <c r="CR109" s="451"/>
      <c r="CS109" s="451"/>
      <c r="CT109" s="544"/>
      <c r="CY109" s="206"/>
      <c r="CZ109" s="206"/>
      <c r="DA109" s="206"/>
      <c r="DB109" s="206"/>
      <c r="DC109" s="206"/>
      <c r="DD109" s="206"/>
      <c r="DE109" s="206"/>
    </row>
    <row r="110" spans="17:109" x14ac:dyDescent="0.25">
      <c r="AB110" s="50"/>
      <c r="AC110" s="85"/>
      <c r="AD110" s="85"/>
      <c r="AE110" s="53"/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O110" s="397"/>
      <c r="CP110" s="403"/>
      <c r="CQ110" s="403"/>
      <c r="CR110" s="451"/>
      <c r="CS110" s="451"/>
      <c r="CT110" s="544"/>
      <c r="CY110" s="206"/>
      <c r="CZ110" s="206"/>
      <c r="DA110" s="206"/>
      <c r="DB110" s="206"/>
      <c r="DC110" s="206"/>
      <c r="DD110" s="206"/>
      <c r="DE110" s="206"/>
    </row>
    <row r="111" spans="17:109" x14ac:dyDescent="0.25">
      <c r="AB111" s="50"/>
      <c r="AC111" s="85"/>
      <c r="AD111" s="85"/>
      <c r="AE111" s="53"/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O111" s="397"/>
      <c r="CP111" s="403"/>
      <c r="CQ111" s="403"/>
      <c r="CR111" s="451"/>
      <c r="CS111" s="451"/>
      <c r="CT111" s="544"/>
      <c r="CY111" s="206"/>
      <c r="CZ111" s="206"/>
      <c r="DA111" s="206"/>
      <c r="DB111" s="206"/>
      <c r="DC111" s="206"/>
      <c r="DD111" s="206"/>
      <c r="DE111" s="206"/>
    </row>
    <row r="112" spans="17:109" x14ac:dyDescent="0.25">
      <c r="AB112" s="50"/>
      <c r="AC112" s="85"/>
      <c r="AD112" s="85"/>
      <c r="AE112" s="53"/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O112" s="397"/>
      <c r="CP112" s="403"/>
      <c r="CQ112" s="403"/>
      <c r="CR112" s="451"/>
      <c r="CS112" s="451"/>
      <c r="CT112" s="544"/>
      <c r="CY112" s="206"/>
      <c r="CZ112" s="206"/>
      <c r="DA112" s="206"/>
      <c r="DB112" s="206"/>
      <c r="DC112" s="206"/>
      <c r="DD112" s="206"/>
      <c r="DE112" s="206"/>
    </row>
    <row r="113" spans="28:109" x14ac:dyDescent="0.25">
      <c r="AB113" s="50"/>
      <c r="AC113" s="85"/>
      <c r="AD113" s="85"/>
      <c r="AE113" s="53"/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O113" s="397"/>
      <c r="CP113" s="403"/>
      <c r="CQ113" s="403"/>
      <c r="CR113" s="451"/>
      <c r="CS113" s="451"/>
      <c r="CT113" s="544"/>
      <c r="CY113" s="206"/>
      <c r="CZ113" s="206"/>
      <c r="DA113" s="206"/>
      <c r="DB113" s="206"/>
      <c r="DC113" s="206"/>
      <c r="DD113" s="206"/>
      <c r="DE113" s="206"/>
    </row>
    <row r="114" spans="28:109" x14ac:dyDescent="0.25">
      <c r="AB114" s="50"/>
      <c r="AC114" s="85"/>
      <c r="AD114" s="85"/>
      <c r="AE114" s="53"/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O114" s="397"/>
      <c r="CP114" s="403"/>
      <c r="CQ114" s="403"/>
      <c r="CR114" s="451"/>
      <c r="CS114" s="451"/>
      <c r="CT114" s="544"/>
      <c r="CY114" s="206"/>
      <c r="CZ114" s="206"/>
      <c r="DA114" s="206"/>
      <c r="DB114" s="206"/>
      <c r="DC114" s="206"/>
      <c r="DD114" s="206"/>
      <c r="DE114" s="206"/>
    </row>
    <row r="115" spans="28:109" x14ac:dyDescent="0.25">
      <c r="AB115" s="50"/>
      <c r="AC115" s="85"/>
      <c r="AD115" s="85"/>
      <c r="AE115" s="53"/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O115" s="397"/>
      <c r="CP115" s="403"/>
      <c r="CQ115" s="403"/>
      <c r="CR115" s="451"/>
      <c r="CS115" s="451"/>
      <c r="CT115" s="544"/>
      <c r="CY115" s="206"/>
      <c r="CZ115" s="206"/>
      <c r="DA115" s="206"/>
      <c r="DB115" s="206"/>
      <c r="DC115" s="206"/>
      <c r="DD115" s="206"/>
      <c r="DE115" s="206"/>
    </row>
    <row r="116" spans="28:109" x14ac:dyDescent="0.25">
      <c r="AB116" s="50"/>
      <c r="AC116" s="85"/>
      <c r="AD116" s="85"/>
      <c r="AE116" s="53"/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O116" s="397"/>
      <c r="CP116" s="403"/>
      <c r="CQ116" s="403"/>
      <c r="CR116" s="451"/>
      <c r="CS116" s="451"/>
      <c r="CT116" s="544"/>
      <c r="CY116" s="206"/>
      <c r="CZ116" s="206"/>
      <c r="DA116" s="206"/>
      <c r="DB116" s="206"/>
      <c r="DC116" s="206"/>
      <c r="DD116" s="206"/>
      <c r="DE116" s="206"/>
    </row>
    <row r="117" spans="28:109" x14ac:dyDescent="0.25">
      <c r="AB117" s="50"/>
      <c r="AC117" s="85"/>
      <c r="AD117" s="85"/>
      <c r="AE117" s="53"/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O117" s="397"/>
      <c r="CP117" s="403"/>
      <c r="CQ117" s="403"/>
      <c r="CR117" s="451"/>
      <c r="CS117" s="451"/>
      <c r="CT117" s="544"/>
      <c r="CY117" s="206"/>
      <c r="CZ117" s="206"/>
      <c r="DA117" s="206"/>
      <c r="DB117" s="206"/>
      <c r="DC117" s="206"/>
      <c r="DD117" s="206"/>
      <c r="DE117" s="206"/>
    </row>
    <row r="118" spans="28:109" x14ac:dyDescent="0.25">
      <c r="AB118" s="75"/>
      <c r="AC118" s="76"/>
      <c r="AD118" s="76"/>
      <c r="AE118" s="77"/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O118" s="397"/>
      <c r="CP118" s="403"/>
      <c r="CQ118" s="403"/>
      <c r="CR118" s="451"/>
      <c r="CS118" s="451"/>
      <c r="CT118" s="544"/>
      <c r="CY118" s="206"/>
      <c r="CZ118" s="206"/>
      <c r="DA118" s="206"/>
      <c r="DB118" s="206"/>
      <c r="DC118" s="206"/>
      <c r="DD118" s="206"/>
      <c r="DE118" s="206"/>
    </row>
    <row r="119" spans="28:109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O119" s="397"/>
      <c r="CP119" s="403"/>
      <c r="CQ119" s="403"/>
      <c r="CR119" s="451"/>
      <c r="CS119" s="451"/>
      <c r="CT119" s="544"/>
      <c r="CY119" s="206"/>
      <c r="CZ119" s="206"/>
      <c r="DA119" s="206"/>
      <c r="DB119" s="206"/>
      <c r="DC119" s="206"/>
      <c r="DD119" s="206"/>
      <c r="DE119" s="206"/>
    </row>
    <row r="120" spans="28:109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O120" s="397"/>
      <c r="CP120" s="403"/>
      <c r="CQ120" s="403"/>
      <c r="CR120" s="451"/>
      <c r="CS120" s="451"/>
      <c r="CT120" s="544"/>
      <c r="CY120" s="206"/>
      <c r="CZ120" s="206"/>
      <c r="DA120" s="206"/>
      <c r="DB120" s="206"/>
      <c r="DC120" s="206"/>
      <c r="DD120" s="206"/>
      <c r="DE120" s="206"/>
    </row>
    <row r="121" spans="28:109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O121" s="397"/>
      <c r="CP121" s="403"/>
      <c r="CQ121" s="403"/>
      <c r="CR121" s="451"/>
      <c r="CS121" s="451"/>
      <c r="CT121" s="544"/>
      <c r="CY121" s="206"/>
      <c r="CZ121" s="206"/>
      <c r="DA121" s="206"/>
      <c r="DB121" s="206"/>
      <c r="DC121" s="206"/>
      <c r="DD121" s="206"/>
      <c r="DE121" s="206"/>
    </row>
    <row r="122" spans="28:109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O122" s="397"/>
      <c r="CP122" s="403"/>
      <c r="CQ122" s="403"/>
      <c r="CR122" s="451"/>
      <c r="CS122" s="451"/>
      <c r="CT122" s="544"/>
      <c r="CY122" s="206"/>
      <c r="CZ122" s="206"/>
      <c r="DA122" s="206"/>
      <c r="DB122" s="206"/>
      <c r="DC122" s="206"/>
      <c r="DD122" s="206"/>
      <c r="DE122" s="206"/>
    </row>
    <row r="123" spans="28:109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O123" s="397"/>
      <c r="CP123" s="403"/>
      <c r="CQ123" s="403"/>
      <c r="CR123" s="451"/>
      <c r="CS123" s="451"/>
      <c r="CT123" s="544"/>
      <c r="CY123" s="206"/>
      <c r="CZ123" s="206"/>
      <c r="DA123" s="206"/>
      <c r="DB123" s="206"/>
      <c r="DC123" s="206"/>
      <c r="DD123" s="206"/>
      <c r="DE123" s="206"/>
    </row>
    <row r="124" spans="28:109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D124" s="299"/>
      <c r="CE124" s="299"/>
      <c r="CO124" s="397"/>
      <c r="CP124" s="403"/>
      <c r="CQ124" s="403"/>
      <c r="CR124" s="451"/>
      <c r="CS124" s="451"/>
      <c r="CT124" s="544"/>
      <c r="CY124" s="206"/>
      <c r="CZ124" s="206"/>
      <c r="DA124" s="206"/>
      <c r="DB124" s="206"/>
      <c r="DC124" s="206"/>
      <c r="DD124" s="206"/>
      <c r="DE124" s="206"/>
    </row>
    <row r="125" spans="28:109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D125" s="298"/>
      <c r="CE125" s="298"/>
      <c r="CO125" s="397"/>
      <c r="CP125" s="403"/>
      <c r="CQ125" s="403"/>
      <c r="CR125" s="451"/>
      <c r="CS125" s="451"/>
      <c r="CT125" s="544"/>
      <c r="CY125" s="206"/>
      <c r="CZ125" s="206"/>
      <c r="DA125" s="206"/>
      <c r="DB125" s="206"/>
      <c r="DC125" s="206"/>
      <c r="DD125" s="206"/>
      <c r="DE125" s="206"/>
    </row>
    <row r="126" spans="28:109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D126" s="206"/>
      <c r="CE126" s="206"/>
      <c r="CO126" s="397"/>
      <c r="CP126" s="403"/>
      <c r="CQ126" s="403"/>
      <c r="CR126" s="451"/>
      <c r="CS126" s="451"/>
      <c r="CT126" s="544"/>
      <c r="CY126" s="206"/>
      <c r="CZ126" s="206"/>
      <c r="DA126" s="206"/>
      <c r="DB126" s="206"/>
      <c r="DC126" s="206"/>
      <c r="DD126" s="206"/>
      <c r="DE126" s="206"/>
    </row>
    <row r="127" spans="28:109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D127" s="206"/>
      <c r="CE127" s="206"/>
      <c r="CO127" s="397"/>
      <c r="CP127" s="403"/>
      <c r="CQ127" s="403"/>
      <c r="CR127" s="451"/>
      <c r="CS127" s="451"/>
      <c r="CT127" s="544"/>
      <c r="CY127" s="206"/>
      <c r="CZ127" s="206"/>
      <c r="DA127" s="206"/>
      <c r="DB127" s="206"/>
      <c r="DC127" s="206"/>
      <c r="DD127" s="206"/>
      <c r="DE127" s="206"/>
    </row>
    <row r="128" spans="28:109" x14ac:dyDescent="0.25">
      <c r="CO128" s="397"/>
      <c r="CP128" s="403"/>
      <c r="CQ128" s="403"/>
      <c r="CR128" s="451"/>
      <c r="CS128" s="451"/>
      <c r="CT128" s="544"/>
    </row>
    <row r="129" spans="93:98" x14ac:dyDescent="0.25">
      <c r="CO129" s="390"/>
      <c r="CP129" s="403"/>
      <c r="CQ129" s="403"/>
      <c r="CR129" s="451"/>
      <c r="CS129" s="451"/>
      <c r="CT129" s="544"/>
    </row>
    <row r="130" spans="93:98" x14ac:dyDescent="0.25">
      <c r="CO130" s="390"/>
      <c r="CP130" s="403"/>
      <c r="CQ130" s="403"/>
      <c r="CR130" s="451"/>
      <c r="CS130" s="451"/>
      <c r="CT130" s="544"/>
    </row>
    <row r="131" spans="93:98" x14ac:dyDescent="0.25">
      <c r="CO131" s="390"/>
      <c r="CP131" s="403"/>
      <c r="CQ131" s="403"/>
      <c r="CR131" s="451"/>
      <c r="CS131" s="451"/>
      <c r="CT131" s="544"/>
    </row>
    <row r="132" spans="93:98" x14ac:dyDescent="0.25">
      <c r="CO132" s="390"/>
      <c r="CP132" s="403"/>
      <c r="CQ132" s="403"/>
      <c r="CR132" s="451"/>
      <c r="CS132" s="451"/>
      <c r="CT132" s="544"/>
    </row>
    <row r="133" spans="93:98" x14ac:dyDescent="0.25">
      <c r="CO133" s="390"/>
      <c r="CP133" s="403"/>
      <c r="CQ133" s="403"/>
      <c r="CR133" s="451"/>
      <c r="CS133" s="451"/>
      <c r="CT133" s="544"/>
    </row>
    <row r="134" spans="93:98" x14ac:dyDescent="0.25">
      <c r="CO134" s="390"/>
      <c r="CP134" s="403"/>
      <c r="CQ134" s="403"/>
      <c r="CR134" s="451"/>
      <c r="CS134" s="451"/>
      <c r="CT134" s="544"/>
    </row>
    <row r="135" spans="93:98" x14ac:dyDescent="0.25">
      <c r="CO135" s="390"/>
      <c r="CP135" s="403"/>
      <c r="CQ135" s="403"/>
      <c r="CR135" s="451"/>
      <c r="CS135" s="451"/>
      <c r="CT135" s="544"/>
    </row>
    <row r="136" spans="93:98" x14ac:dyDescent="0.25">
      <c r="CO136" s="390"/>
      <c r="CP136" s="403"/>
      <c r="CQ136" s="403"/>
      <c r="CR136" s="451"/>
      <c r="CS136" s="451"/>
      <c r="CT136" s="544"/>
    </row>
    <row r="137" spans="93:98" x14ac:dyDescent="0.25">
      <c r="CO137" s="390"/>
      <c r="CP137" s="403"/>
      <c r="CQ137" s="403"/>
      <c r="CR137" s="451"/>
      <c r="CS137" s="451"/>
      <c r="CT137" s="544"/>
    </row>
    <row r="138" spans="93:98" x14ac:dyDescent="0.25">
      <c r="CO138" s="390"/>
      <c r="CP138" s="403"/>
      <c r="CQ138" s="403"/>
      <c r="CR138" s="451"/>
      <c r="CS138" s="451"/>
      <c r="CT138" s="544"/>
    </row>
    <row r="139" spans="93:98" x14ac:dyDescent="0.25">
      <c r="CO139" s="390"/>
      <c r="CP139" s="403"/>
      <c r="CQ139" s="403"/>
      <c r="CR139" s="451"/>
      <c r="CS139" s="451"/>
      <c r="CT139" s="544"/>
    </row>
    <row r="140" spans="93:98" x14ac:dyDescent="0.25">
      <c r="CO140" s="390"/>
      <c r="CP140" s="403"/>
      <c r="CQ140" s="403"/>
      <c r="CR140" s="451"/>
      <c r="CS140" s="451"/>
      <c r="CT140" s="544"/>
    </row>
    <row r="141" spans="93:98" x14ac:dyDescent="0.25">
      <c r="CO141" s="390"/>
      <c r="CP141" s="403"/>
      <c r="CQ141" s="403"/>
      <c r="CR141" s="451"/>
      <c r="CS141" s="451"/>
      <c r="CT141" s="544"/>
    </row>
    <row r="142" spans="93:98" x14ac:dyDescent="0.25">
      <c r="CO142" s="390"/>
      <c r="CP142" s="403"/>
      <c r="CQ142" s="403"/>
      <c r="CR142" s="451"/>
      <c r="CS142" s="451"/>
      <c r="CT142" s="544"/>
    </row>
    <row r="143" spans="93:98" x14ac:dyDescent="0.25">
      <c r="CO143" s="390"/>
      <c r="CP143" s="403"/>
      <c r="CQ143" s="403"/>
      <c r="CR143" s="451"/>
      <c r="CS143" s="451"/>
      <c r="CT143" s="544"/>
    </row>
    <row r="144" spans="93:98" x14ac:dyDescent="0.25">
      <c r="CO144" s="390"/>
      <c r="CP144" s="403"/>
      <c r="CQ144" s="403"/>
      <c r="CR144" s="451"/>
      <c r="CS144" s="451"/>
      <c r="CT144" s="544"/>
    </row>
    <row r="145" spans="93:98" x14ac:dyDescent="0.25">
      <c r="CO145" s="390"/>
      <c r="CP145" s="403"/>
      <c r="CQ145" s="403"/>
      <c r="CR145" s="451"/>
      <c r="CS145" s="451"/>
      <c r="CT145" s="544"/>
    </row>
  </sheetData>
  <dataValidations disablePrompts="1" count="2">
    <dataValidation type="list" allowBlank="1" showInputMessage="1" showErrorMessage="1" sqref="H6 S6 AD6 AZ6 AO6 BK6 CK6 CE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DE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13.85546875" customWidth="1"/>
    <col min="23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14.425781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2"/>
    <col min="51" max="51" width="30.7109375" hidden="1" customWidth="1" outlineLevel="2"/>
    <col min="52" max="52" width="40.7109375" hidden="1" customWidth="1" outlineLevel="2"/>
    <col min="53" max="53" width="9.140625" hidden="1" customWidth="1" outlineLevel="2"/>
    <col min="54" max="54" width="0" hidden="1" customWidth="1" outlineLevel="2"/>
    <col min="55" max="55" width="14.28515625" hidden="1" customWidth="1" outlineLevel="2"/>
    <col min="56" max="59" width="10.7109375" hidden="1" customWidth="1" outlineLevel="2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14.42578125" customWidth="1"/>
    <col min="67" max="67" width="19" customWidth="1"/>
    <col min="68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58.140625" bestFit="1" customWidth="1"/>
    <col min="82" max="82" width="20.7109375" style="416" customWidth="1"/>
    <col min="83" max="83" width="9.28515625" style="416" customWidth="1"/>
    <col min="84" max="85" width="20.7109375" style="416" customWidth="1"/>
    <col min="86" max="86" width="90.7109375" style="416" bestFit="1" customWidth="1"/>
    <col min="87" max="89" width="20.7109375" style="416" customWidth="1"/>
    <col min="90" max="90" width="9.140625" style="416" customWidth="1"/>
    <col min="91" max="92" width="20.7109375" style="416" customWidth="1"/>
    <col min="93" max="93" width="90.28515625" style="416" bestFit="1" customWidth="1"/>
    <col min="94" max="96" width="20.7109375" style="416" customWidth="1"/>
    <col min="97" max="97" width="9.140625" style="416" customWidth="1"/>
    <col min="98" max="98" width="9.140625" style="416"/>
  </cols>
  <sheetData>
    <row r="1" spans="1:101" x14ac:dyDescent="0.25">
      <c r="A1" s="2" t="s">
        <v>182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C1" s="209"/>
      <c r="CD1" s="510"/>
      <c r="CE1" s="510"/>
      <c r="CF1" s="323"/>
      <c r="CG1" s="299"/>
      <c r="CH1" s="299"/>
      <c r="CI1" s="299"/>
      <c r="CJ1" s="299"/>
      <c r="CK1" s="299"/>
      <c r="CL1" s="299"/>
      <c r="CM1" s="323"/>
      <c r="CN1" s="299"/>
      <c r="CO1" s="299"/>
      <c r="CP1" s="299"/>
      <c r="CQ1" s="299"/>
      <c r="CR1" s="299"/>
      <c r="CS1" s="299"/>
      <c r="CT1" s="299"/>
      <c r="CU1" s="206"/>
      <c r="CV1" s="206"/>
      <c r="CW1" s="206"/>
    </row>
    <row r="2" spans="1:101" x14ac:dyDescent="0.25">
      <c r="F2" s="237" t="s">
        <v>712</v>
      </c>
      <c r="K2" s="2" t="str">
        <f>A1&amp;"_OIS"</f>
        <v>RON_OIS</v>
      </c>
      <c r="L2" s="5"/>
      <c r="M2" s="5"/>
      <c r="N2" s="5"/>
      <c r="O2" s="5"/>
      <c r="Q2" s="237"/>
      <c r="V2" s="2" t="str">
        <f>A1&amp;"_SWAP_3M"</f>
        <v>RON_SWAP_3M</v>
      </c>
      <c r="W2" s="5"/>
      <c r="X2" s="5"/>
      <c r="Z2" s="5"/>
      <c r="AB2" s="237"/>
      <c r="AG2" s="2" t="str">
        <f>A1&amp;"_BASIS_6M"</f>
        <v>RON_BASIS_6M</v>
      </c>
      <c r="AH2" s="5"/>
      <c r="AI2" s="5"/>
      <c r="AJ2" s="5"/>
      <c r="AK2" s="5"/>
      <c r="AR2" t="str">
        <f>A1&amp;"_BASIS_12M"</f>
        <v>RON_BASIS_12M</v>
      </c>
      <c r="BC2" t="str">
        <f>A1&amp;"_BASIS_1M"</f>
        <v>RON_BASIS_1M</v>
      </c>
      <c r="BN2" s="2" t="str">
        <f>A1&amp;"_XCCYBASIS"</f>
        <v>RON_XCCYBASIS</v>
      </c>
      <c r="BO2" s="5"/>
      <c r="BP2" s="5"/>
      <c r="BQ2" s="5"/>
      <c r="BR2" s="5"/>
      <c r="CF2" s="511"/>
      <c r="CG2" s="332"/>
      <c r="CH2" s="332"/>
      <c r="CI2" s="332"/>
      <c r="CJ2" s="332"/>
      <c r="CK2" s="332"/>
      <c r="CL2" s="299"/>
      <c r="CM2" s="332"/>
      <c r="CN2" s="332"/>
      <c r="CO2" s="332"/>
      <c r="CP2" s="332"/>
      <c r="CQ2" s="332"/>
      <c r="CR2" s="332"/>
      <c r="CS2" s="299"/>
      <c r="CT2" s="299"/>
      <c r="CU2" s="206"/>
      <c r="CV2" s="206"/>
      <c r="CW2" s="206"/>
    </row>
    <row r="3" spans="1:101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F3" s="313"/>
      <c r="CG3" s="512"/>
      <c r="CH3" s="316"/>
      <c r="CI3" s="316"/>
      <c r="CJ3" s="316"/>
      <c r="CK3" s="316"/>
      <c r="CL3" s="299"/>
      <c r="CM3" s="546"/>
      <c r="CN3" s="436"/>
      <c r="CO3" s="513"/>
      <c r="CP3" s="513"/>
      <c r="CQ3" s="316"/>
      <c r="CR3" s="316"/>
      <c r="CS3" s="299"/>
      <c r="CT3" s="299"/>
      <c r="CU3" s="206"/>
      <c r="CV3" s="206"/>
      <c r="CW3" s="206"/>
    </row>
    <row r="4" spans="1:101" x14ac:dyDescent="0.25">
      <c r="F4" s="50"/>
      <c r="G4" s="81"/>
      <c r="H4" s="228"/>
      <c r="I4" s="53"/>
      <c r="L4" s="5"/>
      <c r="M4" s="5"/>
      <c r="N4" s="5">
        <v>1</v>
      </c>
      <c r="O4" s="5"/>
      <c r="Q4" s="50"/>
      <c r="R4" s="81"/>
      <c r="S4" s="228"/>
      <c r="T4" s="53"/>
      <c r="W4" s="5"/>
      <c r="X4" s="5"/>
      <c r="Y4" s="5">
        <v>1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F4" s="313"/>
      <c r="CG4" s="512"/>
      <c r="CH4" s="316"/>
      <c r="CI4" s="316"/>
      <c r="CJ4" s="316"/>
      <c r="CK4" s="316"/>
      <c r="CL4" s="299"/>
      <c r="CM4" s="546"/>
      <c r="CN4" s="436"/>
      <c r="CO4" s="513"/>
      <c r="CP4" s="513"/>
      <c r="CQ4" s="316"/>
      <c r="CR4" s="316"/>
      <c r="CS4" s="299"/>
      <c r="CT4" s="299"/>
      <c r="CU4" s="206"/>
      <c r="CV4" s="206"/>
      <c r="CW4" s="206"/>
    </row>
    <row r="5" spans="1:101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F5" s="514"/>
      <c r="CG5" s="515"/>
      <c r="CH5" s="321"/>
      <c r="CI5" s="321"/>
      <c r="CJ5" s="321"/>
      <c r="CK5" s="321"/>
      <c r="CL5" s="299"/>
      <c r="CM5" s="546"/>
      <c r="CN5" s="436"/>
      <c r="CO5" s="513"/>
      <c r="CP5" s="513"/>
      <c r="CQ5" s="316"/>
      <c r="CR5" s="316"/>
      <c r="CS5" s="299"/>
      <c r="CT5" s="299"/>
      <c r="CU5" s="206"/>
      <c r="CV5" s="206"/>
      <c r="CW5" s="206"/>
    </row>
    <row r="6" spans="1:101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F6" s="313"/>
      <c r="CG6" s="512"/>
      <c r="CH6" s="316"/>
      <c r="CI6" s="316"/>
      <c r="CJ6" s="316"/>
      <c r="CK6" s="316"/>
      <c r="CL6" s="299"/>
      <c r="CM6" s="546"/>
      <c r="CN6" s="436"/>
      <c r="CO6" s="513"/>
      <c r="CP6" s="513"/>
      <c r="CQ6" s="316"/>
      <c r="CR6" s="316"/>
      <c r="CS6" s="299"/>
      <c r="CT6" s="299"/>
      <c r="CU6" s="206"/>
      <c r="CV6" s="206"/>
      <c r="CW6" s="206"/>
    </row>
    <row r="7" spans="1:101" x14ac:dyDescent="0.25">
      <c r="F7" s="50"/>
      <c r="G7" s="59" t="s">
        <v>711</v>
      </c>
      <c r="H7" s="211" t="str">
        <f>$A$1&amp;"_OIS"</f>
        <v>RON_OIS</v>
      </c>
      <c r="I7" s="53"/>
      <c r="K7" t="s">
        <v>298</v>
      </c>
      <c r="L7" s="358">
        <v>0.04</v>
      </c>
      <c r="M7" s="5" t="b">
        <v>1</v>
      </c>
      <c r="N7" s="5">
        <f>$N$4</f>
        <v>1</v>
      </c>
      <c r="O7" s="5" t="s">
        <v>668</v>
      </c>
      <c r="Q7" s="50"/>
      <c r="R7" s="59" t="s">
        <v>711</v>
      </c>
      <c r="S7" s="211" t="str">
        <f>$A$1&amp;"_SWAP_"&amp;"3M"</f>
        <v>RON_SWAP_3M</v>
      </c>
      <c r="T7" s="53"/>
      <c r="V7" t="s">
        <v>298</v>
      </c>
      <c r="W7" s="367">
        <f t="shared" ref="W7:W21" si="0">Z7+Y7/10000</f>
        <v>1.805E-2</v>
      </c>
      <c r="X7" s="5" t="b">
        <v>1</v>
      </c>
      <c r="Y7" s="5">
        <f t="shared" ref="Y7:Y21" si="1">$Y$4</f>
        <v>1</v>
      </c>
      <c r="Z7" s="368">
        <f>RON_DATA!U7</f>
        <v>1.7950000000000001E-2</v>
      </c>
      <c r="AA7" s="203"/>
      <c r="AB7" s="50"/>
      <c r="AC7" s="59" t="s">
        <v>711</v>
      </c>
      <c r="AD7" s="211" t="str">
        <f>$A$1&amp;"_BASIS_3M6M"</f>
        <v>RON_BASIS_3M6M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RUB_DATA!Z7</f>
        <v>1E-3</v>
      </c>
      <c r="AL7" s="207"/>
      <c r="AM7" s="50"/>
      <c r="AN7" s="59" t="s">
        <v>711</v>
      </c>
      <c r="AO7" s="211" t="str">
        <f>A1&amp;"_BASIS_3X12"</f>
        <v>RON_BASIS_3X12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RON_BASIS_1X3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RON_XCCY</v>
      </c>
      <c r="BL7" s="53"/>
      <c r="BN7" t="s">
        <v>3</v>
      </c>
      <c r="BO7" s="5" t="str">
        <f>$A$1</f>
        <v>RON</v>
      </c>
      <c r="BP7" s="5">
        <f>FX!P2*FX!B3</f>
        <v>4.8592378399999996</v>
      </c>
      <c r="BQ7" s="5"/>
      <c r="BR7" s="357"/>
      <c r="BT7" s="50"/>
      <c r="BU7" s="270" t="s">
        <v>830</v>
      </c>
      <c r="BV7" s="271" t="str">
        <f>"FX_CURVE_"&amp;"EUR"&amp;$A$1</f>
        <v>FX_CURVE_EURRON</v>
      </c>
      <c r="BW7" s="52"/>
      <c r="BX7" s="299"/>
      <c r="BY7" t="s">
        <v>836</v>
      </c>
      <c r="BZ7" s="296">
        <f>RON_DATA!AW7</f>
        <v>4.8578999999999999</v>
      </c>
      <c r="CA7" s="296">
        <f>RON_DATA!AX7</f>
        <v>4.8602999999999996</v>
      </c>
      <c r="CF7" s="313"/>
      <c r="CG7" s="512"/>
      <c r="CH7" s="316"/>
      <c r="CI7" s="316"/>
      <c r="CJ7" s="316"/>
      <c r="CK7" s="316"/>
      <c r="CL7" s="299"/>
      <c r="CM7" s="546"/>
      <c r="CN7" s="436"/>
      <c r="CO7" s="513"/>
      <c r="CP7" s="513"/>
      <c r="CQ7" s="316"/>
      <c r="CR7" s="316"/>
      <c r="CS7" s="299"/>
      <c r="CT7" s="299"/>
      <c r="CU7" s="206"/>
      <c r="CV7" s="206"/>
      <c r="CW7" s="206"/>
    </row>
    <row r="8" spans="1:101" x14ac:dyDescent="0.25">
      <c r="F8" s="50"/>
      <c r="G8" s="72" t="s">
        <v>670</v>
      </c>
      <c r="H8" s="35" t="str">
        <f>IF(H$6,_xll.meLWOCurveGeneratorCreate(H$7,"CURVEPROPERTIES",G12:H18,"OIS",G23:H37),"Disabled")</f>
        <v>RON_OIS@356:6</v>
      </c>
      <c r="I8" s="53" t="s">
        <v>424</v>
      </c>
      <c r="K8" t="s">
        <v>305</v>
      </c>
      <c r="L8" s="358">
        <v>0.04</v>
      </c>
      <c r="M8" s="5" t="b">
        <v>1</v>
      </c>
      <c r="N8" s="5">
        <f t="shared" ref="N8:N26" si="2">$N$4</f>
        <v>1</v>
      </c>
      <c r="O8" s="5" t="s">
        <v>668</v>
      </c>
      <c r="Q8" s="50"/>
      <c r="R8" s="72" t="s">
        <v>670</v>
      </c>
      <c r="S8" s="35" t="str">
        <f>IF($S$6,_xll.meLWOCurveGeneratorCreate(S$7,"CURVEPROPERTIES",R12:S25,"MONEYMARKET",R28:S30,"LIBORFIXINGS",R33:S37,"SWAPS",R41:S54),"Disabled")</f>
        <v>RON_SWAP_3M@355:6</v>
      </c>
      <c r="T8" s="53" t="s">
        <v>424</v>
      </c>
      <c r="V8" t="s">
        <v>300</v>
      </c>
      <c r="W8" s="367">
        <f t="shared" si="0"/>
        <v>1.8550000000000001E-2</v>
      </c>
      <c r="X8" s="5" t="b">
        <v>1</v>
      </c>
      <c r="Y8" s="5">
        <f t="shared" si="1"/>
        <v>1</v>
      </c>
      <c r="Z8" s="368">
        <f>RON_DATA!U8</f>
        <v>1.8450000000000001E-2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RON_BASIS_3M6M@357:6</v>
      </c>
      <c r="AE8" s="53" t="s">
        <v>424</v>
      </c>
      <c r="AG8" t="s">
        <v>308</v>
      </c>
      <c r="AH8" s="358">
        <f t="shared" ref="AH8:AH16" si="3">AK8+AJ8/10000</f>
        <v>1E-3</v>
      </c>
      <c r="AI8" s="5" t="b">
        <v>1</v>
      </c>
      <c r="AJ8" s="5">
        <f t="shared" ref="AJ8:AJ16" si="4">$AJ$4</f>
        <v>0</v>
      </c>
      <c r="AK8" s="357">
        <f>RUB_DATA!Z8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RON_BASIS_3X12@354:6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#Error: Invalid Data: Data Contains Errors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RON_XCCY@358:6</v>
      </c>
      <c r="BL8" s="53" t="s">
        <v>424</v>
      </c>
      <c r="BN8" t="s">
        <v>298</v>
      </c>
      <c r="BO8" s="5">
        <f>BR8</f>
        <v>3.65</v>
      </c>
      <c r="BP8" s="5" t="b">
        <v>1</v>
      </c>
      <c r="BQ8" s="5"/>
      <c r="BR8" s="362">
        <f>RON_DATA!AZ8</f>
        <v>3.65</v>
      </c>
      <c r="BT8" s="50"/>
      <c r="BU8" t="s">
        <v>670</v>
      </c>
      <c r="BV8" s="263" t="str">
        <f>IF(BV6,_xll.meLWOCurveGeneratorCreate(BV7,"CURVEPROPERTIES",BU12:BV15,"FXFWDS",BU20:BV25),"DISABLED")</f>
        <v>FX_CURVE_EURRON@353:6</v>
      </c>
      <c r="BW8" s="52"/>
      <c r="BX8" s="299"/>
      <c r="BY8" s="15" t="s">
        <v>298</v>
      </c>
      <c r="BZ8" s="297">
        <f>RON_DATA!AW8</f>
        <v>3.15</v>
      </c>
      <c r="CA8" s="297">
        <f>RON_DATA!AX8</f>
        <v>4.1500000000000004</v>
      </c>
      <c r="CF8" s="313"/>
      <c r="CG8" s="512"/>
      <c r="CH8" s="316"/>
      <c r="CI8" s="316"/>
      <c r="CJ8" s="316"/>
      <c r="CK8" s="316"/>
      <c r="CL8" s="303"/>
      <c r="CM8" s="546"/>
      <c r="CN8" s="436"/>
      <c r="CO8" s="513"/>
      <c r="CP8" s="513"/>
      <c r="CQ8" s="316"/>
      <c r="CR8" s="316"/>
      <c r="CS8" s="299"/>
      <c r="CT8" s="299"/>
      <c r="CU8" s="206"/>
      <c r="CV8" s="206"/>
      <c r="CW8" s="206"/>
    </row>
    <row r="9" spans="1:101" x14ac:dyDescent="0.25">
      <c r="F9" s="50"/>
      <c r="G9" s="289"/>
      <c r="H9" s="289"/>
      <c r="I9" s="53" t="s">
        <v>424</v>
      </c>
      <c r="K9" t="s">
        <v>313</v>
      </c>
      <c r="L9" s="358">
        <v>0.04</v>
      </c>
      <c r="M9" s="5" t="b">
        <v>1</v>
      </c>
      <c r="N9" s="5">
        <f t="shared" si="2"/>
        <v>1</v>
      </c>
      <c r="O9" s="5" t="s">
        <v>668</v>
      </c>
      <c r="Q9" s="50"/>
      <c r="R9" s="52"/>
      <c r="S9" s="52"/>
      <c r="T9" s="53"/>
      <c r="V9" t="s">
        <v>49</v>
      </c>
      <c r="W9" s="367">
        <f t="shared" si="0"/>
        <v>1.8499999999999999E-2</v>
      </c>
      <c r="X9" s="5" t="b">
        <v>1</v>
      </c>
      <c r="Y9" s="5">
        <f t="shared" si="1"/>
        <v>1</v>
      </c>
      <c r="Z9" s="368">
        <f>RON_DATA!U9</f>
        <v>1.84E-2</v>
      </c>
      <c r="AA9" s="203"/>
      <c r="AB9" s="50"/>
      <c r="AC9" s="52"/>
      <c r="AD9" s="52"/>
      <c r="AE9" s="53"/>
      <c r="AG9" t="s">
        <v>316</v>
      </c>
      <c r="AH9" s="358">
        <f t="shared" si="3"/>
        <v>1E-3</v>
      </c>
      <c r="AI9" s="5" t="b">
        <v>1</v>
      </c>
      <c r="AJ9" s="5">
        <f t="shared" si="4"/>
        <v>0</v>
      </c>
      <c r="AK9" s="357">
        <f>RUB_DATA!Z9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5">
        <f t="shared" ref="BO9:BO17" si="5">BR9</f>
        <v>3.7149999999999999</v>
      </c>
      <c r="BP9" s="5" t="b">
        <v>1</v>
      </c>
      <c r="BQ9" s="5"/>
      <c r="BR9" s="362">
        <f>RON_DATA!AZ9</f>
        <v>3.7149999999999999</v>
      </c>
      <c r="BT9" s="50"/>
      <c r="BU9" s="57"/>
      <c r="BV9" s="57"/>
      <c r="BW9" s="52"/>
      <c r="BX9" s="299"/>
      <c r="BY9" s="25" t="s">
        <v>506</v>
      </c>
      <c r="BZ9" s="297">
        <f>RON_DATA!AW9</f>
        <v>3.32</v>
      </c>
      <c r="CA9" s="297">
        <f>RON_DATA!AX9</f>
        <v>4.13</v>
      </c>
      <c r="CF9" s="313"/>
      <c r="CG9" s="512"/>
      <c r="CH9" s="316"/>
      <c r="CI9" s="316"/>
      <c r="CJ9" s="316"/>
      <c r="CK9" s="316"/>
      <c r="CL9" s="299"/>
      <c r="CM9" s="546"/>
      <c r="CN9" s="436"/>
      <c r="CO9" s="513"/>
      <c r="CP9" s="513"/>
      <c r="CQ9" s="316"/>
      <c r="CR9" s="316"/>
      <c r="CS9" s="299"/>
      <c r="CT9" s="299"/>
      <c r="CU9" s="206"/>
      <c r="CV9" s="206"/>
      <c r="CW9" s="206"/>
    </row>
    <row r="10" spans="1:101" x14ac:dyDescent="0.25">
      <c r="F10" s="50"/>
      <c r="G10" s="289"/>
      <c r="H10" s="289"/>
      <c r="I10" s="53"/>
      <c r="K10" t="s">
        <v>320</v>
      </c>
      <c r="L10" s="358">
        <v>0.04</v>
      </c>
      <c r="M10" s="5" t="b">
        <v>1</v>
      </c>
      <c r="N10" s="5">
        <f t="shared" si="2"/>
        <v>1</v>
      </c>
      <c r="O10" s="5" t="s">
        <v>668</v>
      </c>
      <c r="Q10" s="50"/>
      <c r="R10" s="52"/>
      <c r="S10" s="52"/>
      <c r="T10" s="53"/>
      <c r="V10" t="s">
        <v>46</v>
      </c>
      <c r="W10" s="367">
        <f t="shared" si="0"/>
        <v>1.9050000000000001E-2</v>
      </c>
      <c r="X10" s="5" t="b">
        <v>1</v>
      </c>
      <c r="Y10" s="5">
        <f t="shared" si="1"/>
        <v>1</v>
      </c>
      <c r="Z10" s="368">
        <f>RON_DATA!U10</f>
        <v>1.8950000000000002E-2</v>
      </c>
      <c r="AA10" s="203"/>
      <c r="AB10" s="50"/>
      <c r="AC10" s="52"/>
      <c r="AD10" s="52"/>
      <c r="AE10" s="53"/>
      <c r="AG10" t="s">
        <v>324</v>
      </c>
      <c r="AH10" s="358">
        <f t="shared" si="3"/>
        <v>1E-3</v>
      </c>
      <c r="AI10" s="5" t="b">
        <v>1</v>
      </c>
      <c r="AJ10" s="5">
        <f t="shared" si="4"/>
        <v>0</v>
      </c>
      <c r="AK10" s="357">
        <f>RUB_DATA!Z10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5">
        <f t="shared" si="5"/>
        <v>26.375</v>
      </c>
      <c r="BP10" s="5" t="b">
        <v>1</v>
      </c>
      <c r="BQ10" s="5"/>
      <c r="BR10" s="362">
        <f>RON_DATA!AZ10</f>
        <v>26.375</v>
      </c>
      <c r="BT10" s="50"/>
      <c r="BU10" s="57"/>
      <c r="BV10" s="57"/>
      <c r="BW10" s="52"/>
      <c r="BX10" s="299"/>
      <c r="BY10" s="25" t="s">
        <v>305</v>
      </c>
      <c r="BZ10" s="297">
        <f>RON_DATA!AW10</f>
        <v>23.21</v>
      </c>
      <c r="CA10" s="297">
        <f>RON_DATA!AX10</f>
        <v>29.54</v>
      </c>
      <c r="CF10" s="313"/>
      <c r="CG10" s="512"/>
      <c r="CH10" s="316"/>
      <c r="CI10" s="316"/>
      <c r="CJ10" s="316"/>
      <c r="CK10" s="316"/>
      <c r="CL10" s="299"/>
      <c r="CM10" s="546"/>
      <c r="CN10" s="436"/>
      <c r="CO10" s="513"/>
      <c r="CP10" s="513"/>
      <c r="CQ10" s="316"/>
      <c r="CR10" s="316"/>
      <c r="CS10" s="299"/>
      <c r="CT10" s="299"/>
      <c r="CU10" s="206"/>
      <c r="CV10" s="206"/>
      <c r="CW10" s="206"/>
    </row>
    <row r="11" spans="1:101" x14ac:dyDescent="0.25">
      <c r="F11" s="50"/>
      <c r="G11" s="54" t="s">
        <v>671</v>
      </c>
      <c r="H11" s="52"/>
      <c r="I11" s="53"/>
      <c r="K11" t="s">
        <v>300</v>
      </c>
      <c r="L11" s="358">
        <v>0.04</v>
      </c>
      <c r="M11" s="5" t="b">
        <v>1</v>
      </c>
      <c r="N11" s="5">
        <f t="shared" si="2"/>
        <v>1</v>
      </c>
      <c r="O11" s="5" t="s">
        <v>668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1.9449999999999999E-2</v>
      </c>
      <c r="X11" s="5" t="b">
        <v>0</v>
      </c>
      <c r="Y11" s="5">
        <f t="shared" si="1"/>
        <v>1</v>
      </c>
      <c r="Z11" s="368">
        <f>RON_DATA!U11</f>
        <v>1.9349999999999999E-2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3"/>
        <v>1E-3</v>
      </c>
      <c r="AI11" s="5" t="b">
        <v>1</v>
      </c>
      <c r="AJ11" s="5">
        <f t="shared" si="4"/>
        <v>0</v>
      </c>
      <c r="AK11" s="357">
        <f>RUB_DATA!Z11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313</v>
      </c>
      <c r="BO11" s="5">
        <f t="shared" si="5"/>
        <v>54.62</v>
      </c>
      <c r="BP11" s="5" t="b">
        <v>1</v>
      </c>
      <c r="BQ11" s="5"/>
      <c r="BR11" s="362">
        <f>RON_DATA!AZ11</f>
        <v>54.62</v>
      </c>
      <c r="BT11" s="50"/>
      <c r="BU11" s="56" t="s">
        <v>671</v>
      </c>
      <c r="BV11" s="272" t="s">
        <v>825</v>
      </c>
      <c r="BW11" s="52"/>
      <c r="BX11" s="299"/>
      <c r="BY11" s="25" t="s">
        <v>313</v>
      </c>
      <c r="BZ11" s="297">
        <f>RON_DATA!AW11</f>
        <v>49.43</v>
      </c>
      <c r="CA11" s="297">
        <f>RON_DATA!AX11</f>
        <v>59.83</v>
      </c>
      <c r="CF11" s="313"/>
      <c r="CG11" s="512"/>
      <c r="CH11" s="316"/>
      <c r="CI11" s="316"/>
      <c r="CJ11" s="316"/>
      <c r="CK11" s="316"/>
      <c r="CL11" s="299"/>
      <c r="CM11" s="546"/>
      <c r="CN11" s="436"/>
      <c r="CO11" s="513"/>
      <c r="CP11" s="513"/>
      <c r="CQ11" s="316"/>
      <c r="CR11" s="316"/>
      <c r="CS11" s="299"/>
      <c r="CT11" s="299"/>
      <c r="CU11" s="206"/>
      <c r="CV11" s="206"/>
      <c r="CW11" s="206"/>
    </row>
    <row r="12" spans="1:101" x14ac:dyDescent="0.25">
      <c r="F12" s="50"/>
      <c r="G12" s="212" t="s">
        <v>435</v>
      </c>
      <c r="H12" s="213" t="s">
        <v>426</v>
      </c>
      <c r="I12" s="53"/>
      <c r="K12" t="s">
        <v>335</v>
      </c>
      <c r="L12" s="358">
        <v>0.04</v>
      </c>
      <c r="M12" s="5" t="b">
        <v>1</v>
      </c>
      <c r="N12" s="5">
        <f t="shared" si="2"/>
        <v>1</v>
      </c>
      <c r="O12" s="5" t="s">
        <v>668</v>
      </c>
      <c r="Q12" s="50"/>
      <c r="R12" s="220" t="s">
        <v>435</v>
      </c>
      <c r="S12" s="221" t="s">
        <v>463</v>
      </c>
      <c r="T12" s="53"/>
      <c r="V12" t="s">
        <v>47</v>
      </c>
      <c r="W12" s="367">
        <f t="shared" si="0"/>
        <v>1.8600000000000002E-2</v>
      </c>
      <c r="X12" s="5" t="b">
        <v>1</v>
      </c>
      <c r="Y12" s="5">
        <f t="shared" si="1"/>
        <v>1</v>
      </c>
      <c r="Z12" s="368">
        <f>RON_DATA!U12</f>
        <v>1.8500000000000003E-2</v>
      </c>
      <c r="AA12" s="203"/>
      <c r="AB12" s="50"/>
      <c r="AC12" s="220" t="s">
        <v>434</v>
      </c>
      <c r="AD12" s="238" t="str">
        <f>$A$1</f>
        <v>RON</v>
      </c>
      <c r="AE12" s="53"/>
      <c r="AG12" t="s">
        <v>339</v>
      </c>
      <c r="AH12" s="358">
        <f t="shared" si="3"/>
        <v>1E-3</v>
      </c>
      <c r="AI12" s="5" t="b">
        <v>1</v>
      </c>
      <c r="AJ12" s="5">
        <f t="shared" si="4"/>
        <v>0</v>
      </c>
      <c r="AK12" s="357">
        <f>RUB_DATA!Z12</f>
        <v>1E-3</v>
      </c>
      <c r="AL12" s="207"/>
      <c r="AM12" s="50"/>
      <c r="AN12" s="220" t="s">
        <v>434</v>
      </c>
      <c r="AO12" s="238" t="str">
        <f>$A$1</f>
        <v>RON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RON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5"/>
        <v>129.5</v>
      </c>
      <c r="BP12" s="5" t="b">
        <v>1</v>
      </c>
      <c r="BQ12" s="5"/>
      <c r="BR12" s="362">
        <f>RON_DATA!AZ12</f>
        <v>129.5</v>
      </c>
      <c r="BT12" s="50"/>
      <c r="BU12" s="238" t="s">
        <v>434</v>
      </c>
      <c r="BV12" s="238" t="s">
        <v>981</v>
      </c>
      <c r="BW12" s="52"/>
      <c r="BX12" s="299"/>
      <c r="BY12" s="25" t="s">
        <v>300</v>
      </c>
      <c r="BZ12" s="297">
        <f>RON_DATA!AW12</f>
        <v>118</v>
      </c>
      <c r="CA12" s="297">
        <f>RON_DATA!AX12</f>
        <v>141</v>
      </c>
      <c r="CF12" s="313"/>
      <c r="CG12" s="512"/>
      <c r="CH12" s="316"/>
      <c r="CI12" s="316"/>
      <c r="CJ12" s="316"/>
      <c r="CK12" s="316"/>
      <c r="CL12" s="303"/>
      <c r="CM12" s="546"/>
      <c r="CN12" s="436"/>
      <c r="CO12" s="513"/>
      <c r="CP12" s="513"/>
      <c r="CQ12" s="316"/>
      <c r="CR12" s="316"/>
      <c r="CS12" s="299"/>
      <c r="CT12" s="299"/>
      <c r="CU12" s="206"/>
      <c r="CV12" s="206"/>
      <c r="CW12" s="206"/>
    </row>
    <row r="13" spans="1:101" x14ac:dyDescent="0.25">
      <c r="F13" s="50"/>
      <c r="G13" s="214" t="s">
        <v>438</v>
      </c>
      <c r="H13" s="215" t="s">
        <v>439</v>
      </c>
      <c r="I13" s="53"/>
      <c r="K13" t="s">
        <v>49</v>
      </c>
      <c r="L13" s="358">
        <v>0.04</v>
      </c>
      <c r="M13" s="5" t="b">
        <v>1</v>
      </c>
      <c r="N13" s="5">
        <f t="shared" si="2"/>
        <v>1</v>
      </c>
      <c r="O13" s="5" t="s">
        <v>668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308</v>
      </c>
      <c r="W13" s="367">
        <f t="shared" si="0"/>
        <v>1.9E-2</v>
      </c>
      <c r="X13" s="5" t="b">
        <v>1</v>
      </c>
      <c r="Y13" s="5">
        <f t="shared" si="1"/>
        <v>1</v>
      </c>
      <c r="Z13" s="368">
        <f>RON_DATA!U13</f>
        <v>1.89E-2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3"/>
        <v>1E-3</v>
      </c>
      <c r="AI13" s="5" t="b">
        <v>1</v>
      </c>
      <c r="AJ13" s="5">
        <f t="shared" si="4"/>
        <v>0</v>
      </c>
      <c r="AK13" s="357">
        <f>RUB_DATA!Z13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">
        <v>680</v>
      </c>
      <c r="BL13" s="53"/>
      <c r="BN13" t="s">
        <v>335</v>
      </c>
      <c r="BO13" s="5">
        <f t="shared" si="5"/>
        <v>247.5</v>
      </c>
      <c r="BP13" s="5" t="b">
        <v>1</v>
      </c>
      <c r="BQ13" s="5"/>
      <c r="BR13" s="362">
        <f>RON_DATA!AZ13</f>
        <v>247.5</v>
      </c>
      <c r="BT13" s="50"/>
      <c r="BU13" s="216" t="s">
        <v>724</v>
      </c>
      <c r="BV13" s="216" t="s">
        <v>1590</v>
      </c>
      <c r="BW13" s="52"/>
      <c r="BX13" s="299"/>
      <c r="BY13" s="25" t="s">
        <v>335</v>
      </c>
      <c r="BZ13" s="297">
        <f>RON_DATA!AW13</f>
        <v>213</v>
      </c>
      <c r="CA13" s="297">
        <f>RON_DATA!AX13</f>
        <v>282</v>
      </c>
      <c r="CF13" s="313"/>
      <c r="CG13" s="512"/>
      <c r="CH13" s="316"/>
      <c r="CI13" s="316"/>
      <c r="CJ13" s="316"/>
      <c r="CK13" s="316"/>
      <c r="CL13" s="313"/>
      <c r="CM13" s="546"/>
      <c r="CN13" s="436"/>
      <c r="CO13" s="513"/>
      <c r="CP13" s="513"/>
      <c r="CQ13" s="316"/>
      <c r="CR13" s="316"/>
      <c r="CS13" s="299"/>
      <c r="CT13" s="299"/>
      <c r="CU13" s="206"/>
      <c r="CV13" s="206"/>
      <c r="CW13" s="206"/>
    </row>
    <row r="14" spans="1:101" x14ac:dyDescent="0.25">
      <c r="F14" s="50"/>
      <c r="G14" s="214" t="s">
        <v>672</v>
      </c>
      <c r="H14" s="215" t="s">
        <v>426</v>
      </c>
      <c r="I14" s="53"/>
      <c r="K14" t="s">
        <v>351</v>
      </c>
      <c r="L14" s="358">
        <v>0.04</v>
      </c>
      <c r="M14" s="5" t="b">
        <v>1</v>
      </c>
      <c r="N14" s="5">
        <f t="shared" si="2"/>
        <v>1</v>
      </c>
      <c r="O14" s="5" t="s">
        <v>668</v>
      </c>
      <c r="Q14" s="50"/>
      <c r="R14" s="222" t="s">
        <v>672</v>
      </c>
      <c r="S14" s="223" t="s">
        <v>714</v>
      </c>
      <c r="T14" s="53"/>
      <c r="V14" t="s">
        <v>316</v>
      </c>
      <c r="W14" s="367">
        <f t="shared" si="0"/>
        <v>1.8899999999999997E-2</v>
      </c>
      <c r="X14" s="5" t="b">
        <v>1</v>
      </c>
      <c r="Y14" s="5">
        <f t="shared" si="1"/>
        <v>1</v>
      </c>
      <c r="Z14" s="368">
        <f>RON_DATA!U14</f>
        <v>1.8799999999999997E-2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3"/>
        <v>1E-3</v>
      </c>
      <c r="AI14" s="5" t="b">
        <v>1</v>
      </c>
      <c r="AJ14" s="5">
        <f t="shared" si="4"/>
        <v>0</v>
      </c>
      <c r="AK14" s="357">
        <f>RUB_DATA!Z14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5"/>
        <v>360.5</v>
      </c>
      <c r="BP14" s="5" t="b">
        <v>1</v>
      </c>
      <c r="BQ14" s="5"/>
      <c r="BR14" s="362">
        <f>RON_DATA!AZ14</f>
        <v>360.5</v>
      </c>
      <c r="BT14" s="50"/>
      <c r="BU14" s="216" t="s">
        <v>435</v>
      </c>
      <c r="BV14" s="216" t="s">
        <v>820</v>
      </c>
      <c r="BW14" s="52"/>
      <c r="BX14" s="299"/>
      <c r="BY14" s="25" t="s">
        <v>49</v>
      </c>
      <c r="BZ14" s="297">
        <f>RON_DATA!AW14</f>
        <v>297</v>
      </c>
      <c r="CA14" s="297">
        <f>RON_DATA!AX14</f>
        <v>424</v>
      </c>
      <c r="CF14" s="313"/>
      <c r="CG14" s="512"/>
      <c r="CH14" s="316"/>
      <c r="CI14" s="316"/>
      <c r="CJ14" s="316"/>
      <c r="CK14" s="316"/>
      <c r="CL14" s="299"/>
      <c r="CM14" s="546"/>
      <c r="CN14" s="436"/>
      <c r="CO14" s="513"/>
      <c r="CP14" s="513"/>
      <c r="CQ14" s="316"/>
      <c r="CR14" s="316"/>
      <c r="CS14" s="299"/>
      <c r="CT14" s="299"/>
      <c r="CU14" s="206"/>
      <c r="CV14" s="206"/>
      <c r="CW14" s="206"/>
    </row>
    <row r="15" spans="1:101" x14ac:dyDescent="0.25">
      <c r="F15" s="50"/>
      <c r="G15" s="235" t="s">
        <v>673</v>
      </c>
      <c r="H15" s="236" t="str">
        <f>H14&amp;":"&amp;$A$1&amp;H12</f>
        <v>OIS:RONOIS</v>
      </c>
      <c r="I15" s="53" t="s">
        <v>424</v>
      </c>
      <c r="K15" t="s">
        <v>360</v>
      </c>
      <c r="L15" s="358">
        <v>0.04</v>
      </c>
      <c r="M15" s="5" t="b">
        <v>1</v>
      </c>
      <c r="N15" s="5">
        <f t="shared" si="2"/>
        <v>1</v>
      </c>
      <c r="O15" s="5" t="s">
        <v>668</v>
      </c>
      <c r="Q15" s="50"/>
      <c r="R15" s="233" t="s">
        <v>673</v>
      </c>
      <c r="S15" s="230" t="str">
        <f>"STD:"&amp;$A$1&amp;"3M"</f>
        <v>STD:RON3M</v>
      </c>
      <c r="T15" s="53"/>
      <c r="V15" t="s">
        <v>324</v>
      </c>
      <c r="W15" s="367">
        <f t="shared" si="0"/>
        <v>1.8899999999999997E-2</v>
      </c>
      <c r="X15" s="5" t="b">
        <v>1</v>
      </c>
      <c r="Y15" s="5">
        <f t="shared" si="1"/>
        <v>1</v>
      </c>
      <c r="Z15" s="368">
        <f>RON_DATA!U15</f>
        <v>1.8799999999999997E-2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3"/>
        <v>1E-3</v>
      </c>
      <c r="AI15" s="5" t="b">
        <v>1</v>
      </c>
      <c r="AJ15" s="5">
        <f t="shared" si="4"/>
        <v>0</v>
      </c>
      <c r="AK15" s="357">
        <f>RUB_DATA!Z15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979</v>
      </c>
      <c r="BL15" s="53"/>
      <c r="BN15" t="s">
        <v>46</v>
      </c>
      <c r="BO15" s="5">
        <f t="shared" si="5"/>
        <v>731</v>
      </c>
      <c r="BP15" s="5" t="b">
        <v>1</v>
      </c>
      <c r="BQ15" s="5"/>
      <c r="BR15" s="362">
        <f>RON_DATA!AZ15</f>
        <v>731</v>
      </c>
      <c r="BT15" s="50"/>
      <c r="BU15" s="219" t="s">
        <v>826</v>
      </c>
      <c r="BV15" s="219" t="s">
        <v>828</v>
      </c>
      <c r="BW15" s="52"/>
      <c r="BX15" s="299"/>
      <c r="BY15" s="25" t="s">
        <v>46</v>
      </c>
      <c r="BZ15" s="297">
        <f>RON_DATA!AW15</f>
        <v>682</v>
      </c>
      <c r="CA15" s="297">
        <f>RON_DATA!AX15</f>
        <v>780</v>
      </c>
      <c r="CF15" s="313"/>
      <c r="CG15" s="512"/>
      <c r="CH15" s="316"/>
      <c r="CI15" s="316"/>
      <c r="CJ15" s="316"/>
      <c r="CK15" s="316"/>
      <c r="CL15" s="299"/>
      <c r="CM15" s="546"/>
      <c r="CN15" s="436"/>
      <c r="CO15" s="513"/>
      <c r="CP15" s="513"/>
      <c r="CQ15" s="316"/>
      <c r="CR15" s="316"/>
      <c r="CS15" s="299"/>
      <c r="CT15" s="299"/>
      <c r="CU15" s="206"/>
      <c r="CV15" s="206"/>
      <c r="CW15" s="206"/>
    </row>
    <row r="16" spans="1:101" x14ac:dyDescent="0.25">
      <c r="F16" s="50"/>
      <c r="G16" s="214" t="s">
        <v>434</v>
      </c>
      <c r="H16" s="216" t="str">
        <f>$A$1</f>
        <v>RON</v>
      </c>
      <c r="I16" s="53"/>
      <c r="K16" t="s">
        <v>46</v>
      </c>
      <c r="L16" s="358">
        <v>0.04</v>
      </c>
      <c r="M16" s="5" t="b">
        <v>1</v>
      </c>
      <c r="N16" s="5">
        <f t="shared" si="2"/>
        <v>1</v>
      </c>
      <c r="O16" s="5" t="s">
        <v>668</v>
      </c>
      <c r="Q16" s="50"/>
      <c r="R16" s="222" t="s">
        <v>434</v>
      </c>
      <c r="S16" s="223" t="str">
        <f>$A$1</f>
        <v>RON</v>
      </c>
      <c r="T16" s="53"/>
      <c r="V16" t="s">
        <v>331</v>
      </c>
      <c r="W16" s="367">
        <f t="shared" si="0"/>
        <v>1.9E-2</v>
      </c>
      <c r="X16" s="5" t="b">
        <v>1</v>
      </c>
      <c r="Y16" s="5">
        <f t="shared" si="1"/>
        <v>1</v>
      </c>
      <c r="Z16" s="368">
        <f>RON_DATA!U16</f>
        <v>1.89E-2</v>
      </c>
      <c r="AA16" s="203"/>
      <c r="AB16" s="50"/>
      <c r="AC16" s="233" t="s">
        <v>673</v>
      </c>
      <c r="AD16" s="230" t="s">
        <v>977</v>
      </c>
      <c r="AE16" s="53"/>
      <c r="AG16" t="s">
        <v>349</v>
      </c>
      <c r="AH16" s="358">
        <f t="shared" si="3"/>
        <v>1E-3</v>
      </c>
      <c r="AI16" s="5" t="b">
        <v>1</v>
      </c>
      <c r="AJ16" s="5">
        <f t="shared" si="4"/>
        <v>0</v>
      </c>
      <c r="AK16" s="357">
        <f>RUB_DATA!Z16</f>
        <v>1E-3</v>
      </c>
      <c r="AL16" s="207"/>
      <c r="AM16" s="50"/>
      <c r="AN16" s="233" t="s">
        <v>673</v>
      </c>
      <c r="AO16" s="230" t="str">
        <f>"3M12MBasis:"&amp;$A$1&amp;"12M"</f>
        <v>3M12MBasis:RON12M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"1M3MBasis:"&amp;A1&amp;"3M"</f>
        <v>1M3MBasis:RON3M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RON</v>
      </c>
      <c r="BL16" s="53"/>
      <c r="BN16" t="s">
        <v>376</v>
      </c>
      <c r="BO16" s="5">
        <f t="shared" si="5"/>
        <v>1100.5</v>
      </c>
      <c r="BP16" s="5" t="b">
        <v>1</v>
      </c>
      <c r="BQ16" s="5"/>
      <c r="BR16" s="362">
        <f>RON_DATA!AZ16</f>
        <v>1100.5</v>
      </c>
      <c r="BT16" s="50"/>
      <c r="BU16" s="57"/>
      <c r="BV16" s="57"/>
      <c r="BW16" s="52"/>
      <c r="BX16" s="299"/>
      <c r="BY16" s="25" t="s">
        <v>376</v>
      </c>
      <c r="BZ16" s="297">
        <f>RON_DATA!AW16</f>
        <v>1021</v>
      </c>
      <c r="CA16" s="297">
        <f>RON_DATA!AX16</f>
        <v>1180</v>
      </c>
      <c r="CF16" s="313"/>
      <c r="CG16" s="512"/>
      <c r="CH16" s="316"/>
      <c r="CI16" s="316"/>
      <c r="CJ16" s="316"/>
      <c r="CK16" s="316"/>
      <c r="CL16" s="299"/>
      <c r="CM16" s="546"/>
      <c r="CN16" s="436"/>
      <c r="CO16" s="513"/>
      <c r="CP16" s="513"/>
      <c r="CQ16" s="316"/>
      <c r="CR16" s="316"/>
      <c r="CS16" s="299"/>
      <c r="CT16" s="299"/>
      <c r="CU16" s="206"/>
      <c r="CV16" s="206"/>
      <c r="CW16" s="206"/>
    </row>
    <row r="17" spans="6:101" x14ac:dyDescent="0.25">
      <c r="F17" s="50"/>
      <c r="G17" s="217" t="s">
        <v>674</v>
      </c>
      <c r="H17" s="216" t="s">
        <v>675</v>
      </c>
      <c r="I17" s="53"/>
      <c r="K17" t="s">
        <v>376</v>
      </c>
      <c r="L17" s="358">
        <v>0.04</v>
      </c>
      <c r="M17" s="5" t="b">
        <v>1</v>
      </c>
      <c r="N17" s="5">
        <f t="shared" si="2"/>
        <v>1</v>
      </c>
      <c r="O17" s="5" t="s">
        <v>668</v>
      </c>
      <c r="Q17" s="50"/>
      <c r="R17" s="222" t="s">
        <v>674</v>
      </c>
      <c r="S17" s="223" t="s">
        <v>715</v>
      </c>
      <c r="T17" s="53"/>
      <c r="V17" t="s">
        <v>339</v>
      </c>
      <c r="W17" s="367">
        <f t="shared" si="0"/>
        <v>1.9199999999999998E-2</v>
      </c>
      <c r="X17" s="5" t="b">
        <v>1</v>
      </c>
      <c r="Y17" s="5">
        <f t="shared" si="1"/>
        <v>1</v>
      </c>
      <c r="Z17" s="368">
        <f>RON_DATA!U17</f>
        <v>1.9099999999999999E-2</v>
      </c>
      <c r="AA17" s="203"/>
      <c r="AB17" s="50"/>
      <c r="AC17" s="222" t="s">
        <v>674</v>
      </c>
      <c r="AD17" s="216" t="s">
        <v>675</v>
      </c>
      <c r="AE17" s="53"/>
      <c r="AH17" s="358"/>
      <c r="AI17" s="5"/>
      <c r="AJ17" s="5"/>
      <c r="AK17" s="357"/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N17" t="s">
        <v>322</v>
      </c>
      <c r="BO17" s="5">
        <f t="shared" si="5"/>
        <v>1496.5</v>
      </c>
      <c r="BP17" s="5" t="b">
        <v>0</v>
      </c>
      <c r="BQ17" s="5"/>
      <c r="BR17" s="362">
        <f>RON_DATA!AZ17</f>
        <v>1496.5</v>
      </c>
      <c r="BT17" s="50"/>
      <c r="BU17" s="57"/>
      <c r="BV17" s="57"/>
      <c r="BW17" s="52"/>
      <c r="BX17" s="299"/>
      <c r="BY17" s="25" t="s">
        <v>322</v>
      </c>
      <c r="BZ17" s="297">
        <f>RON_DATA!AW17</f>
        <v>1439</v>
      </c>
      <c r="CA17" s="297">
        <f>RON_DATA!AX17</f>
        <v>1554</v>
      </c>
      <c r="CF17" s="313"/>
      <c r="CG17" s="512"/>
      <c r="CH17" s="316"/>
      <c r="CI17" s="316"/>
      <c r="CJ17" s="316"/>
      <c r="CK17" s="316"/>
      <c r="CL17" s="299"/>
      <c r="CM17" s="546"/>
      <c r="CN17" s="436"/>
      <c r="CO17" s="513"/>
      <c r="CP17" s="513"/>
      <c r="CQ17" s="316"/>
      <c r="CR17" s="316"/>
      <c r="CS17" s="299"/>
      <c r="CT17" s="299"/>
      <c r="CU17" s="206"/>
      <c r="CV17" s="206"/>
      <c r="CW17" s="206"/>
    </row>
    <row r="18" spans="6:101" x14ac:dyDescent="0.25">
      <c r="F18" s="50"/>
      <c r="G18" s="214" t="s">
        <v>676</v>
      </c>
      <c r="H18" s="216" t="s">
        <v>675</v>
      </c>
      <c r="I18" s="53"/>
      <c r="K18" t="s">
        <v>47</v>
      </c>
      <c r="L18" s="358">
        <v>0.04</v>
      </c>
      <c r="M18" s="5" t="b">
        <v>1</v>
      </c>
      <c r="N18" s="5">
        <f t="shared" si="2"/>
        <v>1</v>
      </c>
      <c r="O18" s="5" t="s">
        <v>668</v>
      </c>
      <c r="Q18" s="50"/>
      <c r="R18" s="222" t="s">
        <v>676</v>
      </c>
      <c r="S18" s="223" t="s">
        <v>715</v>
      </c>
      <c r="T18" s="53"/>
      <c r="V18" t="s">
        <v>342</v>
      </c>
      <c r="W18" s="367">
        <f t="shared" si="0"/>
        <v>1.9399999999999997E-2</v>
      </c>
      <c r="X18" s="5" t="b">
        <v>1</v>
      </c>
      <c r="Y18" s="5">
        <f t="shared" si="1"/>
        <v>1</v>
      </c>
      <c r="Z18" s="368">
        <f>RON_DATA!U18</f>
        <v>1.9299999999999998E-2</v>
      </c>
      <c r="AA18" s="203"/>
      <c r="AB18" s="50"/>
      <c r="AC18" s="222" t="s">
        <v>676</v>
      </c>
      <c r="AD18" s="216" t="s">
        <v>675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s="339" t="s">
        <v>47</v>
      </c>
      <c r="BO18" s="363">
        <f>BO19</f>
        <v>2.4849999999999997E-2</v>
      </c>
      <c r="BP18" s="364" t="b">
        <v>1</v>
      </c>
      <c r="BQ18" s="364">
        <f>$BQ$4</f>
        <v>0</v>
      </c>
      <c r="BR18" s="365">
        <f>RON_DATA!AZ21</f>
        <v>2.5049999999999999E-2</v>
      </c>
      <c r="BT18" s="50"/>
      <c r="BU18" s="57"/>
      <c r="BV18" s="57"/>
      <c r="BW18" s="52"/>
      <c r="BX18" s="299"/>
      <c r="BY18" s="25" t="s">
        <v>308</v>
      </c>
      <c r="BZ18" s="297">
        <f>RON_DATA!AW18</f>
        <v>2929</v>
      </c>
      <c r="CA18" s="297">
        <f>RON_DATA!AX18</f>
        <v>3133</v>
      </c>
      <c r="CF18" s="313"/>
      <c r="CG18" s="512"/>
      <c r="CH18" s="316"/>
      <c r="CI18" s="316"/>
      <c r="CJ18" s="316"/>
      <c r="CK18" s="316"/>
      <c r="CL18" s="299"/>
      <c r="CM18" s="546"/>
      <c r="CN18" s="436"/>
      <c r="CO18" s="513"/>
      <c r="CP18" s="513"/>
      <c r="CQ18" s="316"/>
      <c r="CR18" s="316"/>
      <c r="CS18" s="299"/>
      <c r="CT18" s="299"/>
      <c r="CU18" s="206"/>
      <c r="CV18" s="206"/>
      <c r="CW18" s="206"/>
    </row>
    <row r="19" spans="6:101" x14ac:dyDescent="0.25">
      <c r="F19" s="50"/>
      <c r="G19" s="214"/>
      <c r="H19" s="216"/>
      <c r="I19" s="53"/>
      <c r="K19" t="s">
        <v>308</v>
      </c>
      <c r="L19" s="358">
        <v>0.04</v>
      </c>
      <c r="M19" s="5" t="b">
        <v>1</v>
      </c>
      <c r="N19" s="5">
        <f t="shared" si="2"/>
        <v>1</v>
      </c>
      <c r="O19" s="5" t="s">
        <v>668</v>
      </c>
      <c r="Q19" s="50"/>
      <c r="R19" s="222" t="s">
        <v>716</v>
      </c>
      <c r="S19" s="223" t="s">
        <v>715</v>
      </c>
      <c r="T19" s="53"/>
      <c r="V19" t="s">
        <v>355</v>
      </c>
      <c r="W19" s="367">
        <f t="shared" si="0"/>
        <v>1.9599999999999999E-2</v>
      </c>
      <c r="X19" s="5" t="b">
        <v>1</v>
      </c>
      <c r="Y19" s="5">
        <f t="shared" si="1"/>
        <v>1</v>
      </c>
      <c r="Z19" s="368">
        <f>RON_DATA!U19</f>
        <v>1.95E-2</v>
      </c>
      <c r="AA19" s="203"/>
      <c r="AB19" s="50"/>
      <c r="AC19" s="222" t="s">
        <v>746</v>
      </c>
      <c r="AD19" s="216" t="s">
        <v>675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308</v>
      </c>
      <c r="BO19" s="358">
        <f>BR19+BQ19/10000</f>
        <v>2.4849999999999997E-2</v>
      </c>
      <c r="BP19" s="5" t="b">
        <v>1</v>
      </c>
      <c r="BQ19" s="5">
        <f>$BQ$4</f>
        <v>0</v>
      </c>
      <c r="BR19" s="365">
        <f>RON_DATA!AZ22</f>
        <v>2.4849999999999997E-2</v>
      </c>
      <c r="BT19" s="50"/>
      <c r="BU19" s="56" t="s">
        <v>814</v>
      </c>
      <c r="BV19" s="57"/>
      <c r="BW19" s="262"/>
      <c r="BX19" s="303"/>
      <c r="BY19" s="25" t="s">
        <v>316</v>
      </c>
      <c r="BZ19" s="297">
        <f>RON_DATA!AW19</f>
        <v>4428</v>
      </c>
      <c r="CA19" s="297">
        <f>RON_DATA!AX19</f>
        <v>4743</v>
      </c>
      <c r="CF19" s="313"/>
      <c r="CG19" s="512"/>
      <c r="CH19" s="316"/>
      <c r="CI19" s="316"/>
      <c r="CJ19" s="316"/>
      <c r="CK19" s="316"/>
      <c r="CL19" s="299"/>
      <c r="CM19" s="546"/>
      <c r="CN19" s="436"/>
      <c r="CO19" s="513"/>
      <c r="CP19" s="513"/>
      <c r="CQ19" s="316"/>
      <c r="CR19" s="316"/>
      <c r="CS19" s="299"/>
      <c r="CT19" s="299"/>
      <c r="CU19" s="206"/>
      <c r="CV19" s="206"/>
      <c r="CW19" s="206"/>
    </row>
    <row r="20" spans="6:101" x14ac:dyDescent="0.25">
      <c r="F20" s="50"/>
      <c r="G20" s="218"/>
      <c r="H20" s="219"/>
      <c r="I20" s="53"/>
      <c r="K20" t="s">
        <v>316</v>
      </c>
      <c r="L20" s="358">
        <v>0.04</v>
      </c>
      <c r="M20" s="5" t="b">
        <v>1</v>
      </c>
      <c r="N20" s="5">
        <f t="shared" si="2"/>
        <v>1</v>
      </c>
      <c r="O20" s="5" t="s">
        <v>668</v>
      </c>
      <c r="Q20" s="50"/>
      <c r="R20" s="233" t="s">
        <v>717</v>
      </c>
      <c r="S20" s="230" t="b">
        <v>0</v>
      </c>
      <c r="T20" s="53"/>
      <c r="V20" t="s">
        <v>364</v>
      </c>
      <c r="W20" s="367">
        <f t="shared" si="0"/>
        <v>1.9899999999999998E-2</v>
      </c>
      <c r="X20" s="5" t="b">
        <v>1</v>
      </c>
      <c r="Y20" s="5">
        <f t="shared" si="1"/>
        <v>1</v>
      </c>
      <c r="Z20" s="368">
        <f>RON_DATA!U20</f>
        <v>1.9799999999999998E-2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316</v>
      </c>
      <c r="BO20" s="358">
        <f t="shared" ref="BO20:BO27" si="6">BR20+BQ20/10000</f>
        <v>2.4750000000000001E-2</v>
      </c>
      <c r="BP20" s="5" t="b">
        <v>1</v>
      </c>
      <c r="BQ20" s="5">
        <f t="shared" ref="BQ20:BQ27" si="7">$BQ$4</f>
        <v>0</v>
      </c>
      <c r="BR20" s="365">
        <f>RON_DATA!AZ23</f>
        <v>2.4750000000000001E-2</v>
      </c>
      <c r="BT20" s="50"/>
      <c r="BU20" s="147" t="s">
        <v>704</v>
      </c>
      <c r="BV20" s="221" t="str">
        <f>INDEX('STATIC DATA'!C30:AB30,1,MATCH($A$1,'STATIC DATA'!$C$4:$AB$4,0))</f>
        <v>BCB:TGT</v>
      </c>
      <c r="BW20" s="52"/>
      <c r="BX20" s="299"/>
      <c r="BY20" s="25" t="s">
        <v>331</v>
      </c>
      <c r="BZ20" s="297">
        <f>RON_DATA!AW20</f>
        <v>7229</v>
      </c>
      <c r="CA20" s="297">
        <f>RON_DATA!AX20</f>
        <v>8362</v>
      </c>
      <c r="CF20" s="313"/>
      <c r="CG20" s="512"/>
      <c r="CH20" s="316"/>
      <c r="CI20" s="316"/>
      <c r="CJ20" s="316"/>
      <c r="CK20" s="316"/>
      <c r="CL20" s="299"/>
      <c r="CM20" s="546"/>
      <c r="CN20" s="436"/>
      <c r="CO20" s="513"/>
      <c r="CP20" s="513"/>
      <c r="CQ20" s="316"/>
      <c r="CR20" s="316"/>
      <c r="CS20" s="299"/>
      <c r="CT20" s="299"/>
      <c r="CU20" s="206"/>
      <c r="CV20" s="206"/>
      <c r="CW20" s="206"/>
    </row>
    <row r="21" spans="6:101" x14ac:dyDescent="0.25">
      <c r="F21" s="50"/>
      <c r="G21" s="52"/>
      <c r="H21" s="52"/>
      <c r="I21" s="53"/>
      <c r="K21" t="s">
        <v>324</v>
      </c>
      <c r="L21" s="358">
        <v>0.04</v>
      </c>
      <c r="M21" s="5" t="b">
        <v>1</v>
      </c>
      <c r="N21" s="5">
        <f t="shared" si="2"/>
        <v>1</v>
      </c>
      <c r="O21" s="5" t="s">
        <v>668</v>
      </c>
      <c r="Q21" s="50"/>
      <c r="R21" s="233" t="s">
        <v>719</v>
      </c>
      <c r="S21" s="230" t="s">
        <v>720</v>
      </c>
      <c r="T21" s="53"/>
      <c r="V21" t="s">
        <v>349</v>
      </c>
      <c r="W21" s="367">
        <f t="shared" si="0"/>
        <v>2.0299999999999999E-2</v>
      </c>
      <c r="X21" s="5" t="b">
        <v>1</v>
      </c>
      <c r="Y21" s="5">
        <f t="shared" si="1"/>
        <v>1</v>
      </c>
      <c r="Z21" s="368">
        <f>RON_DATA!U21</f>
        <v>2.0199999999999999E-2</v>
      </c>
      <c r="AA21" s="203"/>
      <c r="AB21" s="50"/>
      <c r="AC21" s="234" t="s">
        <v>748</v>
      </c>
      <c r="AD21" s="232" t="s">
        <v>978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324</v>
      </c>
      <c r="BO21" s="358">
        <f t="shared" si="6"/>
        <v>2.4750000000000001E-2</v>
      </c>
      <c r="BP21" s="5" t="b">
        <v>1</v>
      </c>
      <c r="BQ21" s="5">
        <f t="shared" si="7"/>
        <v>0</v>
      </c>
      <c r="BR21" s="365">
        <f>RON_DATA!AZ24</f>
        <v>2.4750000000000001E-2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s="25"/>
      <c r="BZ21" s="297"/>
      <c r="CA21" s="297"/>
      <c r="CF21" s="313"/>
      <c r="CG21" s="512"/>
      <c r="CH21" s="316"/>
      <c r="CI21" s="316"/>
      <c r="CJ21" s="316"/>
      <c r="CK21" s="316"/>
      <c r="CL21" s="299"/>
      <c r="CM21" s="546"/>
      <c r="CN21" s="436"/>
      <c r="CO21" s="513"/>
      <c r="CP21" s="513"/>
      <c r="CQ21" s="316"/>
      <c r="CR21" s="316"/>
      <c r="CS21" s="299"/>
      <c r="CT21" s="299"/>
      <c r="CU21" s="206"/>
      <c r="CV21" s="206"/>
      <c r="CW21" s="206"/>
    </row>
    <row r="22" spans="6:101" x14ac:dyDescent="0.25">
      <c r="F22" s="50"/>
      <c r="G22" s="54" t="s">
        <v>426</v>
      </c>
      <c r="H22" s="52"/>
      <c r="I22" s="53"/>
      <c r="K22" t="s">
        <v>331</v>
      </c>
      <c r="L22" s="358">
        <v>0.04</v>
      </c>
      <c r="M22" s="5" t="b">
        <v>1</v>
      </c>
      <c r="N22" s="5">
        <f t="shared" si="2"/>
        <v>1</v>
      </c>
      <c r="O22" s="5" t="s">
        <v>668</v>
      </c>
      <c r="Q22" s="50"/>
      <c r="R22" s="222" t="s">
        <v>706</v>
      </c>
      <c r="S22" s="223" t="s">
        <v>721</v>
      </c>
      <c r="T22" s="53"/>
      <c r="W22" s="367"/>
      <c r="X22" s="5"/>
      <c r="Z22" s="368"/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331</v>
      </c>
      <c r="BO22" s="358">
        <f t="shared" si="6"/>
        <v>2.4849999999999997E-2</v>
      </c>
      <c r="BP22" s="5" t="b">
        <v>1</v>
      </c>
      <c r="BQ22" s="5">
        <f t="shared" si="7"/>
        <v>0</v>
      </c>
      <c r="BR22" s="365">
        <f>RON_DATA!AZ25</f>
        <v>2.4849999999999997E-2</v>
      </c>
      <c r="BT22" s="50"/>
      <c r="BU22" s="149" t="s">
        <v>707</v>
      </c>
      <c r="BV22" s="223" t="s">
        <v>687</v>
      </c>
      <c r="BW22" s="52"/>
      <c r="BX22" s="299"/>
      <c r="BY22" s="25"/>
      <c r="BZ22" s="297"/>
      <c r="CA22" s="297"/>
      <c r="CF22" s="313"/>
      <c r="CG22" s="512"/>
      <c r="CH22" s="316"/>
      <c r="CI22" s="316"/>
      <c r="CJ22" s="316"/>
      <c r="CK22" s="316"/>
      <c r="CL22" s="299"/>
      <c r="CM22" s="546"/>
      <c r="CN22" s="436"/>
      <c r="CO22" s="513"/>
      <c r="CP22" s="513"/>
      <c r="CQ22" s="316"/>
      <c r="CR22" s="316"/>
      <c r="CS22" s="299"/>
      <c r="CT22" s="299"/>
      <c r="CU22" s="206"/>
      <c r="CV22" s="206"/>
      <c r="CW22" s="206"/>
    </row>
    <row r="23" spans="6:101" x14ac:dyDescent="0.25">
      <c r="F23" s="50"/>
      <c r="G23" s="220" t="s">
        <v>677</v>
      </c>
      <c r="H23" s="221" t="str">
        <f>INDEX('STATIC DATA'!C43:AB43,1,MATCH($A$1,'STATIC DATA'!$C$4:$AB$4,0))</f>
        <v>BCB</v>
      </c>
      <c r="I23" s="53"/>
      <c r="K23" t="s">
        <v>342</v>
      </c>
      <c r="L23" s="358">
        <v>0.04</v>
      </c>
      <c r="M23" s="5" t="b">
        <v>1</v>
      </c>
      <c r="N23" s="5">
        <f t="shared" si="2"/>
        <v>1</v>
      </c>
      <c r="O23" s="5" t="s">
        <v>668</v>
      </c>
      <c r="Q23" s="50"/>
      <c r="R23" s="222" t="s">
        <v>722</v>
      </c>
      <c r="S23" s="223" t="b">
        <v>0</v>
      </c>
      <c r="T23" s="53"/>
      <c r="W23" s="367"/>
      <c r="X23" s="5"/>
      <c r="Z23" s="368"/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339</v>
      </c>
      <c r="BO23" s="358">
        <f t="shared" si="6"/>
        <v>2.5049999999999999E-2</v>
      </c>
      <c r="BP23" s="5" t="b">
        <v>1</v>
      </c>
      <c r="BQ23" s="5">
        <f t="shared" si="7"/>
        <v>0</v>
      </c>
      <c r="BR23" s="365">
        <f>RON_DATA!AZ26</f>
        <v>2.5049999999999999E-2</v>
      </c>
      <c r="BT23" s="50"/>
      <c r="BU23" s="149" t="s">
        <v>689</v>
      </c>
      <c r="BV23" s="223" t="b">
        <v>1</v>
      </c>
      <c r="BW23" s="52"/>
      <c r="BX23" s="299"/>
      <c r="CF23" s="313"/>
      <c r="CG23" s="512"/>
      <c r="CH23" s="316"/>
      <c r="CI23" s="316"/>
      <c r="CJ23" s="316"/>
      <c r="CK23" s="316"/>
      <c r="CL23" s="299"/>
      <c r="CM23" s="546"/>
      <c r="CN23" s="436"/>
      <c r="CO23" s="513"/>
      <c r="CP23" s="513"/>
      <c r="CQ23" s="316"/>
      <c r="CR23" s="316"/>
      <c r="CS23" s="299"/>
      <c r="CT23" s="299"/>
      <c r="CU23" s="206"/>
      <c r="CV23" s="206"/>
      <c r="CW23" s="206"/>
    </row>
    <row r="24" spans="6:101" x14ac:dyDescent="0.25">
      <c r="F24" s="50"/>
      <c r="G24" s="222" t="s">
        <v>678</v>
      </c>
      <c r="H24" s="223" t="s">
        <v>48</v>
      </c>
      <c r="I24" s="53"/>
      <c r="K24" t="s">
        <v>349</v>
      </c>
      <c r="L24" s="358">
        <v>0.04</v>
      </c>
      <c r="M24" s="5" t="b">
        <v>1</v>
      </c>
      <c r="N24" s="5">
        <f t="shared" si="2"/>
        <v>1</v>
      </c>
      <c r="O24" s="5" t="s">
        <v>668</v>
      </c>
      <c r="Q24" s="50"/>
      <c r="R24" s="222" t="s">
        <v>723</v>
      </c>
      <c r="S24" s="223" t="s">
        <v>718</v>
      </c>
      <c r="T24" s="53"/>
      <c r="W24" s="367"/>
      <c r="X24" s="5"/>
      <c r="Z24" s="368"/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342</v>
      </c>
      <c r="BO24" s="358">
        <f t="shared" si="6"/>
        <v>2.5249999999999998E-2</v>
      </c>
      <c r="BP24" s="5" t="b">
        <v>1</v>
      </c>
      <c r="BQ24" s="5">
        <f t="shared" si="7"/>
        <v>0</v>
      </c>
      <c r="BR24" s="365">
        <f>RON_DATA!AZ27</f>
        <v>2.5249999999999998E-2</v>
      </c>
      <c r="BT24" s="50"/>
      <c r="BU24" s="149" t="s">
        <v>688</v>
      </c>
      <c r="BV24" s="223">
        <v>31</v>
      </c>
      <c r="BW24" s="52"/>
      <c r="BX24" s="299"/>
      <c r="CF24" s="313"/>
      <c r="CG24" s="512"/>
      <c r="CH24" s="316"/>
      <c r="CI24" s="316"/>
      <c r="CJ24" s="316"/>
      <c r="CK24" s="316"/>
      <c r="CL24" s="299"/>
      <c r="CM24" s="546"/>
      <c r="CN24" s="436"/>
      <c r="CO24" s="513"/>
      <c r="CP24" s="513"/>
      <c r="CQ24" s="316"/>
      <c r="CR24" s="316"/>
      <c r="CS24" s="299"/>
      <c r="CT24" s="299"/>
      <c r="CU24" s="206"/>
      <c r="CV24" s="206"/>
      <c r="CW24" s="206"/>
    </row>
    <row r="25" spans="6:101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QUARTERLY</v>
      </c>
      <c r="I25" s="53"/>
      <c r="K25" t="s">
        <v>374</v>
      </c>
      <c r="L25" s="358">
        <v>0.04</v>
      </c>
      <c r="M25" s="5" t="b">
        <v>1</v>
      </c>
      <c r="N25" s="5">
        <f t="shared" si="2"/>
        <v>1</v>
      </c>
      <c r="O25" s="5" t="s">
        <v>668</v>
      </c>
      <c r="Q25" s="50"/>
      <c r="R25" s="234" t="s">
        <v>724</v>
      </c>
      <c r="S25" s="232" t="s">
        <v>725</v>
      </c>
      <c r="T25" s="53"/>
      <c r="W25" s="367"/>
      <c r="X25" s="5"/>
      <c r="Z25" s="368"/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N25" t="s">
        <v>355</v>
      </c>
      <c r="BO25" s="358">
        <f t="shared" si="6"/>
        <v>2.5499999999999998E-2</v>
      </c>
      <c r="BP25" s="5" t="b">
        <v>1</v>
      </c>
      <c r="BQ25" s="5">
        <f t="shared" si="7"/>
        <v>0</v>
      </c>
      <c r="BR25" s="365">
        <f>RON_DATA!AZ28</f>
        <v>2.5499999999999998E-2</v>
      </c>
      <c r="BT25" s="50"/>
      <c r="BU25" s="151" t="s">
        <v>819</v>
      </c>
      <c r="BV25" s="226" t="b">
        <v>0</v>
      </c>
      <c r="BW25" s="52"/>
      <c r="BX25" s="299"/>
      <c r="CF25" s="313"/>
      <c r="CG25" s="512"/>
      <c r="CH25" s="316"/>
      <c r="CI25" s="316"/>
      <c r="CJ25" s="316"/>
      <c r="CK25" s="316"/>
      <c r="CL25" s="299"/>
      <c r="CM25" s="546"/>
      <c r="CN25" s="436"/>
      <c r="CO25" s="513"/>
      <c r="CP25" s="513"/>
      <c r="CQ25" s="316"/>
      <c r="CR25" s="316"/>
      <c r="CS25" s="299"/>
      <c r="CT25" s="299"/>
      <c r="CU25" s="206"/>
      <c r="CV25" s="206"/>
      <c r="CW25" s="206"/>
    </row>
    <row r="26" spans="6:101" x14ac:dyDescent="0.25">
      <c r="F26" s="50"/>
      <c r="G26" s="222" t="s">
        <v>681</v>
      </c>
      <c r="H26" s="223" t="s">
        <v>682</v>
      </c>
      <c r="I26" s="53"/>
      <c r="K26" t="s">
        <v>389</v>
      </c>
      <c r="L26" s="358">
        <v>0.04</v>
      </c>
      <c r="M26" s="5" t="b">
        <v>1</v>
      </c>
      <c r="N26" s="5">
        <f t="shared" si="2"/>
        <v>1</v>
      </c>
      <c r="O26" s="5" t="s">
        <v>668</v>
      </c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807</v>
      </c>
      <c r="BK26" s="85"/>
      <c r="BL26" s="53"/>
      <c r="BN26" t="s">
        <v>364</v>
      </c>
      <c r="BO26" s="358">
        <f t="shared" si="6"/>
        <v>2.58E-2</v>
      </c>
      <c r="BP26" s="5" t="b">
        <v>1</v>
      </c>
      <c r="BQ26" s="5">
        <f t="shared" si="7"/>
        <v>0</v>
      </c>
      <c r="BR26" s="365">
        <f>RON_DATA!AZ29</f>
        <v>2.58E-2</v>
      </c>
      <c r="BT26" s="50"/>
      <c r="BU26" s="52"/>
      <c r="BV26" s="52"/>
      <c r="BW26" s="52"/>
      <c r="BX26" s="299"/>
      <c r="CF26" s="313"/>
      <c r="CG26" s="512"/>
      <c r="CH26" s="316"/>
      <c r="CI26" s="316"/>
      <c r="CJ26" s="316"/>
      <c r="CK26" s="316"/>
      <c r="CL26" s="299"/>
      <c r="CM26" s="546"/>
      <c r="CN26" s="436"/>
      <c r="CO26" s="513"/>
      <c r="CP26" s="513"/>
      <c r="CQ26" s="316"/>
      <c r="CR26" s="316"/>
      <c r="CS26" s="299"/>
      <c r="CT26" s="299"/>
      <c r="CU26" s="206"/>
      <c r="CV26" s="206"/>
      <c r="CW26" s="206"/>
    </row>
    <row r="27" spans="6:101" x14ac:dyDescent="0.25">
      <c r="F27" s="50"/>
      <c r="G27" s="222" t="s">
        <v>683</v>
      </c>
      <c r="H27" s="223" t="s">
        <v>5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45" t="s">
        <v>749</v>
      </c>
      <c r="BK27" s="243" t="s">
        <v>803</v>
      </c>
      <c r="BL27" s="53"/>
      <c r="BN27" t="s">
        <v>349</v>
      </c>
      <c r="BO27" s="358">
        <f t="shared" si="6"/>
        <v>2.6150000000000003E-2</v>
      </c>
      <c r="BP27" s="5" t="b">
        <v>1</v>
      </c>
      <c r="BQ27" s="5">
        <f t="shared" si="7"/>
        <v>0</v>
      </c>
      <c r="BR27" s="365">
        <f>RON_DATA!AZ30</f>
        <v>2.6150000000000003E-2</v>
      </c>
      <c r="BT27" s="50"/>
      <c r="BU27" s="52"/>
      <c r="BV27" s="52"/>
      <c r="BW27" s="52"/>
      <c r="BX27" s="299"/>
      <c r="CF27" s="313"/>
      <c r="CG27" s="512"/>
      <c r="CH27" s="316"/>
      <c r="CI27" s="316"/>
      <c r="CJ27" s="316"/>
      <c r="CK27" s="316"/>
      <c r="CL27" s="299"/>
      <c r="CM27" s="546"/>
      <c r="CN27" s="436"/>
      <c r="CO27" s="513"/>
      <c r="CP27" s="513"/>
      <c r="CQ27" s="316"/>
      <c r="CR27" s="316"/>
      <c r="CS27" s="299"/>
      <c r="CT27" s="299"/>
      <c r="CU27" s="206"/>
      <c r="CV27" s="206"/>
      <c r="CW27" s="206"/>
    </row>
    <row r="28" spans="6:101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BCB</v>
      </c>
      <c r="T28" s="53"/>
      <c r="W28" s="367"/>
      <c r="X28" s="5"/>
      <c r="Z28" s="368"/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b">
        <v>0</v>
      </c>
      <c r="BA28" s="53"/>
      <c r="BI28" s="50"/>
      <c r="BJ28" s="233" t="s">
        <v>750</v>
      </c>
      <c r="BK28" s="230" t="b">
        <v>0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CF28" s="313"/>
      <c r="CG28" s="512"/>
      <c r="CH28" s="316"/>
      <c r="CI28" s="316"/>
      <c r="CJ28" s="316"/>
      <c r="CK28" s="316"/>
      <c r="CL28" s="299"/>
      <c r="CM28" s="546"/>
      <c r="CN28" s="436"/>
      <c r="CO28" s="513"/>
      <c r="CP28" s="513"/>
      <c r="CQ28" s="316"/>
      <c r="CR28" s="316"/>
      <c r="CS28" s="299"/>
      <c r="CT28" s="299"/>
      <c r="CU28" s="206"/>
      <c r="CV28" s="206"/>
      <c r="CW28" s="206"/>
    </row>
    <row r="29" spans="6:101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ACT/360</v>
      </c>
      <c r="T29" s="53"/>
      <c r="W29" s="367"/>
      <c r="X29" s="5"/>
      <c r="Z29" s="368"/>
      <c r="AA29" s="203"/>
      <c r="AB29" s="50"/>
      <c r="AC29" s="222" t="s">
        <v>751</v>
      </c>
      <c r="AD29" s="216" t="str">
        <f>INDEX('STATIC DATA'!C39:AB39,1,MATCH($A$1,'STATIC DATA'!$C$4:$AB$4,0))</f>
        <v>BCB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DATA'!C39:AB39,1,MATCH($A$1,'STATIC DATA'!$C$4:$AB$4,0))</f>
        <v>BCB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2" t="s">
        <v>751</v>
      </c>
      <c r="BK29" s="216" t="str">
        <f>INDEX('STATIC DATA'!C30:AB30,1,MATCH($A$1,'STATIC DATA'!$C$4:$AB$4,0))</f>
        <v>BCB:TGT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BY29" s="416"/>
      <c r="BZ29" s="416"/>
      <c r="CA29" s="416"/>
      <c r="CB29" s="416"/>
      <c r="CC29" s="416"/>
      <c r="CF29" s="299"/>
      <c r="CG29" s="299"/>
      <c r="CH29" s="299"/>
      <c r="CI29" s="299"/>
      <c r="CJ29" s="299"/>
      <c r="CK29" s="299"/>
      <c r="CL29" s="299"/>
      <c r="CM29" s="546"/>
      <c r="CN29" s="436"/>
      <c r="CO29" s="513"/>
      <c r="CP29" s="513"/>
      <c r="CQ29" s="316"/>
      <c r="CR29" s="316"/>
      <c r="CS29" s="299"/>
      <c r="CT29" s="299"/>
      <c r="CU29" s="206"/>
      <c r="CV29" s="206"/>
      <c r="CW29" s="206"/>
    </row>
    <row r="30" spans="6:101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222" t="s">
        <v>752</v>
      </c>
      <c r="AD30" s="216" t="str">
        <f>INDEX('STATIC DATA'!C55:AB55,1,MATCH($A$1,'STATIC DATA'!C4:AB4,0))</f>
        <v>ACT/360</v>
      </c>
      <c r="AE30" s="53"/>
      <c r="AH30" s="5"/>
      <c r="AI30" s="5"/>
      <c r="AJ30" s="5"/>
      <c r="AK30" s="5"/>
      <c r="AM30" s="50"/>
      <c r="AN30" s="222" t="s">
        <v>752</v>
      </c>
      <c r="AO30" s="216" t="str">
        <f>INDEX('STATIC DATA'!C55:AB55,1,MATCH($A$1,'STATIC DATA'!C4:AB4,0))</f>
        <v>ACT/360</v>
      </c>
      <c r="AP30" s="53"/>
      <c r="AX30" s="50"/>
      <c r="AY30" s="222" t="s">
        <v>752</v>
      </c>
      <c r="AZ30" s="216" t="e">
        <f>INDEX('STATIC DATA'!Y55:AY55,1,MATCH($A$1,'STATIC DATA'!Y4:AV4,0))</f>
        <v>#N/A</v>
      </c>
      <c r="BA30" s="53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O30" s="358"/>
      <c r="BP30" s="5"/>
      <c r="BQ30" s="5"/>
      <c r="BR30" s="357"/>
      <c r="BT30" s="50"/>
      <c r="BU30" s="55"/>
      <c r="BV30" s="55"/>
      <c r="BW30" s="55"/>
      <c r="BX30" s="332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546"/>
      <c r="CN30" s="436"/>
      <c r="CO30" s="513"/>
      <c r="CP30" s="513"/>
      <c r="CQ30" s="316"/>
      <c r="CR30" s="316"/>
      <c r="CS30" s="299"/>
      <c r="CT30" s="299"/>
      <c r="CU30" s="206"/>
      <c r="CV30" s="206"/>
      <c r="CW30" s="206"/>
    </row>
    <row r="31" spans="6:101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753</v>
      </c>
      <c r="BK31" s="219" t="s">
        <v>458</v>
      </c>
      <c r="BL31" s="249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546"/>
      <c r="CN31" s="436"/>
      <c r="CO31" s="513"/>
      <c r="CP31" s="513"/>
      <c r="CQ31" s="316"/>
      <c r="CR31" s="316"/>
      <c r="CS31" s="299"/>
      <c r="CT31" s="299"/>
      <c r="CU31" s="206"/>
      <c r="CV31" s="206"/>
      <c r="CW31" s="206"/>
    </row>
    <row r="32" spans="6:101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754</v>
      </c>
      <c r="BK32" s="216" t="s">
        <v>687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206"/>
      <c r="CA32" s="299"/>
      <c r="CB32" s="299"/>
      <c r="CC32" s="206"/>
      <c r="CD32" s="299"/>
      <c r="CE32" s="299"/>
      <c r="CF32" s="299"/>
      <c r="CG32" s="299"/>
      <c r="CH32" s="299"/>
      <c r="CI32" s="299"/>
      <c r="CJ32" s="299"/>
      <c r="CK32" s="299"/>
      <c r="CL32" s="299"/>
      <c r="CM32" s="546"/>
      <c r="CN32" s="436"/>
      <c r="CO32" s="513"/>
      <c r="CP32" s="513"/>
      <c r="CQ32" s="316"/>
      <c r="CR32" s="316"/>
      <c r="CS32" s="299"/>
      <c r="CT32" s="299"/>
      <c r="CU32" s="206"/>
      <c r="CV32" s="206"/>
      <c r="CW32" s="206"/>
    </row>
    <row r="33" spans="6:101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BCB</v>
      </c>
      <c r="T33" s="53"/>
      <c r="W33" s="367"/>
      <c r="X33" s="5"/>
      <c r="Z33" s="368"/>
      <c r="AB33" s="50"/>
      <c r="AC33" s="222" t="s">
        <v>755</v>
      </c>
      <c r="AD33" s="216" t="str">
        <f>INDEX('STATIC DATA'!C7:AB7,1,MATCH($A$1,'STATIC DATA'!C4:AB4,0))</f>
        <v>2D</v>
      </c>
      <c r="AE33" s="53"/>
      <c r="AM33" s="50"/>
      <c r="AN33" s="222" t="s">
        <v>755</v>
      </c>
      <c r="AO33" s="216" t="str">
        <f>INDEX('STATIC DATA'!C7:AB7,1,MATCH($A$1,'STATIC DATA'!C4:AB4,0))</f>
        <v>2D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22" t="s">
        <v>755</v>
      </c>
      <c r="BK33" s="216" t="str">
        <f>INDEX('STATIC DATA'!C7:AB7,1,MATCH($A$1,'STATIC DATA'!C4:AB4,0))</f>
        <v>2D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C33" s="206"/>
      <c r="CD33" s="299"/>
      <c r="CE33" s="299"/>
      <c r="CF33" s="299"/>
      <c r="CG33" s="299"/>
      <c r="CH33" s="299"/>
      <c r="CI33" s="299"/>
      <c r="CJ33" s="299"/>
      <c r="CK33" s="299"/>
      <c r="CL33" s="299"/>
      <c r="CM33" s="546"/>
      <c r="CN33" s="436"/>
      <c r="CO33" s="513"/>
      <c r="CP33" s="513"/>
      <c r="CQ33" s="316"/>
      <c r="CR33" s="316"/>
      <c r="CS33" s="299"/>
      <c r="CT33" s="299"/>
      <c r="CU33" s="206"/>
      <c r="CV33" s="206"/>
      <c r="CW33" s="206"/>
    </row>
    <row r="34" spans="6:101" x14ac:dyDescent="0.25">
      <c r="F34" s="50"/>
      <c r="G34" s="222" t="s">
        <v>697</v>
      </c>
      <c r="H34" s="224">
        <v>1E-8</v>
      </c>
      <c r="I34" s="53"/>
      <c r="L34" s="5"/>
      <c r="M34" s="5"/>
      <c r="N34" s="5"/>
      <c r="O34" s="5"/>
      <c r="Q34" s="50"/>
      <c r="R34" s="222" t="s">
        <v>678</v>
      </c>
      <c r="S34" s="223" t="str">
        <f>INDEX('STATIC DATA'!C55:AB55,1,MATCH($A$1,'STATIC DATA'!C4:AB4,0))</f>
        <v>ACT/360</v>
      </c>
      <c r="T34" s="53"/>
      <c r="W34" s="367"/>
      <c r="X34" s="5"/>
      <c r="Z34" s="368"/>
      <c r="AB34" s="50"/>
      <c r="AC34" s="245" t="s">
        <v>756</v>
      </c>
      <c r="AD34" s="247" t="str">
        <f>$A$1&amp;"3M"</f>
        <v>RON3M</v>
      </c>
      <c r="AE34" s="249" t="s">
        <v>801</v>
      </c>
      <c r="AM34" s="50"/>
      <c r="AN34" s="234" t="s">
        <v>756</v>
      </c>
      <c r="AO34" s="247" t="str">
        <f>$A$1&amp;"3M"</f>
        <v>RON3M</v>
      </c>
      <c r="AP34" s="249" t="s">
        <v>801</v>
      </c>
      <c r="AX34" s="50"/>
      <c r="AY34" s="245" t="s">
        <v>756</v>
      </c>
      <c r="AZ34" s="244" t="str">
        <f>"AGAINST:"&amp;$A$1&amp;"3M"</f>
        <v>AGAINST:RON3M</v>
      </c>
      <c r="BA34" s="53"/>
      <c r="BI34" s="50"/>
      <c r="BJ34" s="234" t="s">
        <v>757</v>
      </c>
      <c r="BK34" s="260" t="s">
        <v>773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C34" s="206"/>
      <c r="CD34" s="299"/>
      <c r="CE34" s="299"/>
      <c r="CF34" s="299"/>
      <c r="CG34" s="299"/>
      <c r="CH34" s="299"/>
      <c r="CI34" s="299"/>
      <c r="CJ34" s="299"/>
      <c r="CK34" s="299"/>
      <c r="CL34" s="299"/>
      <c r="CM34" s="546"/>
      <c r="CN34" s="436"/>
      <c r="CO34" s="513"/>
      <c r="CP34" s="513"/>
      <c r="CQ34" s="316"/>
      <c r="CR34" s="316"/>
      <c r="CS34" s="299"/>
      <c r="CT34" s="299"/>
      <c r="CU34" s="206"/>
      <c r="CV34" s="206"/>
      <c r="CW34" s="206"/>
    </row>
    <row r="35" spans="6:101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W35" s="367"/>
      <c r="X35" s="5"/>
      <c r="Z35" s="368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">
        <v>426</v>
      </c>
      <c r="AP35" s="53"/>
      <c r="AX35" s="50"/>
      <c r="AY35" s="233" t="s">
        <v>757</v>
      </c>
      <c r="AZ35" s="244" t="str">
        <f>"AGAINST:OIS"</f>
        <v>AGAINST:OIS</v>
      </c>
      <c r="BA35" s="53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C35" s="299"/>
      <c r="CD35" s="299"/>
      <c r="CE35" s="299"/>
      <c r="CF35" s="299"/>
      <c r="CG35" s="299"/>
      <c r="CH35" s="299"/>
      <c r="CI35" s="299"/>
      <c r="CJ35" s="299"/>
      <c r="CK35" s="299"/>
      <c r="CL35" s="299"/>
      <c r="CM35" s="299"/>
      <c r="CN35" s="299"/>
      <c r="CO35" s="299"/>
      <c r="CP35" s="299"/>
      <c r="CQ35" s="299"/>
      <c r="CR35" s="299"/>
      <c r="CS35" s="299"/>
      <c r="CT35" s="299"/>
      <c r="CU35" s="206"/>
      <c r="CV35" s="206"/>
      <c r="CW35" s="206"/>
    </row>
    <row r="36" spans="6:101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>
        <v>0</v>
      </c>
      <c r="T36" s="53"/>
      <c r="W36" s="367"/>
      <c r="X36" s="5"/>
      <c r="Z36" s="368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C36" s="299"/>
      <c r="CD36" s="299"/>
      <c r="CE36" s="299"/>
      <c r="CF36" s="299"/>
      <c r="CG36" s="299"/>
      <c r="CH36" s="299"/>
      <c r="CI36" s="299"/>
      <c r="CJ36" s="299"/>
      <c r="CK36" s="299"/>
      <c r="CL36" s="299"/>
      <c r="CM36" s="299"/>
      <c r="CN36" s="299"/>
      <c r="CO36" s="299"/>
      <c r="CP36" s="299"/>
      <c r="CQ36" s="299"/>
      <c r="CR36" s="299"/>
      <c r="CS36" s="299"/>
      <c r="CT36" s="299"/>
      <c r="CU36" s="206"/>
      <c r="CV36" s="206"/>
      <c r="CW36" s="206"/>
    </row>
    <row r="37" spans="6:101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ACT/360</v>
      </c>
      <c r="AE37" s="53"/>
      <c r="AG37" s="2" t="s">
        <v>662</v>
      </c>
      <c r="AM37" s="50"/>
      <c r="AN37" s="222" t="s">
        <v>759</v>
      </c>
      <c r="AO37" s="216" t="str">
        <f>INDEX('STATIC DATA'!C55:AB55,1,MATCH($A$1,'STATIC DATA'!C4:AB4,0))</f>
        <v>ACT/360</v>
      </c>
      <c r="AP37" s="53"/>
      <c r="AX37" s="50"/>
      <c r="AY37" s="222" t="s">
        <v>759</v>
      </c>
      <c r="AZ37" s="216" t="e">
        <f>INDEX('STATIC DATA'!Y55:AY55,1,MATCH($A$1,'STATIC DATA'!Y4:AV4,0))</f>
        <v>#N/A</v>
      </c>
      <c r="BA37" s="53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C37" s="299"/>
      <c r="CD37" s="299"/>
      <c r="CE37" s="299"/>
      <c r="CF37" s="299"/>
      <c r="CG37" s="299"/>
      <c r="CH37" s="299"/>
      <c r="CI37" s="299"/>
      <c r="CJ37" s="299"/>
      <c r="CK37" s="299"/>
      <c r="CL37" s="299"/>
      <c r="CM37" s="299"/>
      <c r="CN37" s="299"/>
      <c r="CO37" s="299"/>
      <c r="CP37" s="299"/>
      <c r="CQ37" s="299"/>
      <c r="CR37" s="299"/>
      <c r="CS37" s="299"/>
      <c r="CT37" s="299"/>
      <c r="CU37" s="206"/>
      <c r="CV37" s="206"/>
      <c r="CW37" s="206"/>
    </row>
    <row r="38" spans="6:101" x14ac:dyDescent="0.25">
      <c r="F38" s="50"/>
      <c r="G38" s="222"/>
      <c r="H38" s="223"/>
      <c r="I38" s="53"/>
      <c r="K38" t="s">
        <v>434</v>
      </c>
      <c r="L38" t="str">
        <f>$A$1</f>
        <v>RON</v>
      </c>
      <c r="Q38" s="50"/>
      <c r="R38" s="225"/>
      <c r="S38" s="226"/>
      <c r="T38" s="53"/>
      <c r="V38" t="s">
        <v>434</v>
      </c>
      <c r="W38" t="str">
        <f>$A$1</f>
        <v>RON</v>
      </c>
      <c r="AB38" s="50"/>
      <c r="AC38" s="222" t="s">
        <v>760</v>
      </c>
      <c r="AD38" s="216" t="str">
        <f>INDEX('STATIC DATA'!C39:AB39,1,MATCH($A$1,'STATIC DATA'!$C$4:$AB$4,0))</f>
        <v>BCB</v>
      </c>
      <c r="AE38" s="53"/>
      <c r="AG38" t="s">
        <v>434</v>
      </c>
      <c r="AH38" t="str">
        <f>$A$1</f>
        <v>RON</v>
      </c>
      <c r="AM38" s="50"/>
      <c r="AN38" s="222" t="s">
        <v>760</v>
      </c>
      <c r="AO38" s="216" t="str">
        <f>INDEX('STATIC DATA'!C39:AB39,1,MATCH($A$1,'STATIC DATA'!$C$4:$AB$4,0))</f>
        <v>BCB</v>
      </c>
      <c r="AP38" s="53"/>
      <c r="AX38" s="50"/>
      <c r="AY38" s="222" t="s">
        <v>760</v>
      </c>
      <c r="AZ38" s="216" t="str">
        <f>INDEX('STATIC DATA'!C39:AB39,1,MATCH($A$1,'STATIC DATA'!$C$4:$AB$4,0))</f>
        <v>BCB</v>
      </c>
      <c r="BA38" s="53"/>
      <c r="BI38" s="50"/>
      <c r="BJ38" s="222" t="s">
        <v>760</v>
      </c>
      <c r="BK38" s="216" t="str">
        <f>INDEX('STATIC DATA'!C30:AB30,1,MATCH($A$1,'STATIC DATA'!$C$4:$AB$4,0))</f>
        <v>BCB:TGT</v>
      </c>
      <c r="BL38" s="53"/>
      <c r="BN38" t="s">
        <v>434</v>
      </c>
      <c r="BO38" t="str">
        <f>$A$1</f>
        <v>RON</v>
      </c>
      <c r="BT38" s="50"/>
      <c r="BU38" s="55"/>
      <c r="BV38" s="55"/>
      <c r="BW38" s="55"/>
      <c r="BX38" s="332"/>
      <c r="BY38" s="147" t="s">
        <v>434</v>
      </c>
      <c r="BZ38" s="238" t="str">
        <f>"EUR/"&amp;$A$1</f>
        <v>EUR/RON</v>
      </c>
      <c r="CA38" s="305"/>
      <c r="CB38" s="299"/>
      <c r="CC38" s="299"/>
      <c r="CD38" s="299"/>
      <c r="CE38" s="299"/>
      <c r="CF38" s="299"/>
      <c r="CG38" s="299"/>
      <c r="CH38" s="299"/>
      <c r="CI38" s="299"/>
      <c r="CJ38" s="299"/>
      <c r="CK38" s="299"/>
      <c r="CL38" s="299"/>
      <c r="CM38" s="299"/>
      <c r="CN38" s="299"/>
      <c r="CO38" s="299"/>
      <c r="CP38" s="299"/>
      <c r="CQ38" s="299"/>
      <c r="CR38" s="299"/>
      <c r="CS38" s="299"/>
      <c r="CT38" s="299"/>
      <c r="CU38" s="206"/>
      <c r="CV38" s="206"/>
      <c r="CW38" s="206"/>
    </row>
    <row r="39" spans="6:101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2" t="s">
        <v>713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C39" s="299"/>
      <c r="CD39" s="299"/>
      <c r="CE39" s="303"/>
      <c r="CF39" s="299"/>
      <c r="CG39" s="299"/>
      <c r="CH39" s="299"/>
      <c r="CI39" s="299"/>
      <c r="CJ39" s="299"/>
      <c r="CK39" s="299"/>
      <c r="CL39" s="299"/>
      <c r="CM39" s="299"/>
      <c r="CN39" s="299"/>
      <c r="CO39" s="299"/>
      <c r="CP39" s="299"/>
      <c r="CQ39" s="299"/>
      <c r="CR39" s="299"/>
      <c r="CS39" s="299"/>
      <c r="CT39" s="299"/>
      <c r="CU39" s="206"/>
      <c r="CV39" s="206"/>
      <c r="CW39" s="206"/>
    </row>
    <row r="40" spans="6:101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54" t="s">
        <v>428</v>
      </c>
      <c r="S40" s="52" t="s">
        <v>713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BCB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DATA'!C39:AB39,1,MATCH($A$1,'STATIC DATA'!$C$4:$AB$4,0))</f>
        <v>BCB</v>
      </c>
      <c r="AP40" s="53"/>
      <c r="AX40" s="50"/>
      <c r="AY40" s="225" t="s">
        <v>762</v>
      </c>
      <c r="AZ40" s="219" t="str">
        <f>INDEX('STATIC DATA'!C39:AB39,1,MATCH($A$1,'STATIC DATA'!$C$4:$AB$4,0))</f>
        <v>BCB</v>
      </c>
      <c r="BA40" s="53"/>
      <c r="BI40" s="50"/>
      <c r="BJ40" s="225" t="s">
        <v>762</v>
      </c>
      <c r="BK40" s="219" t="str">
        <f>INDEX('STATIC DATA'!C30:AB30,1,MATCH($A$1,'STATIC DATA'!$C$4:$AB$4,0))</f>
        <v>BCB:TGT</v>
      </c>
      <c r="BL40" s="53"/>
      <c r="BN40" t="s">
        <v>438</v>
      </c>
      <c r="BO40" t="s">
        <v>680</v>
      </c>
      <c r="BT40" s="50"/>
      <c r="BU40" s="55"/>
      <c r="BV40" s="55"/>
      <c r="BW40" s="55"/>
      <c r="BX40" s="332"/>
      <c r="BY40" s="149" t="s">
        <v>440</v>
      </c>
      <c r="BZ40" s="215">
        <f>TODAY()</f>
        <v>44083</v>
      </c>
      <c r="CA40" s="324"/>
      <c r="CB40" s="303"/>
      <c r="CC40" s="303"/>
      <c r="CD40" s="303"/>
      <c r="CE40" s="299"/>
      <c r="CF40" s="299"/>
      <c r="CG40" s="299"/>
      <c r="CH40" s="299"/>
      <c r="CI40" s="299"/>
      <c r="CJ40" s="299"/>
      <c r="CK40" s="299"/>
      <c r="CL40" s="299"/>
      <c r="CM40" s="299"/>
      <c r="CN40" s="299"/>
      <c r="CO40" s="299"/>
      <c r="CP40" s="299"/>
      <c r="CQ40" s="299"/>
      <c r="CR40" s="299"/>
      <c r="CS40" s="299"/>
      <c r="CT40" s="299"/>
      <c r="CU40" s="206"/>
      <c r="CV40" s="206"/>
      <c r="CW40" s="206"/>
    </row>
    <row r="41" spans="6:101" x14ac:dyDescent="0.25">
      <c r="F41" s="50"/>
      <c r="G41" s="293" t="s">
        <v>833</v>
      </c>
      <c r="H41" s="223"/>
      <c r="I41" s="53"/>
      <c r="K41" t="s">
        <v>440</v>
      </c>
      <c r="L41" s="200">
        <f>TODAY()</f>
        <v>44083</v>
      </c>
      <c r="Q41" s="50"/>
      <c r="R41" s="220" t="s">
        <v>704</v>
      </c>
      <c r="S41" s="221" t="str">
        <f>INDEX('STATIC DATA'!C43:AB43,1,MATCH($A$1,'STATIC DATA'!$C$4:$AB$4,0))</f>
        <v>BCB</v>
      </c>
      <c r="T41" s="53"/>
      <c r="V41" t="s">
        <v>440</v>
      </c>
      <c r="W41" s="200">
        <f>TODAY()</f>
        <v>44083</v>
      </c>
      <c r="AB41" s="50"/>
      <c r="AC41" s="225" t="s">
        <v>763</v>
      </c>
      <c r="AD41" s="219" t="str">
        <f>INDEX('STATIC DATA'!C7:AB7,1,MATCH($A$1,'STATIC DATA'!C4:AB4,0))</f>
        <v>2D</v>
      </c>
      <c r="AE41" s="53"/>
      <c r="AG41" t="s">
        <v>440</v>
      </c>
      <c r="AH41" s="200">
        <f>TODAY()</f>
        <v>44083</v>
      </c>
      <c r="AM41" s="50"/>
      <c r="AN41" s="225" t="s">
        <v>763</v>
      </c>
      <c r="AO41" s="219" t="str">
        <f>INDEX('STATIC DATA'!C7:AB7,1,MATCH($A$1,'STATIC DATA'!C4:AB4,0))</f>
        <v>2D</v>
      </c>
      <c r="AP41" s="53"/>
      <c r="AX41" s="50"/>
      <c r="AY41" s="225" t="s">
        <v>763</v>
      </c>
      <c r="AZ41" s="216" t="str">
        <f>INDEX('STATIC DATA'!C7:AB7,1,MATCH($A$1,'STATIC DATA'!C4:AB4,0))</f>
        <v>2D</v>
      </c>
      <c r="BA41" s="53"/>
      <c r="BI41" s="50"/>
      <c r="BJ41" s="225" t="s">
        <v>763</v>
      </c>
      <c r="BK41" s="219" t="str">
        <f>INDEX('STATIC DATA'!C7:AB7,1,MATCH($A$1,'STATIC DATA'!C4:AB4,0))</f>
        <v>2D</v>
      </c>
      <c r="BL41" s="53"/>
      <c r="BN41" t="s">
        <v>440</v>
      </c>
      <c r="BO41" s="200">
        <f>TODAY()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C41" s="299"/>
      <c r="CD41" s="299"/>
      <c r="CE41" s="299"/>
      <c r="CF41" s="299"/>
      <c r="CG41" s="299"/>
      <c r="CH41" s="299"/>
      <c r="CI41" s="299"/>
      <c r="CJ41" s="299"/>
      <c r="CK41" s="299"/>
      <c r="CL41" s="299"/>
      <c r="CM41" s="299"/>
      <c r="CN41" s="299"/>
      <c r="CO41" s="299"/>
      <c r="CP41" s="299"/>
      <c r="CQ41" s="299"/>
      <c r="CR41" s="299"/>
      <c r="CS41" s="299"/>
      <c r="CT41" s="299"/>
      <c r="CU41" s="206"/>
      <c r="CV41" s="206"/>
      <c r="CW41" s="206"/>
    </row>
    <row r="42" spans="6:101" x14ac:dyDescent="0.25">
      <c r="F42" s="50"/>
      <c r="G42" s="291" t="s">
        <v>692</v>
      </c>
      <c r="H42" s="230" t="s">
        <v>693</v>
      </c>
      <c r="I42" s="53"/>
      <c r="Q42" s="50"/>
      <c r="R42" s="222" t="s">
        <v>731</v>
      </c>
      <c r="S42" s="223" t="str">
        <f>INDEX('STATIC DATA'!C53:AB53,1,MATCH(A1,'STATIC DATA'!C4:AB4,0))</f>
        <v>ACT/360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C42" s="299"/>
      <c r="CD42" s="299"/>
      <c r="CE42" s="299"/>
      <c r="CF42" s="299"/>
      <c r="CG42" s="299"/>
      <c r="CH42" s="299"/>
      <c r="CI42" s="299"/>
      <c r="CJ42" s="299"/>
      <c r="CK42" s="299"/>
      <c r="CL42" s="299"/>
      <c r="CM42" s="299"/>
      <c r="CN42" s="299"/>
      <c r="CO42" s="299"/>
      <c r="CP42" s="299"/>
      <c r="CQ42" s="299"/>
      <c r="CR42" s="299"/>
      <c r="CS42" s="299"/>
      <c r="CT42" s="299"/>
      <c r="CU42" s="206"/>
      <c r="CV42" s="206"/>
      <c r="CW42" s="206"/>
    </row>
    <row r="43" spans="6:101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734</v>
      </c>
      <c r="S43" s="223" t="str">
        <f>INDEX('STATIC DATA'!C55:AB55,1,MATCH(A1,'STATIC DATA'!C4:AB4,0))</f>
        <v>ACT/360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BCB</v>
      </c>
      <c r="AE43" s="53"/>
      <c r="AG43" s="2" t="s">
        <v>441</v>
      </c>
      <c r="AM43" s="50"/>
      <c r="AN43" s="222" t="s">
        <v>765</v>
      </c>
      <c r="AO43" s="216" t="str">
        <f>INDEX('STATIC DATA'!C39:AB39,1,MATCH($A$1,'STATIC DATA'!$C$4:$AB$4,0))</f>
        <v>BCB</v>
      </c>
      <c r="AP43" s="53"/>
      <c r="AX43" s="50"/>
      <c r="AY43" s="222" t="s">
        <v>765</v>
      </c>
      <c r="AZ43" s="216" t="str">
        <f>INDEX('STATIC DATA'!C39:AB39,1,MATCH($A$1,'STATIC DATA'!$C$4:$AB$4,0))</f>
        <v>BCB</v>
      </c>
      <c r="BA43" s="53"/>
      <c r="BI43" s="50"/>
      <c r="BJ43" s="222" t="s">
        <v>765</v>
      </c>
      <c r="BK43" s="216" t="str">
        <f>INDEX('STATIC DATA'!C30:AB30,1,MATCH($A$1,'STATIC DATA'!$C$4:$AB$4,0))</f>
        <v>BCB:TGT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C43" s="299"/>
      <c r="CD43" s="299"/>
      <c r="CE43" s="303"/>
      <c r="CF43" s="299"/>
      <c r="CG43" s="299"/>
      <c r="CH43" s="299"/>
      <c r="CI43" s="299"/>
      <c r="CJ43" s="299"/>
      <c r="CK43" s="299"/>
      <c r="CL43" s="299"/>
      <c r="CM43" s="299"/>
      <c r="CN43" s="299"/>
      <c r="CO43" s="299"/>
      <c r="CP43" s="299"/>
      <c r="CQ43" s="299"/>
      <c r="CR43" s="299"/>
      <c r="CS43" s="299"/>
      <c r="CT43" s="299"/>
      <c r="CU43" s="206"/>
      <c r="CV43" s="206"/>
      <c r="CW43" s="206"/>
    </row>
    <row r="44" spans="6:101" x14ac:dyDescent="0.25">
      <c r="F44" s="50"/>
      <c r="G44" s="222"/>
      <c r="H44" s="223"/>
      <c r="I44" s="53"/>
      <c r="K44" t="s">
        <v>442</v>
      </c>
      <c r="L44" s="206" t="str">
        <f>L38&amp;"_"&amp;L39&amp;"_CURVE_MARKETDATA"</f>
        <v>RON_OIS_CURVE_MARKETDATA</v>
      </c>
      <c r="Q44" s="50"/>
      <c r="R44" s="222" t="s">
        <v>706</v>
      </c>
      <c r="S44" s="223" t="str">
        <f>IF(INDEX('STATIC DATA'!C54:AB54,1,MATCH(A1,'STATIC DATA'!C4:AB4,0))="1Y","ANNUAL",(IF(INDEX('STATIC DATA'!C54:AB54,1,MATCH(A1,'STATIC DATA'!C4:AB4,0))="6M","SEMI-ANNUAL", "QUARTERLY")))</f>
        <v>ANNUAL</v>
      </c>
      <c r="T44" s="53"/>
      <c r="V44" t="s">
        <v>442</v>
      </c>
      <c r="W44" t="str">
        <f>W38&amp;"_"&amp;W39&amp;"_"&amp;INDEX('STATIC DATA'!$C$56:$AB$56,1,MATCH($W38,'STATIC DATA'!$C$4:$AB$4,0))&amp;"_CURVE_MARKETDATA"</f>
        <v>RON_SWAP_3M_CURVE_MARKETDATA</v>
      </c>
      <c r="AB44" s="50"/>
      <c r="AC44" s="222" t="s">
        <v>766</v>
      </c>
      <c r="AD44" s="216" t="str">
        <f>INDEX('STATIC DATA'!C55:AB55,1,MATCH($A$1,'STATIC DATA'!C4:AB4,0))</f>
        <v>ACT/360</v>
      </c>
      <c r="AE44" s="53"/>
      <c r="AG44" t="s">
        <v>442</v>
      </c>
      <c r="AH44" t="str">
        <f>A1&amp;"_BASIS_3M6M_MARKETDATA"</f>
        <v>RON_BASIS_3M6M_MARKETDATA</v>
      </c>
      <c r="AM44" s="50"/>
      <c r="AN44" s="222" t="s">
        <v>766</v>
      </c>
      <c r="AO44" s="216" t="str">
        <f>INDEX('STATIC DATA'!C55:AB55,1,MATCH($A$1,'STATIC DATA'!C4:AB4,0))</f>
        <v>ACT/360</v>
      </c>
      <c r="AP44" s="53"/>
      <c r="AX44" s="50"/>
      <c r="AY44" s="222" t="s">
        <v>766</v>
      </c>
      <c r="AZ44" s="216" t="e">
        <f>INDEX('STATIC DATA'!Y55:AY55,1,MATCH($A$1,'STATIC DATA'!Y4:AV4,0))</f>
        <v>#N/A</v>
      </c>
      <c r="BA44" s="53"/>
      <c r="BI44" s="50"/>
      <c r="BJ44" s="222" t="s">
        <v>766</v>
      </c>
      <c r="BK44" s="216" t="str">
        <f>INDEX('STATIC DATA'!C55:AB55,1,MATCH($A$1,'STATIC DATA'!C4:AB4,0))</f>
        <v>ACT/360</v>
      </c>
      <c r="BL44" s="53"/>
      <c r="BN44" t="s">
        <v>442</v>
      </c>
      <c r="BO44" t="str">
        <f>A1&amp;"_"&amp;BO39&amp;"_CURVE_MARKETDATA"</f>
        <v>RON_XCCYBASIS_CURVE_MARKETDATA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982</v>
      </c>
      <c r="CA44" s="325"/>
      <c r="CB44" s="303"/>
      <c r="CC44" s="303"/>
      <c r="CD44" s="303"/>
      <c r="CE44" s="313"/>
      <c r="CF44" s="299"/>
      <c r="CG44" s="299"/>
      <c r="CH44" s="299"/>
      <c r="CI44" s="299"/>
      <c r="CJ44" s="299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06"/>
      <c r="CV44" s="206"/>
      <c r="CW44" s="206"/>
    </row>
    <row r="45" spans="6:101" x14ac:dyDescent="0.25">
      <c r="F45" s="50"/>
      <c r="G45" s="222"/>
      <c r="H45" s="223"/>
      <c r="I45" s="53"/>
      <c r="K45" t="s">
        <v>444</v>
      </c>
      <c r="L45" s="206" t="str">
        <f>_xll.meLWOCurveMarketDataCreate(L44,"MarketDataProperties",K38:L41,"OIS",K7:L26)</f>
        <v>RON_OIS_CURVE_MARKETDATA@2:42</v>
      </c>
      <c r="Q45" s="50"/>
      <c r="R45" s="222" t="s">
        <v>735</v>
      </c>
      <c r="S45" s="223" t="str">
        <f>IF(INDEX('STATIC DATA'!C56:AB56,1,MATCH(A1,'STATIC DATA'!C4:AB4,0))="1Y","ANNUAL",(IF(INDEX('STATIC DATA'!C56:AB56,1,MATCH(A1,'STATIC DATA'!C4:AB4,0))="6M","SEMI-ANNUAL", "QUARTERLY")))</f>
        <v>QUARTERLY</v>
      </c>
      <c r="T45" s="53"/>
      <c r="V45" t="s">
        <v>444</v>
      </c>
      <c r="W45" t="str">
        <f>_xll.meLWOCurveMarketDataCreate(W44,"MARKETDATAPROPERTIES",V38:W42,"LIBORFIXINGS",V7:X11,"SWAPS",V12:X21)</f>
        <v>RON_SWAP_3M_CURVE_MARKETDATA@83:42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_xll.meLWOCurveMarketDataCreate(AH44,AG37,AG38:AH42,"BASISSWAPS",AG7:AI16)</f>
        <v>RON_BASIS_3M6M_MARKETDATA@3:42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22" t="s">
        <v>767</v>
      </c>
      <c r="BK45" s="216" t="s">
        <v>680</v>
      </c>
      <c r="BL45" s="53"/>
      <c r="BN45" t="s">
        <v>444</v>
      </c>
      <c r="BO45" t="str">
        <f>_xll.meLWOCurveMarketDataCreate(BO44,"MARKETDATAPROPERTIES",BN38:BO41,"XCCYSWAPS",BN18:BP27,"FXSPOTS",BN7:BP7,"FXFWDS",BN8:BP17)</f>
        <v>RON_XCCYBASIS_CURVE_MARKETDATA@82:42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_xll.meLWOCurveMarketDataCreate(BZ44,"MARKETDATAPROPERTIES",BY38:BZ41,"FXSPOTS",BZ7:CA7,"FXFWDS",BY8:CA20)</f>
        <v>MKTDATA_EURRON@272:42</v>
      </c>
      <c r="CA45" s="313"/>
      <c r="CB45" s="313"/>
      <c r="CC45" s="313"/>
      <c r="CD45" s="313"/>
      <c r="CE45" s="299"/>
      <c r="CF45" s="299"/>
      <c r="CG45" s="299"/>
      <c r="CH45" s="299"/>
      <c r="CI45" s="299"/>
      <c r="CJ45" s="299"/>
      <c r="CK45" s="299"/>
      <c r="CL45" s="299"/>
      <c r="CM45" s="299"/>
      <c r="CN45" s="299"/>
      <c r="CO45" s="299"/>
      <c r="CP45" s="299"/>
      <c r="CQ45" s="299"/>
      <c r="CR45" s="299"/>
      <c r="CS45" s="299"/>
      <c r="CT45" s="299"/>
      <c r="CU45" s="206"/>
      <c r="CV45" s="206"/>
      <c r="CW45" s="206"/>
    </row>
    <row r="46" spans="6:101" x14ac:dyDescent="0.25">
      <c r="F46" s="50"/>
      <c r="G46" s="225"/>
      <c r="H46" s="226"/>
      <c r="I46" s="53"/>
      <c r="L46" s="206"/>
      <c r="Q46" s="50"/>
      <c r="R46" s="222" t="s">
        <v>736</v>
      </c>
      <c r="S46" s="223" t="s">
        <v>718</v>
      </c>
      <c r="T46" s="53"/>
      <c r="AB46" s="50"/>
      <c r="AC46" s="222" t="s">
        <v>768</v>
      </c>
      <c r="AD46" s="239" t="s">
        <v>458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C46" s="299"/>
      <c r="CD46" s="299"/>
      <c r="CE46" s="299"/>
      <c r="CF46" s="299"/>
      <c r="CG46" s="299"/>
      <c r="CH46" s="299"/>
      <c r="CI46" s="299"/>
      <c r="CJ46" s="299"/>
      <c r="CK46" s="299"/>
      <c r="CL46" s="299"/>
      <c r="CM46" s="299"/>
      <c r="CN46" s="299"/>
      <c r="CO46" s="299"/>
      <c r="CP46" s="299"/>
      <c r="CQ46" s="299"/>
      <c r="CR46" s="299"/>
      <c r="CS46" s="299"/>
      <c r="CT46" s="299"/>
      <c r="CU46" s="206"/>
      <c r="CV46" s="206"/>
      <c r="CW46" s="206"/>
    </row>
    <row r="47" spans="6:101" x14ac:dyDescent="0.25">
      <c r="F47" s="50"/>
      <c r="G47" s="52"/>
      <c r="H47" s="52"/>
      <c r="I47" s="53"/>
      <c r="K47" s="2" t="s">
        <v>447</v>
      </c>
      <c r="L47" s="206"/>
      <c r="Q47" s="50"/>
      <c r="R47" s="222" t="s">
        <v>737</v>
      </c>
      <c r="S47" s="223">
        <v>31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22" t="s">
        <v>770</v>
      </c>
      <c r="BK47" s="216">
        <v>0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C47" s="299"/>
      <c r="CD47" s="299"/>
      <c r="CE47" s="299"/>
      <c r="CF47" s="299"/>
      <c r="CG47" s="299"/>
      <c r="CH47" s="299"/>
      <c r="CI47" s="299"/>
      <c r="CJ47" s="299"/>
      <c r="CK47" s="299"/>
      <c r="CL47" s="299"/>
      <c r="CM47" s="299"/>
      <c r="CN47" s="299"/>
      <c r="CO47" s="299"/>
      <c r="CP47" s="299"/>
      <c r="CQ47" s="299"/>
      <c r="CR47" s="299"/>
      <c r="CS47" s="299"/>
      <c r="CT47" s="299"/>
      <c r="CU47" s="206"/>
      <c r="CV47" s="206"/>
      <c r="CW47" s="206"/>
    </row>
    <row r="48" spans="6:101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RON_OIS_CURVE</v>
      </c>
      <c r="Q48" s="50"/>
      <c r="R48" s="222" t="s">
        <v>738</v>
      </c>
      <c r="S48" s="223" t="s">
        <v>718</v>
      </c>
      <c r="T48" s="53"/>
      <c r="V48" t="s">
        <v>442</v>
      </c>
      <c r="W48" t="str">
        <f>W38&amp;"_"&amp;W39&amp;"_"&amp;INDEX('STATIC DATA'!$C$56:$AB$56,1,MATCH($W38,'STATIC DATA'!$C$4:$AB$4,0))&amp;"_CURVE"</f>
        <v>RON_SWAP_3M_CURVE</v>
      </c>
      <c r="AB48" s="50"/>
      <c r="AC48" s="225" t="s">
        <v>770</v>
      </c>
      <c r="AD48" s="219" t="str">
        <f>INDEX('STATIC DATA'!C7:AB7,1,MATCH($A$1,'STATIC DATA'!C4:AB4,0))</f>
        <v>2D</v>
      </c>
      <c r="AE48" s="53"/>
      <c r="AG48" t="s">
        <v>442</v>
      </c>
      <c r="AH48" t="str">
        <f>A1&amp;"_BASIS_6M_CURVE"</f>
        <v>RON_BASIS_6M_CURVE</v>
      </c>
      <c r="AM48" s="50"/>
      <c r="AN48" s="225" t="s">
        <v>770</v>
      </c>
      <c r="AO48" s="219" t="str">
        <f>INDEX('STATIC DATA'!C7:AB7,1,MATCH($A$1,'STATIC DATA'!C4:AB4,0))</f>
        <v>2D</v>
      </c>
      <c r="AP48" s="53"/>
      <c r="AX48" s="50"/>
      <c r="AY48" s="225" t="s">
        <v>770</v>
      </c>
      <c r="AZ48" s="216" t="str">
        <f>INDEX('STATIC DATA'!C7:AB7,1,MATCH($A$1,'STATIC DATA'!C4:AB4,0))</f>
        <v>2D</v>
      </c>
      <c r="BA48" s="53"/>
      <c r="BI48" s="50"/>
      <c r="BJ48" s="234" t="s">
        <v>772</v>
      </c>
      <c r="BK48" s="247" t="s">
        <v>842</v>
      </c>
      <c r="BL48" s="249" t="s">
        <v>801</v>
      </c>
      <c r="BN48" t="s">
        <v>442</v>
      </c>
      <c r="BO48" t="str">
        <f>A1&amp;"_"&amp;BO39&amp;"_CURVE"</f>
        <v>RON_XCCYBASIS_CURVE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C48" s="299"/>
      <c r="CD48" s="299"/>
      <c r="CE48" s="299"/>
      <c r="CF48" s="299"/>
      <c r="CG48" s="299"/>
      <c r="CH48" s="299"/>
      <c r="CI48" s="299"/>
      <c r="CJ48" s="299"/>
      <c r="CK48" s="299"/>
      <c r="CL48" s="299"/>
      <c r="CM48" s="299"/>
      <c r="CN48" s="299"/>
      <c r="CO48" s="299"/>
      <c r="CP48" s="299"/>
      <c r="CQ48" s="299"/>
      <c r="CR48" s="299"/>
      <c r="CS48" s="299"/>
      <c r="CT48" s="299"/>
      <c r="CU48" s="206"/>
      <c r="CV48" s="206"/>
      <c r="CW48" s="206"/>
    </row>
    <row r="49" spans="6:101" x14ac:dyDescent="0.25">
      <c r="F49" s="50"/>
      <c r="G49" s="220" t="s">
        <v>704</v>
      </c>
      <c r="H49" s="221" t="str">
        <f>INDEX('STATIC DATA'!C43:AB43,1,MATCH(A1,'STATIC DATA'!$C$4:$AB$4,0))</f>
        <v>BCB</v>
      </c>
      <c r="I49" s="53"/>
      <c r="K49" t="s">
        <v>450</v>
      </c>
      <c r="L49" s="206" t="str">
        <f>H8</f>
        <v>RON_OIS@356:6</v>
      </c>
      <c r="Q49" s="50"/>
      <c r="R49" s="222" t="s">
        <v>739</v>
      </c>
      <c r="S49" s="223" t="str">
        <f>INDEX('STATIC DATA'!C7:AB7,1,MATCH($A$1,'STATIC DATA'!C4:AB4,0))</f>
        <v>2D</v>
      </c>
      <c r="T49" s="53"/>
      <c r="V49" t="s">
        <v>450</v>
      </c>
      <c r="W49" t="str">
        <f>S8</f>
        <v>RON_SWAP_3M@355:6</v>
      </c>
      <c r="AB49" s="50"/>
      <c r="AC49" s="234" t="s">
        <v>771</v>
      </c>
      <c r="AD49" s="242" t="str">
        <f>"AGAINST:"&amp;$A$1&amp;"3M"</f>
        <v>AGAINST:RON3M</v>
      </c>
      <c r="AE49" s="53"/>
      <c r="AG49" t="s">
        <v>450</v>
      </c>
      <c r="AH49" t="str">
        <f>AD8</f>
        <v>RON_BASIS_3M6M@357:6</v>
      </c>
      <c r="AM49" s="50"/>
      <c r="AN49" s="234" t="s">
        <v>771</v>
      </c>
      <c r="AO49" s="242" t="str">
        <f>"AGAINST:"&amp;A1&amp;"3M"</f>
        <v>AGAINST:RON3M</v>
      </c>
      <c r="AP49" s="53"/>
      <c r="AX49" s="50"/>
      <c r="AY49" s="234" t="s">
        <v>771</v>
      </c>
      <c r="AZ49" s="248" t="str">
        <f>$A$1&amp;"3M"</f>
        <v>RON3M</v>
      </c>
      <c r="BA49" s="249" t="s">
        <v>801</v>
      </c>
      <c r="BI49" s="50"/>
      <c r="BJ49" s="234" t="s">
        <v>771</v>
      </c>
      <c r="BK49" s="242" t="s">
        <v>842</v>
      </c>
      <c r="BL49" s="53"/>
      <c r="BN49" t="s">
        <v>450</v>
      </c>
      <c r="BO49" t="str">
        <f>BK8</f>
        <v>RON_XCCY@358:6</v>
      </c>
      <c r="BT49" s="50"/>
      <c r="BU49" s="55"/>
      <c r="BV49" s="55"/>
      <c r="BW49" s="55"/>
      <c r="BX49" s="332"/>
      <c r="BY49" s="323"/>
      <c r="BZ49" s="303"/>
      <c r="CA49" s="299"/>
      <c r="CB49" s="299"/>
      <c r="CC49" s="299"/>
      <c r="CD49" s="299"/>
      <c r="CE49" s="299"/>
      <c r="CF49" s="299"/>
      <c r="CG49" s="299"/>
      <c r="CH49" s="299"/>
      <c r="CI49" s="299"/>
      <c r="CJ49" s="299"/>
      <c r="CK49" s="299"/>
      <c r="CL49" s="299"/>
      <c r="CM49" s="299"/>
      <c r="CN49" s="299"/>
      <c r="CO49" s="299"/>
      <c r="CP49" s="299"/>
      <c r="CQ49" s="299"/>
      <c r="CR49" s="299"/>
      <c r="CS49" s="299"/>
      <c r="CT49" s="299"/>
      <c r="CU49" s="206"/>
      <c r="CV49" s="206"/>
      <c r="CW49" s="206"/>
    </row>
    <row r="50" spans="6:101" x14ac:dyDescent="0.25">
      <c r="F50" s="50"/>
      <c r="G50" s="222" t="s">
        <v>705</v>
      </c>
      <c r="H50" s="223" t="str">
        <f>INDEX('STATIC DATA'!C55:AB55,1,MATCH(A1,'STATIC DATA'!C4:AB4,0))</f>
        <v>ACT/360</v>
      </c>
      <c r="I50" s="53"/>
      <c r="K50" t="s">
        <v>452</v>
      </c>
      <c r="L50" s="206" t="str">
        <f>$A$1&amp;"YC"</f>
        <v>RONYC</v>
      </c>
      <c r="Q50" s="50"/>
      <c r="R50" s="222" t="s">
        <v>707</v>
      </c>
      <c r="S50" s="223" t="s">
        <v>687</v>
      </c>
      <c r="T50" s="53"/>
      <c r="V50" t="s">
        <v>452</v>
      </c>
      <c r="W50" t="str">
        <f>$A$1&amp;"YC"</f>
        <v>RONYC</v>
      </c>
      <c r="AB50" s="50"/>
      <c r="AC50" s="234" t="s">
        <v>772</v>
      </c>
      <c r="AD50" s="242" t="s">
        <v>714</v>
      </c>
      <c r="AE50" s="53"/>
      <c r="AG50" t="s">
        <v>452</v>
      </c>
      <c r="AH50" t="str">
        <f>A1&amp;"YC"</f>
        <v>RONYC</v>
      </c>
      <c r="AM50" s="50"/>
      <c r="AN50" s="234" t="s">
        <v>772</v>
      </c>
      <c r="AO50" s="242" t="str">
        <f>"AGAINST:OIS"</f>
        <v>AGAINST:OIS</v>
      </c>
      <c r="AP50" s="53"/>
      <c r="AX50" s="50"/>
      <c r="AY50" s="234" t="s">
        <v>772</v>
      </c>
      <c r="AZ50" s="242" t="s">
        <v>426</v>
      </c>
      <c r="BA50" s="53"/>
      <c r="BI50" s="50"/>
      <c r="BJ50" s="245" t="s">
        <v>774</v>
      </c>
      <c r="BK50" s="244" t="s">
        <v>47</v>
      </c>
      <c r="BL50" s="53"/>
      <c r="BN50" t="s">
        <v>452</v>
      </c>
      <c r="BO50" t="str">
        <f>A1&amp;"YC"</f>
        <v>RONYC</v>
      </c>
      <c r="BT50" s="50"/>
      <c r="BU50" s="55"/>
      <c r="BV50" s="55"/>
      <c r="BW50" s="55"/>
      <c r="BX50" s="332"/>
      <c r="BY50" s="308"/>
      <c r="BZ50" s="308"/>
      <c r="CA50" s="308"/>
      <c r="CB50" s="299"/>
      <c r="CC50" s="299"/>
      <c r="CD50" s="299"/>
      <c r="CE50" s="299"/>
      <c r="CF50" s="299"/>
      <c r="CG50" s="299"/>
      <c r="CH50" s="299"/>
      <c r="CI50" s="299"/>
      <c r="CJ50" s="299"/>
      <c r="CK50" s="299"/>
      <c r="CL50" s="299"/>
      <c r="CM50" s="299"/>
      <c r="CN50" s="299"/>
      <c r="CO50" s="299"/>
      <c r="CP50" s="299"/>
      <c r="CQ50" s="299"/>
      <c r="CR50" s="299"/>
      <c r="CS50" s="299"/>
      <c r="CT50" s="299"/>
      <c r="CU50" s="206"/>
      <c r="CV50" s="206"/>
      <c r="CW50" s="206"/>
    </row>
    <row r="51" spans="6:101" x14ac:dyDescent="0.25">
      <c r="F51" s="50"/>
      <c r="G51" s="222" t="s">
        <v>706</v>
      </c>
      <c r="H51" s="223" t="str">
        <f>IF(INDEX('STATIC DATA'!C56:AB56,1,MATCH(A1,'STATIC DATA'!C4:AB4,0))="1Y","ANNUAL",(IF(INDEX('STATIC DATA'!C56:AB56,1,MATCH(A1,'STATIC DATA'!C4:AB4,0))="6M","SEMI-ANNUAL", "QUARTERLY")))</f>
        <v>QUARTERLY</v>
      </c>
      <c r="I51" s="53"/>
      <c r="K51" t="s">
        <v>453</v>
      </c>
      <c r="L51" s="206"/>
      <c r="Q51" s="50"/>
      <c r="R51" s="222" t="s">
        <v>740</v>
      </c>
      <c r="S51" s="223" t="s">
        <v>718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2" t="s">
        <v>775</v>
      </c>
      <c r="BK51" s="216" t="str">
        <f>INDEX('STATIC DATA'!C55:AB55,1,MATCH($A$1,'STATIC DATA'!C4:AB4,0))</f>
        <v>ACT/360</v>
      </c>
      <c r="BL51" s="53"/>
      <c r="BN51" t="s">
        <v>453</v>
      </c>
      <c r="BO51" t="s">
        <v>929</v>
      </c>
      <c r="BT51" s="50"/>
      <c r="BU51" s="55"/>
      <c r="BV51" s="55"/>
      <c r="BW51" s="55"/>
      <c r="BX51" s="332"/>
      <c r="BY51" s="276"/>
      <c r="BZ51" s="277"/>
      <c r="CA51" s="278"/>
      <c r="CB51" s="299"/>
      <c r="CC51" s="299"/>
      <c r="CD51" s="299"/>
      <c r="CE51" s="299"/>
      <c r="CF51" s="299"/>
      <c r="CG51" s="299"/>
      <c r="CH51" s="299"/>
      <c r="CI51" s="299"/>
      <c r="CJ51" s="299"/>
      <c r="CK51" s="299"/>
      <c r="CL51" s="299"/>
      <c r="CM51" s="299"/>
      <c r="CN51" s="299"/>
      <c r="CO51" s="299"/>
      <c r="CP51" s="299"/>
      <c r="CQ51" s="299"/>
      <c r="CR51" s="299"/>
      <c r="CS51" s="299"/>
      <c r="CT51" s="299"/>
      <c r="CU51" s="206"/>
      <c r="CV51" s="206"/>
      <c r="CW51" s="206"/>
    </row>
    <row r="52" spans="6:101" x14ac:dyDescent="0.25">
      <c r="F52" s="50"/>
      <c r="G52" s="225" t="s">
        <v>707</v>
      </c>
      <c r="H52" s="226" t="s">
        <v>687</v>
      </c>
      <c r="I52" s="53"/>
      <c r="Q52" s="50"/>
      <c r="R52" s="222" t="s">
        <v>697</v>
      </c>
      <c r="S52" s="224">
        <v>1.0000000000000001E-9</v>
      </c>
      <c r="T52" s="53"/>
      <c r="AB52" s="50"/>
      <c r="AC52" s="222" t="s">
        <v>775</v>
      </c>
      <c r="AD52" s="216" t="str">
        <f>INDEX('STATIC DATA'!C55:AB55,1,MATCH($A$1,'STATIC DATA'!C4:AB4,0))</f>
        <v>ACT/360</v>
      </c>
      <c r="AE52" s="53"/>
      <c r="AM52" s="50"/>
      <c r="AN52" s="222" t="s">
        <v>775</v>
      </c>
      <c r="AO52" s="216" t="str">
        <f>INDEX('STATIC DATA'!C55:AB55,1,MATCH($A$1,'STATIC DATA'!C4:AB4,0))</f>
        <v>ACT/360</v>
      </c>
      <c r="AP52" s="53"/>
      <c r="AX52" s="50"/>
      <c r="AY52" s="222" t="s">
        <v>775</v>
      </c>
      <c r="AZ52" s="216" t="e">
        <f>INDEX('STATIC DATA'!Y55:AY55,1,MATCH($A$1,'STATIC DATA'!Y4:AV4,0))</f>
        <v>#N/A</v>
      </c>
      <c r="BA52" s="53"/>
      <c r="BI52" s="50"/>
      <c r="BJ52" s="222" t="s">
        <v>776</v>
      </c>
      <c r="BK52" s="216" t="str">
        <f>INDEX('STATIC DATA'!C39:AB39,1,MATCH($A$1,'STATIC DATA'!$C$4:$AB$4,0))</f>
        <v>BCB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C52" s="299"/>
      <c r="CD52" s="299"/>
      <c r="CE52" s="299"/>
      <c r="CF52" s="299"/>
      <c r="CG52" s="299"/>
      <c r="CH52" s="299"/>
      <c r="CI52" s="299"/>
      <c r="CJ52" s="299"/>
      <c r="CK52" s="299"/>
      <c r="CL52" s="299"/>
      <c r="CM52" s="299"/>
      <c r="CN52" s="299"/>
      <c r="CO52" s="299"/>
      <c r="CP52" s="299"/>
      <c r="CQ52" s="299"/>
      <c r="CR52" s="299"/>
      <c r="CS52" s="299"/>
      <c r="CT52" s="299"/>
      <c r="CU52" s="206"/>
      <c r="CV52" s="206"/>
      <c r="CW52" s="206"/>
    </row>
    <row r="53" spans="6:101" x14ac:dyDescent="0.25">
      <c r="F53" s="50"/>
      <c r="G53" s="52"/>
      <c r="H53" s="52"/>
      <c r="I53" s="53"/>
      <c r="K53" s="2" t="s">
        <v>454</v>
      </c>
      <c r="Q53" s="50"/>
      <c r="R53" s="222" t="s">
        <v>698</v>
      </c>
      <c r="S53" s="223">
        <v>1000</v>
      </c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BCB</v>
      </c>
      <c r="AE53" s="53"/>
      <c r="AG53" s="2" t="s">
        <v>454</v>
      </c>
      <c r="AM53" s="50"/>
      <c r="AN53" s="222" t="s">
        <v>776</v>
      </c>
      <c r="AO53" s="216" t="str">
        <f>INDEX('STATIC DATA'!C39:AB39,1,MATCH($A$1,'STATIC DATA'!$C$4:$AB$4,0))</f>
        <v>BCB</v>
      </c>
      <c r="AP53" s="53"/>
      <c r="AX53" s="50"/>
      <c r="AY53" s="222" t="s">
        <v>776</v>
      </c>
      <c r="AZ53" s="216" t="str">
        <f>INDEX('STATIC DATA'!C39:AB39,1,MATCH($A$1,'STATIC DATA'!$C$4:$AB$4,0))</f>
        <v>BCB</v>
      </c>
      <c r="BA53" s="53"/>
      <c r="BI53" s="50"/>
      <c r="BJ53" s="222" t="s">
        <v>777</v>
      </c>
      <c r="BK53" s="216" t="s">
        <v>721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C53" s="299"/>
      <c r="CD53" s="299"/>
      <c r="CE53" s="299"/>
      <c r="CF53" s="332"/>
      <c r="CG53" s="332"/>
      <c r="CH53" s="332"/>
      <c r="CI53" s="332"/>
      <c r="CJ53" s="332"/>
      <c r="CK53" s="332"/>
      <c r="CL53" s="332"/>
      <c r="CM53" s="332"/>
      <c r="CN53" s="332"/>
      <c r="CO53" s="332"/>
      <c r="CP53" s="332"/>
      <c r="CQ53" s="332"/>
      <c r="CR53" s="332"/>
      <c r="CS53" s="299"/>
      <c r="CT53" s="299"/>
      <c r="CU53" s="206"/>
      <c r="CV53" s="206"/>
      <c r="CW53" s="206"/>
    </row>
    <row r="54" spans="6:101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RON_OIS_CURVE@4:10</v>
      </c>
      <c r="Q54" s="50"/>
      <c r="R54" s="225"/>
      <c r="S54" s="226"/>
      <c r="T54" s="53"/>
      <c r="V54" t="s">
        <v>442</v>
      </c>
      <c r="W54" s="647" t="str">
        <f t="array" ref="W54:W57">IF(ExistsRONOIS,_xll.meLWOCurveCalibrate(W48,W49,W45,W50),"LOAD DEPENDENCY")</f>
        <v>RON_SWAP_3M_CURVE@451:10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IF(ExistsRON3M,_xll.meLWOCurveCalibrate($AH$48,$AH$49,$AH$45,$AH$50),"LOAD DEPENDENCY")</f>
        <v>RON_BASIS_6M_CURVE@452:10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778</v>
      </c>
      <c r="BK54" s="216" t="str">
        <f>INDEX('STATIC DATA'!C40:AB40,1,MATCH($A$1,'STATIC DATA'!$C$4:$AB$4,0))</f>
        <v>BCB</v>
      </c>
      <c r="BL54" s="53"/>
      <c r="BN54" t="s">
        <v>442</v>
      </c>
      <c r="BO54" s="647" t="str">
        <f t="array" ref="BO54:BO57">IF(AND(ExistsEURXCCY,ExistsRON3M),_xll.meLWOCurveCalibrate($BO$48,$BO$49,$BO$45,$BO$50,$BO$51),"LOAD DEPENDENCY")</f>
        <v>RON_XCCYBASIS_CURVE@505:2</v>
      </c>
      <c r="BT54" s="50"/>
      <c r="BU54" s="55"/>
      <c r="BV54" s="55"/>
      <c r="BW54" s="55"/>
      <c r="BX54" s="332"/>
      <c r="BY54" s="270" t="s">
        <v>831</v>
      </c>
      <c r="BZ54" s="271" t="s">
        <v>983</v>
      </c>
      <c r="CA54" s="283"/>
      <c r="CB54" s="299"/>
      <c r="CC54" s="299"/>
      <c r="CD54" s="299"/>
      <c r="CE54" s="299"/>
      <c r="CF54" s="332"/>
      <c r="CG54" s="332"/>
      <c r="CH54" s="332"/>
      <c r="CI54" s="332"/>
      <c r="CJ54" s="332"/>
      <c r="CK54" s="332"/>
      <c r="CL54" s="332"/>
      <c r="CM54" s="332"/>
      <c r="CN54" s="332"/>
      <c r="CO54" s="332"/>
      <c r="CP54" s="332"/>
      <c r="CQ54" s="332"/>
      <c r="CR54" s="332"/>
      <c r="CS54" s="299"/>
      <c r="CT54" s="299"/>
      <c r="CU54" s="206"/>
      <c r="CV54" s="206"/>
      <c r="CW54" s="206"/>
    </row>
    <row r="55" spans="6:101" x14ac:dyDescent="0.25">
      <c r="F55" s="50"/>
      <c r="G55" s="220" t="s">
        <v>677</v>
      </c>
      <c r="H55" s="221" t="str">
        <f>INDEX('STATIC DATA'!C43:AB43,1,MATCH(A1,'STATIC DATA'!$C$4:$AB$4,0))</f>
        <v>BCB</v>
      </c>
      <c r="I55" s="53"/>
      <c r="K55" t="s">
        <v>455</v>
      </c>
      <c r="L55" t="str">
        <v>RONYC</v>
      </c>
      <c r="Q55" s="50"/>
      <c r="R55" s="52"/>
      <c r="S55" s="52"/>
      <c r="T55" s="53"/>
      <c r="V55" t="s">
        <v>455</v>
      </c>
      <c r="W55" s="206" t="str">
        <v>RONYC</v>
      </c>
      <c r="AB55" s="50"/>
      <c r="AC55" s="222" t="s">
        <v>778</v>
      </c>
      <c r="AD55" s="216" t="str">
        <f>INDEX('STATIC DATA'!C39:AB39,1,MATCH($A$1,'STATIC DATA'!$C$4:$AB$4,0))</f>
        <v>BCB</v>
      </c>
      <c r="AE55" s="53"/>
      <c r="AG55" t="s">
        <v>455</v>
      </c>
      <c r="AH55" t="str">
        <v>RONYC</v>
      </c>
      <c r="AM55" s="50"/>
      <c r="AN55" s="222" t="s">
        <v>778</v>
      </c>
      <c r="AO55" s="216" t="str">
        <f>INDEX('STATIC DATA'!C39:AB39,1,MATCH($A$1,'STATIC DATA'!$C$4:$AB$4,0))</f>
        <v>BCB</v>
      </c>
      <c r="AP55" s="53"/>
      <c r="AX55" s="50"/>
      <c r="AY55" s="222" t="s">
        <v>778</v>
      </c>
      <c r="AZ55" s="216" t="str">
        <f>INDEX('STATIC DATA'!C39:AB39,1,MATCH($A$1,'STATIC DATA'!$C$4:$AB$4,0))</f>
        <v>BCB</v>
      </c>
      <c r="BA55" s="53"/>
      <c r="BI55" s="50"/>
      <c r="BJ55" s="222" t="s">
        <v>779</v>
      </c>
      <c r="BK55" s="216" t="str">
        <f>INDEX('STATIC DATA'!N29:AL29,1,MATCH($A$1,'STATIC DATA'!N4:AL4,0))</f>
        <v>2d</v>
      </c>
      <c r="BL55" s="53"/>
      <c r="BN55" t="s">
        <v>455</v>
      </c>
      <c r="BO55" t="str">
        <v>RONYC</v>
      </c>
      <c r="BT55" s="50"/>
      <c r="BU55" s="55"/>
      <c r="BV55" s="55"/>
      <c r="BW55" s="55"/>
      <c r="BX55" s="332"/>
      <c r="BZ55" s="263" t="str">
        <f>_xll.meLWOFXCurveCreate(BZ54,BV8,BZ45)</f>
        <v>FX_CURVE_EURRON@280:10</v>
      </c>
      <c r="CA55" s="283"/>
      <c r="CB55" s="299"/>
      <c r="CC55" s="299"/>
      <c r="CD55" s="299"/>
      <c r="CE55" s="299"/>
      <c r="CF55" s="332"/>
      <c r="CG55" s="332"/>
      <c r="CH55" s="332"/>
      <c r="CI55" s="332"/>
      <c r="CJ55" s="332"/>
      <c r="CK55" s="332"/>
      <c r="CL55" s="332"/>
      <c r="CM55" s="332"/>
      <c r="CN55" s="332"/>
      <c r="CO55" s="332"/>
      <c r="CP55" s="332"/>
      <c r="CQ55" s="332"/>
      <c r="CR55" s="332"/>
      <c r="CS55" s="299"/>
      <c r="CT55" s="299"/>
      <c r="CU55" s="206"/>
      <c r="CV55" s="206"/>
      <c r="CW55" s="206"/>
    </row>
    <row r="56" spans="6:101" x14ac:dyDescent="0.25">
      <c r="F56" s="50"/>
      <c r="G56" s="222" t="s">
        <v>709</v>
      </c>
      <c r="H56" s="223" t="str">
        <f>INDEX('STATIC DATA'!C53:AB53,1,MATCH(A1,'STATIC DATA'!C4:AB4,0))</f>
        <v>ACT/360</v>
      </c>
      <c r="I56" s="53"/>
      <c r="K56" t="s">
        <v>456</v>
      </c>
      <c r="L56" t="str">
        <v>OIS:RONOIS</v>
      </c>
      <c r="Q56" s="50"/>
      <c r="R56" s="52"/>
      <c r="S56" s="52"/>
      <c r="T56" s="53"/>
      <c r="V56" t="s">
        <v>456</v>
      </c>
      <c r="W56" s="206" t="str">
        <v>STD:RON3M</v>
      </c>
      <c r="AB56" s="50"/>
      <c r="AC56" s="222" t="s">
        <v>779</v>
      </c>
      <c r="AD56" s="216" t="str">
        <f>INDEX('STATIC DATA'!C7:AB7,1,MATCH($A$1,'STATIC DATA'!C4:AB4,0))</f>
        <v>2D</v>
      </c>
      <c r="AE56" s="53"/>
      <c r="AG56" t="s">
        <v>456</v>
      </c>
      <c r="AH56" t="str">
        <v>3M6MBasis:RON6M</v>
      </c>
      <c r="AM56" s="50"/>
      <c r="AN56" s="222" t="s">
        <v>779</v>
      </c>
      <c r="AO56" s="216" t="str">
        <f>INDEX('STATIC DATA'!C7:AB7,1,MATCH($A$1,'STATIC DATA'!C4:AB4,0))</f>
        <v>2D</v>
      </c>
      <c r="AP56" s="53"/>
      <c r="AX56" s="50"/>
      <c r="AY56" s="222" t="s">
        <v>779</v>
      </c>
      <c r="AZ56" s="216" t="str">
        <f>INDEX('STATIC DATA'!C7:AB7,1,MATCH($A$1,'STATIC DATA'!C4:AB4,0))</f>
        <v>2D</v>
      </c>
      <c r="BA56" s="53"/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XccyBasis:RONDF_EURCSA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C56" s="299"/>
      <c r="CD56" s="299"/>
      <c r="CE56" s="299"/>
      <c r="CF56" s="332"/>
      <c r="CG56" s="332"/>
      <c r="CH56" s="332"/>
      <c r="CI56" s="332"/>
      <c r="CJ56" s="332"/>
      <c r="CK56" s="332"/>
      <c r="CL56" s="332"/>
      <c r="CM56" s="332"/>
      <c r="CN56" s="332"/>
      <c r="CO56" s="332"/>
      <c r="CP56" s="332"/>
      <c r="CQ56" s="332"/>
      <c r="CR56" s="332"/>
      <c r="CS56" s="299"/>
      <c r="CT56" s="299"/>
      <c r="CU56" s="206"/>
      <c r="CV56" s="206"/>
      <c r="CW56" s="206"/>
    </row>
    <row r="57" spans="6:101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ANNUAL</v>
      </c>
      <c r="I57" s="53"/>
      <c r="K57" t="s">
        <v>664</v>
      </c>
      <c r="L57" t="str">
        <v>0.036000 sec</v>
      </c>
      <c r="Q57" s="50"/>
      <c r="R57" s="52"/>
      <c r="S57" s="52"/>
      <c r="T57" s="53"/>
      <c r="V57" t="s">
        <v>664</v>
      </c>
      <c r="W57" s="206" t="str">
        <v>0.004000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0.005000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33" t="s">
        <v>781</v>
      </c>
      <c r="BK57" s="241" t="s">
        <v>810</v>
      </c>
      <c r="BL57" s="53"/>
      <c r="BN57" t="s">
        <v>664</v>
      </c>
      <c r="BO57" t="str">
        <v>0.008000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C57" s="299"/>
      <c r="CD57" s="299"/>
      <c r="CE57" s="299"/>
      <c r="CF57" s="332"/>
      <c r="CG57" s="332"/>
      <c r="CH57" s="332"/>
      <c r="CI57" s="332"/>
      <c r="CJ57" s="332"/>
      <c r="CK57" s="332"/>
      <c r="CL57" s="332"/>
      <c r="CM57" s="332"/>
      <c r="CN57" s="332"/>
      <c r="CO57" s="332"/>
      <c r="CP57" s="332"/>
      <c r="CQ57" s="332"/>
      <c r="CR57" s="332"/>
      <c r="CS57" s="299"/>
      <c r="CT57" s="299"/>
      <c r="CU57" s="206"/>
      <c r="CV57" s="206"/>
      <c r="CW57" s="206"/>
    </row>
    <row r="58" spans="6:101" x14ac:dyDescent="0.25">
      <c r="F58" s="50"/>
      <c r="G58" s="225" t="s">
        <v>686</v>
      </c>
      <c r="H58" s="226" t="s">
        <v>687</v>
      </c>
      <c r="I58" s="53"/>
      <c r="Q58" s="50"/>
      <c r="R58" s="52"/>
      <c r="S58" s="52"/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C58" s="299"/>
      <c r="CD58" s="299"/>
      <c r="CE58" s="299"/>
      <c r="CF58" s="332"/>
      <c r="CG58" s="332"/>
      <c r="CH58" s="332"/>
      <c r="CI58" s="332"/>
      <c r="CJ58" s="332"/>
      <c r="CK58" s="332"/>
      <c r="CL58" s="332"/>
      <c r="CM58" s="332"/>
      <c r="CN58" s="332"/>
      <c r="CO58" s="332"/>
      <c r="CP58" s="332"/>
      <c r="CQ58" s="332"/>
      <c r="CR58" s="332"/>
      <c r="CS58" s="299"/>
      <c r="CT58" s="299"/>
      <c r="CU58" s="206"/>
      <c r="CV58" s="206"/>
      <c r="CW58" s="206"/>
    </row>
    <row r="59" spans="6:101" x14ac:dyDescent="0.25">
      <c r="F59" s="50"/>
      <c r="G59" s="52"/>
      <c r="H59" s="52"/>
      <c r="I59" s="53"/>
      <c r="Q59" s="50"/>
      <c r="R59" s="52"/>
      <c r="S59" s="52"/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C59" s="299"/>
      <c r="CD59" s="299"/>
      <c r="CE59" s="299"/>
      <c r="CF59" s="332"/>
      <c r="CG59" s="332"/>
      <c r="CH59" s="332"/>
      <c r="CI59" s="332"/>
      <c r="CJ59" s="332"/>
      <c r="CK59" s="332"/>
      <c r="CL59" s="332"/>
      <c r="CM59" s="332"/>
      <c r="CN59" s="332"/>
      <c r="CO59" s="332"/>
      <c r="CP59" s="332"/>
      <c r="CQ59" s="332"/>
      <c r="CR59" s="332"/>
      <c r="CS59" s="299"/>
      <c r="CT59" s="299"/>
      <c r="CU59" s="206"/>
      <c r="CV59" s="206"/>
      <c r="CW59" s="206"/>
    </row>
    <row r="60" spans="6:101" x14ac:dyDescent="0.25">
      <c r="F60" s="50"/>
      <c r="G60" s="52"/>
      <c r="H60" s="52"/>
      <c r="I60" s="53"/>
      <c r="Q60" s="50"/>
      <c r="R60" s="52"/>
      <c r="S60" s="52"/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22" t="s">
        <v>689</v>
      </c>
      <c r="BK60" s="216" t="b">
        <v>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C60" s="299"/>
      <c r="CD60" s="299"/>
      <c r="CE60" s="299"/>
      <c r="CF60" s="332"/>
      <c r="CG60" s="332"/>
      <c r="CH60" s="332"/>
      <c r="CI60" s="332"/>
      <c r="CJ60" s="332"/>
      <c r="CK60" s="332"/>
      <c r="CL60" s="332"/>
      <c r="CM60" s="332"/>
      <c r="CN60" s="332"/>
      <c r="CO60" s="332"/>
      <c r="CP60" s="332"/>
      <c r="CQ60" s="332"/>
      <c r="CR60" s="332"/>
      <c r="CS60" s="299"/>
      <c r="CT60" s="299"/>
      <c r="CU60" s="206"/>
      <c r="CV60" s="206"/>
      <c r="CW60" s="206"/>
    </row>
    <row r="61" spans="6:101" x14ac:dyDescent="0.25">
      <c r="F61" s="50"/>
      <c r="G61" s="52"/>
      <c r="H61" s="52"/>
      <c r="I61" s="53"/>
      <c r="Q61" s="50"/>
      <c r="R61" s="52"/>
      <c r="S61" s="52"/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688</v>
      </c>
      <c r="BK61" s="216">
        <v>31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  <c r="CO61" s="299"/>
      <c r="CP61" s="299"/>
      <c r="CQ61" s="299"/>
      <c r="CR61" s="299"/>
      <c r="CS61" s="299"/>
      <c r="CT61" s="299"/>
      <c r="CU61" s="206"/>
      <c r="CV61" s="206"/>
      <c r="CW61" s="206"/>
    </row>
    <row r="62" spans="6:101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299"/>
      <c r="CO62" s="299"/>
      <c r="CP62" s="299"/>
      <c r="CQ62" s="299"/>
      <c r="CR62" s="299"/>
      <c r="CS62" s="299"/>
      <c r="CT62" s="299"/>
      <c r="CU62" s="206"/>
      <c r="CV62" s="206"/>
      <c r="CW62" s="206"/>
    </row>
    <row r="63" spans="6:101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99"/>
      <c r="CP63" s="299"/>
      <c r="CQ63" s="299"/>
      <c r="CR63" s="299"/>
      <c r="CS63" s="299"/>
      <c r="CT63" s="299"/>
      <c r="CU63" s="206"/>
      <c r="CV63" s="206"/>
      <c r="CW63" s="206"/>
    </row>
    <row r="64" spans="6:101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33"/>
      <c r="BK64" s="246"/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  <c r="CO64" s="299"/>
      <c r="CP64" s="299"/>
      <c r="CQ64" s="299"/>
      <c r="CR64" s="299"/>
      <c r="CS64" s="299"/>
      <c r="CT64" s="299"/>
      <c r="CU64" s="206"/>
      <c r="CV64" s="206"/>
      <c r="CW64" s="206"/>
    </row>
    <row r="65" spans="6:102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99"/>
      <c r="CP65" s="299"/>
      <c r="CQ65" s="299"/>
      <c r="CR65" s="299"/>
      <c r="CS65" s="299"/>
      <c r="CT65" s="299"/>
      <c r="CU65" s="206"/>
      <c r="CV65" s="206"/>
      <c r="CW65" s="206"/>
    </row>
    <row r="66" spans="6:102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788</v>
      </c>
      <c r="AD66" s="219" t="s">
        <v>720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06"/>
      <c r="CV66" s="206"/>
      <c r="CW66" s="206"/>
    </row>
    <row r="67" spans="6:102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  <c r="CO67" s="299"/>
      <c r="CP67" s="299"/>
      <c r="CQ67" s="299"/>
      <c r="CR67" s="299"/>
      <c r="CS67" s="299"/>
      <c r="CT67" s="299"/>
      <c r="CU67" s="206"/>
      <c r="CV67" s="206"/>
      <c r="CW67" s="206"/>
    </row>
    <row r="68" spans="6:102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5" t="s">
        <v>677</v>
      </c>
      <c r="BK68" s="240" t="str">
        <f>INDEX('STATIC DATA'!C30:AB30,1,MATCH($A$1,'STATIC DATA'!$C$4:$AB$4,0))</f>
        <v>BCB:TGT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  <c r="CO68" s="299"/>
      <c r="CP68" s="299"/>
      <c r="CQ68" s="299"/>
      <c r="CR68" s="299"/>
      <c r="CS68" s="299"/>
      <c r="CT68" s="299"/>
      <c r="CU68" s="206"/>
      <c r="CV68" s="206"/>
      <c r="CW68" s="206"/>
      <c r="CX68" s="206"/>
    </row>
    <row r="69" spans="6:102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5" t="s">
        <v>683</v>
      </c>
      <c r="BK69" s="257" t="str">
        <f>INDEX('STATIC DATA'!N29:AL29,1,MATCH($A$1,'STATIC DATA'!N4:AL4,0))</f>
        <v>2d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  <c r="CO69" s="299"/>
      <c r="CP69" s="299"/>
      <c r="CQ69" s="299"/>
      <c r="CR69" s="299"/>
      <c r="CS69" s="299"/>
      <c r="CT69" s="299"/>
      <c r="CU69" s="206"/>
      <c r="CV69" s="206"/>
      <c r="CW69" s="206"/>
      <c r="CX69" s="206"/>
    </row>
    <row r="70" spans="6:102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  <c r="CO70" s="299"/>
      <c r="CP70" s="299"/>
      <c r="CQ70" s="299"/>
      <c r="CR70" s="299"/>
      <c r="CS70" s="299"/>
      <c r="CT70" s="299"/>
      <c r="CU70" s="206"/>
      <c r="CV70" s="206"/>
      <c r="CW70" s="206"/>
      <c r="CX70" s="206"/>
    </row>
    <row r="71" spans="6:102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  <c r="CO71" s="299"/>
      <c r="CP71" s="299"/>
      <c r="CQ71" s="299"/>
      <c r="CR71" s="299"/>
      <c r="CS71" s="299"/>
      <c r="CT71" s="299"/>
      <c r="CU71" s="206"/>
      <c r="CV71" s="206"/>
      <c r="CW71" s="206"/>
      <c r="CX71" s="206"/>
    </row>
    <row r="72" spans="6:102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  <c r="CO72" s="299"/>
      <c r="CP72" s="299"/>
      <c r="CQ72" s="299"/>
      <c r="CR72" s="299"/>
      <c r="CS72" s="299"/>
      <c r="CT72" s="299"/>
      <c r="CU72" s="206"/>
      <c r="CV72" s="206"/>
      <c r="CW72" s="206"/>
      <c r="CX72" s="206"/>
    </row>
    <row r="73" spans="6:102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  <c r="CO73" s="299"/>
      <c r="CP73" s="299"/>
      <c r="CQ73" s="299"/>
      <c r="CR73" s="299"/>
      <c r="CS73" s="299"/>
      <c r="CT73" s="299"/>
      <c r="CU73" s="206"/>
      <c r="CV73" s="206"/>
      <c r="CW73" s="206"/>
      <c r="CX73" s="206"/>
    </row>
    <row r="74" spans="6:102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  <c r="CO74" s="299"/>
      <c r="CP74" s="299"/>
      <c r="CQ74" s="299"/>
      <c r="CR74" s="299"/>
      <c r="CS74" s="299"/>
      <c r="CT74" s="299"/>
      <c r="CU74" s="206"/>
      <c r="CV74" s="206"/>
      <c r="CW74" s="206"/>
      <c r="CX74" s="206"/>
    </row>
    <row r="75" spans="6:102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  <c r="CO75" s="299"/>
      <c r="CP75" s="299"/>
      <c r="CQ75" s="299"/>
      <c r="CR75" s="299"/>
      <c r="CS75" s="299"/>
      <c r="CT75" s="299"/>
      <c r="CU75" s="206"/>
      <c r="CV75" s="206"/>
      <c r="CW75" s="206"/>
      <c r="CX75" s="206"/>
    </row>
    <row r="76" spans="6:102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99"/>
      <c r="CP76" s="299"/>
      <c r="CQ76" s="299"/>
      <c r="CR76" s="299"/>
      <c r="CS76" s="299"/>
      <c r="CT76" s="299"/>
      <c r="CU76" s="206"/>
      <c r="CV76" s="206"/>
      <c r="CW76" s="206"/>
      <c r="CX76" s="206"/>
    </row>
    <row r="77" spans="6:102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  <c r="CO77" s="299"/>
      <c r="CP77" s="299"/>
      <c r="CQ77" s="299"/>
      <c r="CR77" s="299"/>
      <c r="CS77" s="299"/>
      <c r="CT77" s="299"/>
      <c r="CU77" s="206"/>
      <c r="CV77" s="206"/>
      <c r="CW77" s="206"/>
      <c r="CX77" s="206"/>
    </row>
    <row r="78" spans="6:102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  <c r="CO78" s="299"/>
      <c r="CP78" s="299"/>
      <c r="CQ78" s="299"/>
      <c r="CR78" s="299"/>
      <c r="CS78" s="299"/>
      <c r="CT78" s="299"/>
      <c r="CU78" s="206"/>
      <c r="CV78" s="206"/>
      <c r="CW78" s="206"/>
      <c r="CX78" s="206"/>
    </row>
    <row r="79" spans="6:102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99"/>
      <c r="CP79" s="299"/>
      <c r="CQ79" s="299"/>
      <c r="CR79" s="299"/>
      <c r="CS79" s="299"/>
      <c r="CT79" s="299"/>
      <c r="CU79" s="206"/>
      <c r="CV79" s="206"/>
      <c r="CW79" s="206"/>
      <c r="CX79" s="206"/>
    </row>
    <row r="80" spans="6:102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99"/>
      <c r="CP80" s="299"/>
      <c r="CQ80" s="299"/>
      <c r="CR80" s="299"/>
      <c r="CS80" s="299"/>
      <c r="CT80" s="299"/>
      <c r="CU80" s="206"/>
      <c r="CV80" s="206"/>
      <c r="CW80" s="206"/>
      <c r="CX80" s="206"/>
    </row>
    <row r="81" spans="6:102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  <c r="CO81" s="299"/>
      <c r="CP81" s="299"/>
      <c r="CQ81" s="299"/>
      <c r="CR81" s="299"/>
      <c r="CS81" s="299"/>
      <c r="CT81" s="299"/>
      <c r="CU81" s="206"/>
      <c r="CV81" s="206"/>
      <c r="CW81" s="206"/>
      <c r="CX81" s="206"/>
    </row>
    <row r="82" spans="6:102" x14ac:dyDescent="0.25">
      <c r="F82" s="50"/>
      <c r="G82" s="52"/>
      <c r="H82" s="52"/>
      <c r="I82" s="53"/>
      <c r="Q82" s="75"/>
      <c r="R82" s="76"/>
      <c r="S82" s="76"/>
      <c r="T82" s="77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  <c r="CO82" s="299"/>
      <c r="CP82" s="299"/>
      <c r="CQ82" s="299"/>
      <c r="CR82" s="299"/>
      <c r="CS82" s="299"/>
      <c r="CT82" s="299"/>
      <c r="CU82" s="206"/>
      <c r="CV82" s="206"/>
      <c r="CW82" s="206"/>
      <c r="CX82" s="206"/>
    </row>
    <row r="83" spans="6:102" x14ac:dyDescent="0.25">
      <c r="F83" s="50"/>
      <c r="G83" s="52"/>
      <c r="H83" s="52"/>
      <c r="I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  <c r="CO83" s="299"/>
      <c r="CP83" s="299"/>
      <c r="CQ83" s="299"/>
      <c r="CR83" s="299"/>
      <c r="CS83" s="299"/>
      <c r="CT83" s="299"/>
      <c r="CU83" s="206"/>
      <c r="CV83" s="206"/>
      <c r="CW83" s="206"/>
      <c r="CX83" s="206"/>
    </row>
    <row r="84" spans="6:102" x14ac:dyDescent="0.25">
      <c r="F84" s="50"/>
      <c r="G84" s="52"/>
      <c r="H84" s="52"/>
      <c r="I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332"/>
      <c r="CE84" s="332"/>
      <c r="CF84" s="299"/>
      <c r="CG84" s="299"/>
      <c r="CH84" s="299"/>
      <c r="CI84" s="299"/>
      <c r="CJ84" s="299"/>
      <c r="CK84" s="299"/>
      <c r="CL84" s="299"/>
      <c r="CM84" s="299"/>
      <c r="CN84" s="299"/>
      <c r="CO84" s="299"/>
      <c r="CP84" s="299"/>
      <c r="CQ84" s="299"/>
      <c r="CR84" s="299"/>
      <c r="CS84" s="299"/>
      <c r="CT84" s="299"/>
      <c r="CU84" s="206"/>
      <c r="CV84" s="206"/>
      <c r="CW84" s="206"/>
      <c r="CX84" s="206"/>
    </row>
    <row r="85" spans="6:102" x14ac:dyDescent="0.25">
      <c r="F85" s="50"/>
      <c r="G85" s="52"/>
      <c r="H85" s="52"/>
      <c r="I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M85" s="299"/>
      <c r="CN85" s="299"/>
      <c r="CO85" s="299"/>
      <c r="CP85" s="299"/>
      <c r="CQ85" s="299"/>
      <c r="CR85" s="299"/>
      <c r="CS85" s="299"/>
      <c r="CT85" s="299"/>
      <c r="CU85" s="206"/>
      <c r="CV85" s="206"/>
      <c r="CW85" s="206"/>
      <c r="CX85" s="206"/>
    </row>
    <row r="86" spans="6:102" x14ac:dyDescent="0.25">
      <c r="F86" s="50"/>
      <c r="G86" s="52"/>
      <c r="H86" s="52"/>
      <c r="I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M86" s="299"/>
      <c r="CN86" s="299"/>
      <c r="CO86" s="299"/>
      <c r="CP86" s="299"/>
      <c r="CQ86" s="299"/>
      <c r="CR86" s="299"/>
      <c r="CS86" s="299"/>
      <c r="CT86" s="299"/>
      <c r="CU86" s="206"/>
      <c r="CV86" s="206"/>
      <c r="CW86" s="206"/>
      <c r="CX86" s="206"/>
    </row>
    <row r="87" spans="6:102" x14ac:dyDescent="0.25">
      <c r="F87" s="50"/>
      <c r="G87" s="52"/>
      <c r="H87" s="52"/>
      <c r="I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M87" s="299"/>
      <c r="CN87" s="299"/>
      <c r="CO87" s="299"/>
      <c r="CP87" s="299"/>
      <c r="CQ87" s="299"/>
      <c r="CR87" s="299"/>
      <c r="CS87" s="299"/>
      <c r="CT87" s="299"/>
      <c r="CU87" s="206"/>
      <c r="CV87" s="206"/>
      <c r="CW87" s="206"/>
      <c r="CX87" s="206"/>
    </row>
    <row r="88" spans="6:102" x14ac:dyDescent="0.25">
      <c r="F88" s="50"/>
      <c r="G88" s="52"/>
      <c r="H88" s="52"/>
      <c r="I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06"/>
      <c r="CV88" s="206"/>
      <c r="CW88" s="206"/>
      <c r="CX88" s="206"/>
    </row>
    <row r="89" spans="6:102" x14ac:dyDescent="0.25">
      <c r="F89" s="50"/>
      <c r="G89" s="52"/>
      <c r="H89" s="52"/>
      <c r="I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M89" s="299"/>
      <c r="CN89" s="299"/>
      <c r="CO89" s="299"/>
      <c r="CP89" s="299"/>
      <c r="CQ89" s="299"/>
      <c r="CR89" s="299"/>
      <c r="CS89" s="299"/>
      <c r="CT89" s="299"/>
      <c r="CU89" s="206"/>
      <c r="CV89" s="206"/>
      <c r="CW89" s="206"/>
      <c r="CX89" s="206"/>
    </row>
    <row r="90" spans="6:102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M90" s="299"/>
      <c r="CN90" s="299"/>
      <c r="CO90" s="299"/>
      <c r="CP90" s="299"/>
      <c r="CQ90" s="299"/>
      <c r="CR90" s="299"/>
      <c r="CS90" s="299"/>
      <c r="CT90" s="299"/>
      <c r="CU90" s="206"/>
      <c r="CV90" s="206"/>
      <c r="CW90" s="206"/>
      <c r="CX90" s="206"/>
    </row>
    <row r="91" spans="6:102" x14ac:dyDescent="0.25">
      <c r="F91" s="50"/>
      <c r="G91" s="52"/>
      <c r="H91" s="52"/>
      <c r="I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M91" s="299"/>
      <c r="CN91" s="299"/>
      <c r="CO91" s="299"/>
      <c r="CP91" s="299"/>
      <c r="CQ91" s="299"/>
      <c r="CR91" s="299"/>
      <c r="CS91" s="299"/>
      <c r="CT91" s="299"/>
      <c r="CU91" s="206"/>
      <c r="CV91" s="206"/>
      <c r="CW91" s="206"/>
      <c r="CX91" s="206"/>
    </row>
    <row r="92" spans="6:102" x14ac:dyDescent="0.25">
      <c r="F92" s="50"/>
      <c r="G92" s="52"/>
      <c r="H92" s="52"/>
      <c r="I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299"/>
      <c r="CT92" s="299"/>
      <c r="CU92" s="206"/>
      <c r="CV92" s="206"/>
      <c r="CW92" s="206"/>
      <c r="CX92" s="206"/>
    </row>
    <row r="93" spans="6:102" x14ac:dyDescent="0.25">
      <c r="F93" s="50"/>
      <c r="G93" s="52"/>
      <c r="H93" s="52"/>
      <c r="I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  <c r="CO93" s="299"/>
      <c r="CP93" s="299"/>
      <c r="CQ93" s="299"/>
      <c r="CR93" s="299"/>
      <c r="CS93" s="299"/>
      <c r="CT93" s="299"/>
      <c r="CU93" s="206"/>
      <c r="CV93" s="206"/>
      <c r="CW93" s="206"/>
      <c r="CX93" s="206"/>
    </row>
    <row r="94" spans="6:102" x14ac:dyDescent="0.25">
      <c r="F94" s="50"/>
      <c r="G94" s="52"/>
      <c r="H94" s="52"/>
      <c r="I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9"/>
      <c r="CG94" s="299"/>
      <c r="CH94" s="299"/>
      <c r="CI94" s="299"/>
      <c r="CJ94" s="299"/>
      <c r="CK94" s="299"/>
      <c r="CL94" s="299"/>
      <c r="CM94" s="299"/>
      <c r="CN94" s="299"/>
      <c r="CO94" s="299"/>
      <c r="CP94" s="299"/>
      <c r="CQ94" s="299"/>
      <c r="CR94" s="299"/>
      <c r="CS94" s="299"/>
      <c r="CT94" s="299"/>
      <c r="CU94" s="206"/>
      <c r="CV94" s="206"/>
      <c r="CW94" s="206"/>
      <c r="CX94" s="206"/>
    </row>
    <row r="95" spans="6:102" x14ac:dyDescent="0.25">
      <c r="F95" s="50"/>
      <c r="G95" s="52"/>
      <c r="H95" s="52"/>
      <c r="I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99"/>
      <c r="CG95" s="299"/>
      <c r="CH95" s="299"/>
      <c r="CI95" s="299"/>
      <c r="CJ95" s="299"/>
      <c r="CK95" s="299"/>
      <c r="CL95" s="299"/>
      <c r="CM95" s="299"/>
      <c r="CN95" s="299"/>
      <c r="CO95" s="299"/>
      <c r="CP95" s="299"/>
      <c r="CQ95" s="299"/>
      <c r="CR95" s="299"/>
      <c r="CS95" s="299"/>
      <c r="CT95" s="299"/>
      <c r="CU95" s="206"/>
      <c r="CV95" s="206"/>
      <c r="CW95" s="206"/>
      <c r="CX95" s="206"/>
    </row>
    <row r="96" spans="6:102" x14ac:dyDescent="0.25">
      <c r="F96" s="50"/>
      <c r="G96" s="52"/>
      <c r="H96" s="52"/>
      <c r="I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99"/>
      <c r="CG96" s="299"/>
      <c r="CH96" s="299"/>
      <c r="CI96" s="299"/>
      <c r="CJ96" s="299"/>
      <c r="CK96" s="299"/>
      <c r="CL96" s="299"/>
      <c r="CM96" s="299"/>
      <c r="CN96" s="299"/>
      <c r="CO96" s="299"/>
      <c r="CP96" s="299"/>
      <c r="CQ96" s="299"/>
      <c r="CR96" s="299"/>
      <c r="CS96" s="299"/>
      <c r="CT96" s="299"/>
      <c r="CU96" s="206"/>
      <c r="CV96" s="206"/>
      <c r="CW96" s="206"/>
      <c r="CX96" s="206"/>
    </row>
    <row r="97" spans="6:109" x14ac:dyDescent="0.25">
      <c r="F97" s="50"/>
      <c r="G97" s="52"/>
      <c r="H97" s="52"/>
      <c r="I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</row>
    <row r="98" spans="6:109" x14ac:dyDescent="0.25">
      <c r="F98" s="75"/>
      <c r="G98" s="76"/>
      <c r="H98" s="76"/>
      <c r="I98" s="77"/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</row>
    <row r="99" spans="6:109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Y99" s="206"/>
      <c r="CZ99" s="206"/>
      <c r="DA99" s="206"/>
      <c r="DB99" s="206"/>
      <c r="DC99" s="206"/>
      <c r="DD99" s="206"/>
      <c r="DE99" s="206"/>
    </row>
    <row r="100" spans="6:109" x14ac:dyDescent="0.25"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Y100" s="206"/>
      <c r="CZ100" s="206"/>
      <c r="DA100" s="206"/>
      <c r="DB100" s="206"/>
      <c r="DC100" s="206"/>
      <c r="DD100" s="206"/>
      <c r="DE100" s="206"/>
    </row>
    <row r="101" spans="6:109" x14ac:dyDescent="0.25"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Y101" s="206"/>
      <c r="CZ101" s="206"/>
      <c r="DA101" s="206"/>
      <c r="DB101" s="206"/>
      <c r="DC101" s="206"/>
      <c r="DD101" s="206"/>
      <c r="DE101" s="206"/>
    </row>
    <row r="102" spans="6:109" x14ac:dyDescent="0.25"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Y102" s="206"/>
      <c r="CZ102" s="206"/>
      <c r="DA102" s="206"/>
      <c r="DB102" s="206"/>
      <c r="DC102" s="206"/>
      <c r="DD102" s="206"/>
      <c r="DE102" s="206"/>
    </row>
    <row r="103" spans="6:109" x14ac:dyDescent="0.25"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Y103" s="206"/>
      <c r="CZ103" s="206"/>
      <c r="DA103" s="206"/>
      <c r="DB103" s="206"/>
      <c r="DC103" s="206"/>
      <c r="DD103" s="206"/>
      <c r="DE103" s="206"/>
    </row>
    <row r="104" spans="6:109" x14ac:dyDescent="0.25"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Y104" s="206"/>
      <c r="CZ104" s="206"/>
      <c r="DA104" s="206"/>
      <c r="DB104" s="206"/>
      <c r="DC104" s="206"/>
      <c r="DD104" s="206"/>
      <c r="DE104" s="206"/>
    </row>
    <row r="105" spans="6:109" x14ac:dyDescent="0.25"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Y105" s="206"/>
      <c r="CZ105" s="206"/>
      <c r="DA105" s="206"/>
      <c r="DB105" s="206"/>
      <c r="DC105" s="206"/>
      <c r="DD105" s="206"/>
      <c r="DE105" s="206"/>
    </row>
    <row r="106" spans="6:109" x14ac:dyDescent="0.25"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Y106" s="206"/>
      <c r="CZ106" s="206"/>
      <c r="DA106" s="206"/>
      <c r="DB106" s="206"/>
      <c r="DC106" s="206"/>
      <c r="DD106" s="206"/>
      <c r="DE106" s="206"/>
    </row>
    <row r="107" spans="6:109" x14ac:dyDescent="0.25"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Y107" s="206"/>
      <c r="CZ107" s="206"/>
      <c r="DA107" s="206"/>
      <c r="DB107" s="206"/>
      <c r="DC107" s="206"/>
      <c r="DD107" s="206"/>
      <c r="DE107" s="206"/>
    </row>
    <row r="108" spans="6:109" x14ac:dyDescent="0.25"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Y108" s="206"/>
      <c r="CZ108" s="206"/>
      <c r="DA108" s="206"/>
      <c r="DB108" s="206"/>
      <c r="DC108" s="206"/>
      <c r="DD108" s="206"/>
      <c r="DE108" s="206"/>
    </row>
    <row r="109" spans="6:109" x14ac:dyDescent="0.25"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Y109" s="206"/>
      <c r="CZ109" s="206"/>
      <c r="DA109" s="206"/>
      <c r="DB109" s="206"/>
      <c r="DC109" s="206"/>
      <c r="DD109" s="206"/>
      <c r="DE109" s="206"/>
    </row>
    <row r="110" spans="6:109" x14ac:dyDescent="0.25"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Y110" s="206"/>
      <c r="CZ110" s="206"/>
      <c r="DA110" s="206"/>
      <c r="DB110" s="206"/>
      <c r="DC110" s="206"/>
      <c r="DD110" s="206"/>
      <c r="DE110" s="206"/>
    </row>
    <row r="111" spans="6:109" x14ac:dyDescent="0.25"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Y111" s="206"/>
      <c r="CZ111" s="206"/>
      <c r="DA111" s="206"/>
      <c r="DB111" s="206"/>
      <c r="DC111" s="206"/>
      <c r="DD111" s="206"/>
      <c r="DE111" s="206"/>
    </row>
    <row r="112" spans="6:109" x14ac:dyDescent="0.25"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Y112" s="206"/>
      <c r="CZ112" s="206"/>
      <c r="DA112" s="206"/>
      <c r="DB112" s="206"/>
      <c r="DC112" s="206"/>
      <c r="DD112" s="206"/>
      <c r="DE112" s="206"/>
    </row>
    <row r="113" spans="72:109" x14ac:dyDescent="0.25"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Y113" s="206"/>
      <c r="CZ113" s="206"/>
      <c r="DA113" s="206"/>
      <c r="DB113" s="206"/>
      <c r="DC113" s="206"/>
      <c r="DD113" s="206"/>
      <c r="DE113" s="206"/>
    </row>
    <row r="114" spans="72:109" x14ac:dyDescent="0.25"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Y114" s="206"/>
      <c r="CZ114" s="206"/>
      <c r="DA114" s="206"/>
      <c r="DB114" s="206"/>
      <c r="DC114" s="206"/>
      <c r="DD114" s="206"/>
      <c r="DE114" s="206"/>
    </row>
    <row r="115" spans="72:109" x14ac:dyDescent="0.25"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Y115" s="206"/>
      <c r="CZ115" s="206"/>
      <c r="DA115" s="206"/>
      <c r="DB115" s="206"/>
      <c r="DC115" s="206"/>
      <c r="DD115" s="206"/>
      <c r="DE115" s="206"/>
    </row>
    <row r="116" spans="72:109" x14ac:dyDescent="0.25"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Y116" s="206"/>
      <c r="CZ116" s="206"/>
      <c r="DA116" s="206"/>
      <c r="DB116" s="206"/>
      <c r="DC116" s="206"/>
      <c r="DD116" s="206"/>
      <c r="DE116" s="206"/>
    </row>
    <row r="117" spans="72:109" x14ac:dyDescent="0.25"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Y117" s="206"/>
      <c r="CZ117" s="206"/>
      <c r="DA117" s="206"/>
      <c r="DB117" s="206"/>
      <c r="DC117" s="206"/>
      <c r="DD117" s="206"/>
      <c r="DE117" s="206"/>
    </row>
    <row r="118" spans="72:109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Y118" s="206"/>
      <c r="CZ118" s="206"/>
      <c r="DA118" s="206"/>
      <c r="DB118" s="206"/>
      <c r="DC118" s="206"/>
      <c r="DD118" s="206"/>
      <c r="DE118" s="206"/>
    </row>
    <row r="119" spans="72:109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Y119" s="206"/>
      <c r="CZ119" s="206"/>
      <c r="DA119" s="206"/>
      <c r="DB119" s="206"/>
      <c r="DC119" s="206"/>
      <c r="DD119" s="206"/>
      <c r="DE119" s="206"/>
    </row>
    <row r="120" spans="72:109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Y120" s="206"/>
      <c r="CZ120" s="206"/>
      <c r="DA120" s="206"/>
      <c r="DB120" s="206"/>
      <c r="DC120" s="206"/>
      <c r="DD120" s="206"/>
      <c r="DE120" s="206"/>
    </row>
    <row r="121" spans="72:109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Y121" s="206"/>
      <c r="CZ121" s="206"/>
      <c r="DA121" s="206"/>
      <c r="DB121" s="206"/>
      <c r="DC121" s="206"/>
      <c r="DD121" s="206"/>
      <c r="DE121" s="206"/>
    </row>
    <row r="122" spans="72:109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Y122" s="206"/>
      <c r="CZ122" s="206"/>
      <c r="DA122" s="206"/>
      <c r="DB122" s="206"/>
      <c r="DC122" s="206"/>
      <c r="DD122" s="206"/>
      <c r="DE122" s="206"/>
    </row>
    <row r="123" spans="72:109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Y123" s="206"/>
      <c r="CZ123" s="206"/>
      <c r="DA123" s="206"/>
      <c r="DB123" s="206"/>
      <c r="DC123" s="206"/>
      <c r="DD123" s="206"/>
      <c r="DE123" s="206"/>
    </row>
    <row r="124" spans="72:109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D124" s="299"/>
      <c r="CE124" s="299"/>
      <c r="CY124" s="206"/>
      <c r="CZ124" s="206"/>
      <c r="DA124" s="206"/>
      <c r="DB124" s="206"/>
      <c r="DC124" s="206"/>
      <c r="DD124" s="206"/>
      <c r="DE124" s="206"/>
    </row>
    <row r="125" spans="72:109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D125" s="299"/>
      <c r="CE125" s="299"/>
      <c r="CY125" s="206"/>
      <c r="CZ125" s="206"/>
      <c r="DA125" s="206"/>
      <c r="DB125" s="206"/>
      <c r="DC125" s="206"/>
      <c r="DD125" s="206"/>
      <c r="DE125" s="206"/>
    </row>
    <row r="126" spans="72:109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D126" s="299"/>
      <c r="CE126" s="299"/>
      <c r="CY126" s="206"/>
      <c r="CZ126" s="206"/>
      <c r="DA126" s="206"/>
      <c r="DB126" s="206"/>
      <c r="DC126" s="206"/>
      <c r="DD126" s="206"/>
      <c r="DE126" s="206"/>
    </row>
    <row r="127" spans="72:109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D127" s="299"/>
      <c r="CE127" s="299"/>
      <c r="CY127" s="206"/>
      <c r="CZ127" s="206"/>
      <c r="DA127" s="206"/>
      <c r="DB127" s="206"/>
      <c r="DC127" s="206"/>
      <c r="DD127" s="206"/>
      <c r="DE127" s="206"/>
    </row>
  </sheetData>
  <dataValidations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ED145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36.7109375" bestFit="1" customWidth="1" outlineLevel="2"/>
    <col min="9" max="9" width="9.140625" customWidth="1" outlineLevel="2"/>
    <col min="10" max="10" width="9.140625" customWidth="1"/>
    <col min="11" max="11" width="14.7109375" customWidth="1"/>
    <col min="12" max="12" width="15.5703125" customWidth="1"/>
    <col min="13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6.140625" customWidth="1"/>
    <col min="23" max="23" width="17.5703125" customWidth="1"/>
    <col min="24" max="24" width="10.7109375" customWidth="1"/>
    <col min="25" max="25" width="10.7109375" style="5" customWidth="1"/>
    <col min="26" max="26" width="10.7109375" customWidth="1"/>
    <col min="28" max="28" width="9.140625" hidden="1" customWidth="1" outlineLevel="1"/>
    <col min="29" max="29" width="30.7109375" hidden="1" customWidth="1" outlineLevel="1"/>
    <col min="30" max="30" width="40.7109375" style="209" hidden="1" customWidth="1" outlineLevel="1"/>
    <col min="31" max="31" width="9.140625" hidden="1" customWidth="1" outlineLevel="1"/>
    <col min="32" max="32" width="24" customWidth="1" collapsed="1"/>
    <col min="33" max="33" width="14.85546875" customWidth="1"/>
    <col min="34" max="34" width="39.140625" bestFit="1" customWidth="1"/>
    <col min="35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1"/>
    <col min="51" max="51" width="30.7109375" hidden="1" customWidth="1" outlineLevel="1"/>
    <col min="52" max="52" width="40.7109375" hidden="1" customWidth="1" outlineLevel="1"/>
    <col min="53" max="54" width="9.140625" hidden="1" customWidth="1" outlineLevel="1"/>
    <col min="55" max="55" width="14.28515625" hidden="1" customWidth="1" outlineLevel="1"/>
    <col min="56" max="59" width="10.7109375" hidden="1" customWidth="1" outlineLevel="1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5" max="65" width="17.140625" customWidth="1"/>
    <col min="66" max="66" width="25.28515625" bestFit="1" customWidth="1"/>
    <col min="67" max="67" width="42.5703125" bestFit="1" customWidth="1"/>
    <col min="68" max="68" width="9.28515625" bestFit="1" customWidth="1"/>
    <col min="69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25.42578125" bestFit="1" customWidth="1"/>
    <col min="79" max="79" width="13" bestFit="1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5" width="9.140625" customWidth="1"/>
    <col min="86" max="86" width="25.7109375" bestFit="1" customWidth="1"/>
    <col min="87" max="87" width="13.5703125" style="620" bestFit="1" customWidth="1"/>
    <col min="88" max="88" width="29.7109375" style="620" bestFit="1" customWidth="1"/>
    <col min="89" max="89" width="34.28515625" style="620" bestFit="1" customWidth="1"/>
    <col min="90" max="90" width="9.140625" style="620" customWidth="1"/>
    <col min="91" max="91" width="9.140625" customWidth="1"/>
    <col min="92" max="92" width="20.7109375" customWidth="1"/>
    <col min="93" max="93" width="13.5703125" bestFit="1" customWidth="1"/>
    <col min="94" max="94" width="29.7109375" bestFit="1" customWidth="1"/>
    <col min="95" max="95" width="34.28515625" bestFit="1" customWidth="1"/>
    <col min="96" max="96" width="9.140625" customWidth="1"/>
    <col min="97" max="97" width="15.140625" style="379" bestFit="1" customWidth="1"/>
    <col min="98" max="101" width="20.7109375" style="600" customWidth="1"/>
    <col min="102" max="102" width="13.7109375" style="203" bestFit="1" customWidth="1"/>
    <col min="103" max="103" width="9.140625" style="203"/>
    <col min="106" max="106" width="12.140625" bestFit="1" customWidth="1"/>
    <col min="124" max="124" width="58.140625" bestFit="1" customWidth="1"/>
    <col min="125" max="125" width="20.7109375" customWidth="1"/>
    <col min="126" max="126" width="22.28515625" customWidth="1"/>
    <col min="127" max="127" width="10.85546875" bestFit="1" customWidth="1"/>
    <col min="128" max="128" width="20.7109375" customWidth="1"/>
    <col min="129" max="129" width="11.140625" bestFit="1" customWidth="1"/>
    <col min="130" max="132" width="20.7109375" customWidth="1"/>
    <col min="133" max="133" width="9.140625" customWidth="1"/>
    <col min="134" max="134" width="20.7109375" customWidth="1"/>
  </cols>
  <sheetData>
    <row r="1" spans="1:134" x14ac:dyDescent="0.25">
      <c r="A1" s="2" t="s">
        <v>254</v>
      </c>
      <c r="L1" s="5"/>
      <c r="M1" s="5"/>
      <c r="N1" s="5"/>
      <c r="O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5"/>
      <c r="CA1" s="5"/>
      <c r="CB1" s="5"/>
      <c r="CN1" s="206"/>
      <c r="CS1" s="390" t="s">
        <v>1007</v>
      </c>
      <c r="CT1" s="610"/>
      <c r="CU1" s="610"/>
      <c r="CV1" s="610"/>
      <c r="CW1" s="598"/>
      <c r="CX1" s="401"/>
      <c r="CY1" s="401"/>
      <c r="CZ1" s="206"/>
      <c r="DA1" s="206"/>
      <c r="DT1" s="209"/>
      <c r="DU1" s="209"/>
      <c r="DV1" s="209"/>
      <c r="DW1" s="304"/>
      <c r="DX1" s="206"/>
      <c r="DY1" s="206"/>
      <c r="DZ1" s="206"/>
      <c r="EA1" s="206"/>
      <c r="EB1" s="206"/>
      <c r="EC1" s="299"/>
      <c r="ED1" s="304"/>
    </row>
    <row r="2" spans="1:134" x14ac:dyDescent="0.25">
      <c r="F2" s="237" t="s">
        <v>712</v>
      </c>
      <c r="K2" s="2" t="str">
        <f>A1&amp;"_OIS"</f>
        <v>RUB_OIS</v>
      </c>
      <c r="L2" s="5"/>
      <c r="M2" s="5"/>
      <c r="N2" s="5"/>
      <c r="O2" s="5"/>
      <c r="Q2" s="237"/>
      <c r="V2" s="2" t="str">
        <f>A1&amp;"_SWAP_3M"</f>
        <v>RUB_SWAP_3M</v>
      </c>
      <c r="AB2" s="237"/>
      <c r="AG2" s="2" t="str">
        <f>A1&amp;"_BASIS_6M"</f>
        <v>RUB_BASIS_6M</v>
      </c>
      <c r="AH2" s="5"/>
      <c r="AI2" s="5"/>
      <c r="AJ2" s="5"/>
      <c r="AK2" s="5"/>
      <c r="AR2" t="str">
        <f>A1&amp;"_BASIS_12M"</f>
        <v>RUB_BASIS_12M</v>
      </c>
      <c r="BC2" t="str">
        <f>A1&amp;"_BASIS_1M"</f>
        <v>RUB_BASIS_1M</v>
      </c>
      <c r="BN2" s="2" t="str">
        <f>A1&amp;"_XCCYBASIS"</f>
        <v>RUB_XCCYBASIS</v>
      </c>
      <c r="BO2" s="5"/>
      <c r="BP2" s="5"/>
      <c r="BQ2" s="5"/>
      <c r="BR2" s="5"/>
      <c r="BZ2" s="5"/>
      <c r="CA2" s="5"/>
      <c r="CB2" s="5"/>
      <c r="CN2" s="308"/>
      <c r="CS2" s="393" t="s">
        <v>1009</v>
      </c>
      <c r="CT2" s="611"/>
      <c r="CU2" s="611"/>
      <c r="CV2" s="611"/>
      <c r="CW2" s="598"/>
      <c r="CX2" s="401"/>
      <c r="CY2" s="401"/>
      <c r="CZ2" s="206"/>
      <c r="DA2" s="206"/>
      <c r="DW2" s="306"/>
      <c r="DX2" s="307"/>
      <c r="DY2" s="307"/>
      <c r="DZ2" s="307"/>
      <c r="EA2" s="307"/>
      <c r="EB2" s="307"/>
      <c r="EC2" s="299"/>
      <c r="ED2" s="308"/>
    </row>
    <row r="3" spans="1:134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BZ3" s="5"/>
      <c r="CA3" s="5"/>
      <c r="CB3" s="5"/>
      <c r="CC3" s="45"/>
      <c r="CD3" s="48"/>
      <c r="CE3" s="48"/>
      <c r="CF3" s="49"/>
      <c r="CI3" s="623"/>
      <c r="CJ3" s="624"/>
      <c r="CK3" s="624"/>
      <c r="CL3" s="625"/>
      <c r="CN3" s="312"/>
      <c r="CO3" s="45"/>
      <c r="CP3" s="48"/>
      <c r="CQ3" s="48"/>
      <c r="CR3" s="49"/>
      <c r="CS3" s="394" t="s">
        <v>961</v>
      </c>
      <c r="CT3" s="612"/>
      <c r="CU3" s="612"/>
      <c r="CV3" s="613"/>
      <c r="CW3" s="598"/>
      <c r="CX3" s="401"/>
      <c r="CY3" s="401"/>
      <c r="CZ3" s="206"/>
      <c r="DA3" s="206"/>
      <c r="DW3" s="309"/>
      <c r="DX3" s="284"/>
      <c r="DY3" s="310"/>
      <c r="DZ3" s="285"/>
      <c r="EA3" s="285"/>
      <c r="EB3" s="286"/>
      <c r="EC3" s="299"/>
      <c r="ED3" s="311"/>
    </row>
    <row r="4" spans="1:134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Y4" s="5">
        <v>0</v>
      </c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BZ4" s="5"/>
      <c r="CA4" s="5"/>
      <c r="CB4" s="5"/>
      <c r="CC4" s="50"/>
      <c r="CD4" s="81"/>
      <c r="CE4" s="228"/>
      <c r="CF4" s="53"/>
      <c r="CI4" s="626"/>
      <c r="CJ4" s="634"/>
      <c r="CK4" s="642"/>
      <c r="CL4" s="629"/>
      <c r="CN4" s="319"/>
      <c r="CO4" s="50"/>
      <c r="CP4" s="81"/>
      <c r="CQ4" s="228"/>
      <c r="CR4" s="53"/>
      <c r="CS4" s="394" t="s">
        <v>1132</v>
      </c>
      <c r="CT4" s="612"/>
      <c r="CU4" s="612"/>
      <c r="CV4" s="613"/>
      <c r="CW4" s="598"/>
      <c r="CX4" s="401"/>
      <c r="CY4" s="401"/>
      <c r="CZ4" s="206"/>
      <c r="DA4" s="206"/>
      <c r="DW4" s="264"/>
      <c r="DX4" s="314"/>
      <c r="DY4" s="315"/>
      <c r="DZ4" s="316"/>
      <c r="EA4" s="316"/>
      <c r="EB4" s="317"/>
      <c r="EC4" s="299"/>
      <c r="ED4" s="318"/>
    </row>
    <row r="5" spans="1:134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20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370"/>
      <c r="CA5" s="5"/>
      <c r="CB5" s="5"/>
      <c r="CC5" s="50"/>
      <c r="CD5" s="54" t="s">
        <v>1091</v>
      </c>
      <c r="CE5" s="228"/>
      <c r="CF5" s="53"/>
      <c r="CI5" s="626"/>
      <c r="CJ5" s="630" t="s">
        <v>1091</v>
      </c>
      <c r="CK5" s="642"/>
      <c r="CL5" s="629"/>
      <c r="CN5" s="319"/>
      <c r="CO5" s="50"/>
      <c r="CP5" s="54" t="s">
        <v>1628</v>
      </c>
      <c r="CQ5" s="228"/>
      <c r="CR5" s="53"/>
      <c r="CS5" s="394" t="s">
        <v>1011</v>
      </c>
      <c r="CT5" s="612"/>
      <c r="CU5" s="612"/>
      <c r="CV5" s="613"/>
      <c r="CW5" s="598"/>
      <c r="CX5" s="401"/>
      <c r="CY5" s="401"/>
      <c r="CZ5" s="206"/>
      <c r="DA5" s="206"/>
      <c r="DW5" s="273"/>
      <c r="DX5" s="274"/>
      <c r="DY5" s="320"/>
      <c r="DZ5" s="321"/>
      <c r="EA5" s="321"/>
      <c r="EB5" s="322"/>
      <c r="EC5" s="299"/>
      <c r="ED5" s="318"/>
    </row>
    <row r="6" spans="1:134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t="s">
        <v>430</v>
      </c>
      <c r="X6" t="s">
        <v>433</v>
      </c>
      <c r="Y6" s="5" t="s">
        <v>665</v>
      </c>
      <c r="Z6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371" t="s">
        <v>502</v>
      </c>
      <c r="CA6" s="371" t="s">
        <v>503</v>
      </c>
      <c r="CB6" s="5"/>
      <c r="CC6" s="50"/>
      <c r="CD6" s="51" t="s">
        <v>743</v>
      </c>
      <c r="CE6" s="210" t="b">
        <v>1</v>
      </c>
      <c r="CF6" s="53"/>
      <c r="CI6" s="626"/>
      <c r="CJ6" s="627" t="s">
        <v>743</v>
      </c>
      <c r="CK6" s="637" t="b">
        <v>1</v>
      </c>
      <c r="CL6" s="629"/>
      <c r="CN6" s="319"/>
      <c r="CO6" s="50"/>
      <c r="CP6" s="51" t="s">
        <v>743</v>
      </c>
      <c r="CQ6" s="210" t="b">
        <v>1</v>
      </c>
      <c r="CR6" s="53"/>
      <c r="CS6" s="394"/>
      <c r="CT6" s="612"/>
      <c r="CU6" s="612"/>
      <c r="CV6" s="613"/>
      <c r="CW6" s="598"/>
      <c r="CX6" s="401"/>
      <c r="CY6" s="401"/>
      <c r="CZ6" s="206"/>
      <c r="DA6" s="206"/>
      <c r="DW6" s="264"/>
      <c r="DX6" s="314"/>
      <c r="DY6" s="315"/>
      <c r="DZ6" s="316"/>
      <c r="EA6" s="316"/>
      <c r="EB6" s="317"/>
      <c r="EC6" s="299"/>
      <c r="ED6" s="318"/>
    </row>
    <row r="7" spans="1:134" x14ac:dyDescent="0.25">
      <c r="F7" s="50"/>
      <c r="G7" s="59" t="s">
        <v>711</v>
      </c>
      <c r="H7" s="211" t="str">
        <f>$A$1&amp;"_OIS"</f>
        <v>RUB_OIS</v>
      </c>
      <c r="I7" s="53"/>
      <c r="K7" t="s">
        <v>298</v>
      </c>
      <c r="L7" s="357">
        <f>O7+N7/10000</f>
        <v>0.04</v>
      </c>
      <c r="M7" s="5" t="b">
        <v>1</v>
      </c>
      <c r="N7" s="5">
        <f>$N$4</f>
        <v>0</v>
      </c>
      <c r="O7" s="357">
        <f>RUB_DATA!M7</f>
        <v>0.04</v>
      </c>
      <c r="Q7" s="50"/>
      <c r="R7" s="59" t="s">
        <v>711</v>
      </c>
      <c r="S7" s="211" t="str">
        <f>$A$1&amp;"_SWAP_"&amp;"3M"</f>
        <v>RUB_SWAP_3M</v>
      </c>
      <c r="T7" s="53"/>
      <c r="V7" t="s">
        <v>298</v>
      </c>
      <c r="W7" s="203">
        <f t="shared" ref="W7:W29" si="0">Z7+Y7/10000</f>
        <v>4.3799999999999999E-2</v>
      </c>
      <c r="X7" t="b">
        <v>1</v>
      </c>
      <c r="Y7" s="5">
        <f t="shared" ref="Y7:Y29" si="1">$Y$4</f>
        <v>0</v>
      </c>
      <c r="Z7" s="203">
        <f>RUB_DATA!U7</f>
        <v>4.3799999999999999E-2</v>
      </c>
      <c r="AA7" s="203"/>
      <c r="AB7" s="50"/>
      <c r="AC7" s="59" t="s">
        <v>711</v>
      </c>
      <c r="AD7" s="211" t="str">
        <f>$A$1&amp;"_BASIS_3M6M"</f>
        <v>RUB_BASIS_3M6M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RUB_DATA!Z7</f>
        <v>1E-3</v>
      </c>
      <c r="AL7" s="207"/>
      <c r="AM7" s="50"/>
      <c r="AN7" s="59" t="s">
        <v>711</v>
      </c>
      <c r="AO7" s="211" t="str">
        <f>A1&amp;"_BASIS_3M12M"</f>
        <v>RUB_BASIS_3M12M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A1&amp;"_BASIS_1M3M"</f>
        <v>RUB_BASIS_1M3M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RUB_XCCY</v>
      </c>
      <c r="BL7" s="53"/>
      <c r="BM7" t="s">
        <v>822</v>
      </c>
      <c r="BN7" t="s">
        <v>2</v>
      </c>
      <c r="BO7" s="5" t="s">
        <v>254</v>
      </c>
      <c r="BP7" s="359">
        <f>BR7</f>
        <v>75.871099999999998</v>
      </c>
      <c r="BQ7" s="5"/>
      <c r="BR7" s="359">
        <f>FX!T2</f>
        <v>75.871099999999998</v>
      </c>
      <c r="BT7" s="50"/>
      <c r="BU7" s="270" t="s">
        <v>830</v>
      </c>
      <c r="BV7" s="271" t="str">
        <f>"FX_CURVE_"&amp;"USD"&amp;$A$1</f>
        <v>FX_CURVE_USDRUB</v>
      </c>
      <c r="BW7" s="52"/>
      <c r="BX7" s="299"/>
      <c r="BY7" t="s">
        <v>836</v>
      </c>
      <c r="BZ7" s="372">
        <f>RUB_DATA!AW7</f>
        <v>75.871099999999998</v>
      </c>
      <c r="CA7" s="372">
        <f>RUB_DATA!AX7</f>
        <v>75.871099999999998</v>
      </c>
      <c r="CB7" s="5"/>
      <c r="CC7" s="50"/>
      <c r="CD7" s="59" t="s">
        <v>711</v>
      </c>
      <c r="CE7" s="211" t="str">
        <f>$A$1&amp;"_EURCSA"</f>
        <v>RUB_EURCSA</v>
      </c>
      <c r="CF7" s="53"/>
      <c r="CI7" s="626"/>
      <c r="CJ7" s="632" t="s">
        <v>711</v>
      </c>
      <c r="CK7" s="638" t="str">
        <f>$A$1&amp;"_JPYCSA"</f>
        <v>RUB_JPYCSA</v>
      </c>
      <c r="CL7" s="629"/>
      <c r="CN7" s="319"/>
      <c r="CO7" s="50"/>
      <c r="CP7" s="59" t="s">
        <v>711</v>
      </c>
      <c r="CQ7" s="211" t="str">
        <f>$A$1&amp;"_CNHCSA"</f>
        <v>RUB_CNHCSA</v>
      </c>
      <c r="CR7" s="53"/>
      <c r="CS7" s="394" t="str">
        <f t="array" ref="CS7:CW145">_xll.meUtilityResize(_xll.meLWOCurveForwardRatesTable(CS1,CS2:CS5,,,,,,"QUARTERLY"),144,5)</f>
        <v>Fixing Dates</v>
      </c>
      <c r="CT7" s="612" t="str">
        <v>RUBOIS</v>
      </c>
      <c r="CU7" s="612" t="str">
        <v>MOS3M</v>
      </c>
      <c r="CV7" s="613" t="str">
        <v>RUBDF_JPYCSA</v>
      </c>
      <c r="CW7" s="598" t="str">
        <v>RUBDF_USDCSA</v>
      </c>
      <c r="CX7" s="401"/>
      <c r="CY7" s="401"/>
      <c r="CZ7" s="206"/>
      <c r="DA7" s="206"/>
      <c r="DB7" s="335" t="str">
        <f>CS7</f>
        <v>Fixing Dates</v>
      </c>
      <c r="DC7" t="str">
        <f>USD_CURVES!N7</f>
        <v>USD3ML</v>
      </c>
      <c r="DD7" s="203" t="str">
        <f>CU7</f>
        <v>MOS3M</v>
      </c>
      <c r="DE7" s="207" t="str">
        <f>SAR_CURVES!CQ7</f>
        <v>SAR3M</v>
      </c>
      <c r="DF7" t="str">
        <f>ZAR_CURVES!CU7</f>
        <v>JIB3M</v>
      </c>
      <c r="DG7" t="str">
        <f>EUR_CURVES!CU7</f>
        <v>EUR3ML</v>
      </c>
      <c r="DW7" s="264"/>
      <c r="DX7" s="314"/>
      <c r="DY7" s="315"/>
      <c r="DZ7" s="316"/>
      <c r="EA7" s="316"/>
      <c r="EB7" s="317"/>
      <c r="EC7" s="299"/>
      <c r="ED7" s="318"/>
    </row>
    <row r="8" spans="1:134" x14ac:dyDescent="0.25">
      <c r="F8" s="50"/>
      <c r="G8" s="72" t="s">
        <v>670</v>
      </c>
      <c r="H8" s="35" t="str">
        <f>IF(H$6,_xll.meLWOCurveGeneratorCreate(H$7,"CURVEPROPERTIES",G12:H18,"OIS",G23:H37,"SWAPS",G48:H51),"Disabled")</f>
        <v>RUB_OIS@344:6</v>
      </c>
      <c r="I8" s="53" t="s">
        <v>424</v>
      </c>
      <c r="K8" t="s">
        <v>305</v>
      </c>
      <c r="L8" s="357">
        <f t="shared" ref="L8:L27" si="2">O8+N8/10000</f>
        <v>4.1700000000000001E-2</v>
      </c>
      <c r="M8" s="5" t="b">
        <v>1</v>
      </c>
      <c r="N8" s="5">
        <f t="shared" ref="N8:N27" si="3">$N$4</f>
        <v>0</v>
      </c>
      <c r="O8" s="357">
        <f>RUB_DATA!M8</f>
        <v>4.1700000000000001E-2</v>
      </c>
      <c r="Q8" s="50"/>
      <c r="R8" s="72" t="s">
        <v>670</v>
      </c>
      <c r="S8" s="35" t="str">
        <f>IF(S$6,_xll.meLWOCurveGeneratorCreate(S$7,"CURVEPROPERTIES",R12:S25,"MONEYMARKET",R28:S30,"LIBORFIXINGS",R33:S37,"FRAS",R40:S43,"SWAPS",R48:S61),"Disabled")</f>
        <v>RUB_SWAP_3M@351:6</v>
      </c>
      <c r="T8" s="53" t="s">
        <v>424</v>
      </c>
      <c r="V8" t="s">
        <v>300</v>
      </c>
      <c r="W8" s="203">
        <f t="shared" si="0"/>
        <v>4.5499999999999999E-2</v>
      </c>
      <c r="X8" t="b">
        <v>1</v>
      </c>
      <c r="Y8" s="5">
        <f t="shared" si="1"/>
        <v>0</v>
      </c>
      <c r="Z8" s="203">
        <f>RUB_DATA!U8</f>
        <v>4.5499999999999999E-2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RUB_BASIS_3M6M@352:6</v>
      </c>
      <c r="AE8" s="53" t="s">
        <v>424</v>
      </c>
      <c r="AG8" t="s">
        <v>308</v>
      </c>
      <c r="AH8" s="358">
        <f t="shared" ref="AH8:AH19" si="4">AK8+AJ8/10000</f>
        <v>1E-3</v>
      </c>
      <c r="AI8" s="5" t="b">
        <v>1</v>
      </c>
      <c r="AJ8" s="5">
        <f t="shared" ref="AJ8:AJ19" si="5">$AJ$4</f>
        <v>0</v>
      </c>
      <c r="AK8" s="357">
        <f>RUB_DATA!Z8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RUB_BASIS_3M12M@350:6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RUB_BASIS_1M3M@304:7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IF(BK$6,_xll.meLWOCurveGeneratorCreate(BK$7,"CURVEPROPERTIES",BJ12:BK23,"FXFWDS",BJ27:BK35,"XCCYSWAPS",BJ38:BK75),"Disabled")</f>
        <v>RUB_XCCY@349:6</v>
      </c>
      <c r="BL8" s="53" t="s">
        <v>424</v>
      </c>
      <c r="BM8" t="s">
        <v>814</v>
      </c>
      <c r="BN8" t="s">
        <v>298</v>
      </c>
      <c r="BO8" s="362">
        <f>BR8+BQ8</f>
        <v>80</v>
      </c>
      <c r="BP8" s="5" t="b">
        <v>1</v>
      </c>
      <c r="BQ8" s="5">
        <f t="shared" ref="BQ8:BQ16" si="6">$BQ$4</f>
        <v>0</v>
      </c>
      <c r="BR8" s="362">
        <f>RUB_DATA!AZ8</f>
        <v>80</v>
      </c>
      <c r="BT8" s="50"/>
      <c r="BU8" t="s">
        <v>670</v>
      </c>
      <c r="BV8" s="263" t="str">
        <f>IF(BV6,_xll.meLWOCurveGeneratorCreate(BV7,"CURVEPROPERTIES",BU12:BV15,"FXFWDS",BU20:BV25),"DISABLED")</f>
        <v>FX_CURVE_USDRUB@347:6</v>
      </c>
      <c r="BW8" s="52"/>
      <c r="BX8" s="299"/>
      <c r="BY8" s="15" t="s">
        <v>298</v>
      </c>
      <c r="BZ8" s="418">
        <f>RUB_DATA!AW8</f>
        <v>78</v>
      </c>
      <c r="CA8" s="418">
        <f>RUB_DATA!AX8</f>
        <v>82</v>
      </c>
      <c r="CB8" s="5"/>
      <c r="CC8" s="50"/>
      <c r="CD8" s="72" t="s">
        <v>670</v>
      </c>
      <c r="CE8" s="35" t="str">
        <f>IF(CE$6,_xll.meLWOCurveGeneratorCreate(CE$7,"CURVEPROPERTIES",CD12:CE20,"FWDFXCONST",CD27:CE31),"Disabled")</f>
        <v>RUB_EURCSA@346:6</v>
      </c>
      <c r="CF8" s="53" t="s">
        <v>424</v>
      </c>
      <c r="CI8" s="626"/>
      <c r="CJ8" s="633" t="s">
        <v>670</v>
      </c>
      <c r="CK8" s="622" t="str">
        <f>IF(CK$6,_xll.meLWOCurveGeneratorCreate(CK$7,"CURVEPROPERTIES",CJ12:CK20,"FWDFXCONST",CJ27:CK31),"Disabled")</f>
        <v>RUB_JPYCSA@348:6</v>
      </c>
      <c r="CL8" s="629" t="s">
        <v>424</v>
      </c>
      <c r="CN8" s="319"/>
      <c r="CO8" s="50"/>
      <c r="CP8" s="72" t="s">
        <v>670</v>
      </c>
      <c r="CQ8" s="35" t="str">
        <f>IF(CQ$6,_xll.meLWOCurveGeneratorCreate(CQ$7,"CURVEPROPERTIES",CP12:CQ20,"FWDFXCONST",CP27:CQ31),"Disabled")</f>
        <v>RUB_CNHCSA@345:6</v>
      </c>
      <c r="CR8" s="53" t="s">
        <v>424</v>
      </c>
      <c r="CS8" s="395">
        <v>44083</v>
      </c>
      <c r="CT8" s="612">
        <v>4.0000000000006503E-2</v>
      </c>
      <c r="CU8" s="612">
        <v>4.6807178218114497E-2</v>
      </c>
      <c r="CV8" s="613">
        <v>4.1768076160941803E-2</v>
      </c>
      <c r="CW8" s="598">
        <v>4.0998358572461598E-2</v>
      </c>
      <c r="CX8" s="401">
        <f>100*(CW8-CU8)</f>
        <v>-0.58088196456528984</v>
      </c>
      <c r="CY8" s="401"/>
      <c r="CZ8" s="206"/>
      <c r="DA8" s="206"/>
      <c r="DB8" s="200">
        <f t="shared" ref="DB8:DB71" si="7">CS8</f>
        <v>44083</v>
      </c>
      <c r="DC8" s="207">
        <f>USD_CURVES!N8</f>
        <v>2.5230422484095734E-3</v>
      </c>
      <c r="DD8" s="207">
        <f t="shared" ref="DD8:DD71" si="8">CU8</f>
        <v>4.6807178218114497E-2</v>
      </c>
      <c r="DE8" s="207">
        <f>SAR_CURVES!CQ8</f>
        <v>8.8870967741934304E-3</v>
      </c>
      <c r="DF8" s="207">
        <f>ZAR_CURVES!CU8</f>
        <v>3.4169999999999701E-2</v>
      </c>
      <c r="DG8">
        <f>EUR_CURVES!CU8</f>
        <v>-5.2859459047683603E-3</v>
      </c>
      <c r="DW8" s="264"/>
      <c r="DX8" s="314"/>
      <c r="DY8" s="315"/>
      <c r="DZ8" s="316"/>
      <c r="EA8" s="316"/>
      <c r="EB8" s="317"/>
      <c r="EC8" s="303"/>
      <c r="ED8" s="318"/>
    </row>
    <row r="9" spans="1:134" x14ac:dyDescent="0.25">
      <c r="F9" s="50"/>
      <c r="G9" s="289"/>
      <c r="H9" s="289"/>
      <c r="I9" s="53" t="s">
        <v>424</v>
      </c>
      <c r="K9" t="s">
        <v>313</v>
      </c>
      <c r="L9" s="357">
        <f t="shared" si="2"/>
        <v>4.1100000000000005E-2</v>
      </c>
      <c r="M9" s="5" t="b">
        <v>0</v>
      </c>
      <c r="N9" s="5">
        <f t="shared" si="3"/>
        <v>0</v>
      </c>
      <c r="O9" s="357">
        <f>RUB_DATA!M9</f>
        <v>4.1100000000000005E-2</v>
      </c>
      <c r="Q9" s="50"/>
      <c r="R9" s="52"/>
      <c r="S9" s="52"/>
      <c r="T9" s="53"/>
      <c r="V9" t="s">
        <v>49</v>
      </c>
      <c r="W9" s="203">
        <f t="shared" si="0"/>
        <v>4.6799999999999994E-2</v>
      </c>
      <c r="X9" t="b">
        <v>1</v>
      </c>
      <c r="Y9" s="5">
        <f t="shared" si="1"/>
        <v>0</v>
      </c>
      <c r="Z9" s="203">
        <f>RUB_DATA!U9</f>
        <v>4.6799999999999994E-2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RUB_DATA!Z9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362">
        <f t="shared" ref="BO9:BO16" si="9">BR9+BQ9</f>
        <v>79</v>
      </c>
      <c r="BP9" s="5" t="b">
        <v>1</v>
      </c>
      <c r="BQ9" s="5">
        <f t="shared" si="6"/>
        <v>0</v>
      </c>
      <c r="BR9" s="362">
        <f>RUB_DATA!AZ9</f>
        <v>79</v>
      </c>
      <c r="BT9" s="50"/>
      <c r="BU9" s="57"/>
      <c r="BV9" s="57"/>
      <c r="BW9" s="52"/>
      <c r="BX9" s="299"/>
      <c r="BY9" s="25" t="s">
        <v>506</v>
      </c>
      <c r="BZ9" s="373">
        <f>RUB_DATA!AW9</f>
        <v>76</v>
      </c>
      <c r="CA9" s="373">
        <f>RUB_DATA!AX9</f>
        <v>82</v>
      </c>
      <c r="CB9" s="5"/>
      <c r="CC9" s="50"/>
      <c r="CD9" s="52"/>
      <c r="CE9" s="52"/>
      <c r="CF9" s="53"/>
      <c r="CI9" s="626"/>
      <c r="CJ9" s="628"/>
      <c r="CK9" s="628"/>
      <c r="CL9" s="629"/>
      <c r="CN9" s="319"/>
      <c r="CO9" s="50"/>
      <c r="CP9" s="52"/>
      <c r="CQ9" s="52"/>
      <c r="CR9" s="53"/>
      <c r="CS9" s="395">
        <v>44174</v>
      </c>
      <c r="CT9" s="612">
        <v>4.11722012687155E-2</v>
      </c>
      <c r="CU9" s="612">
        <v>4.6785878549314798E-2</v>
      </c>
      <c r="CV9" s="613">
        <v>4.2770936443839003E-2</v>
      </c>
      <c r="CW9" s="598">
        <v>4.1327695042813702E-2</v>
      </c>
      <c r="CX9" s="401">
        <f t="shared" ref="CX9:CX48" si="10">100*(CW9-CU9)</f>
        <v>-0.54581835065010964</v>
      </c>
      <c r="CY9" s="401"/>
      <c r="CZ9" s="206"/>
      <c r="DA9" s="206"/>
      <c r="DB9" s="200">
        <f t="shared" si="7"/>
        <v>44174</v>
      </c>
      <c r="DC9" s="207">
        <f>USD_CURVES!N9</f>
        <v>2.9989118962257338E-3</v>
      </c>
      <c r="DD9" s="207">
        <f t="shared" si="8"/>
        <v>4.6785878549314798E-2</v>
      </c>
      <c r="DE9" s="207">
        <f>SAR_CURVES!CQ9</f>
        <v>9.7666666666669007E-3</v>
      </c>
      <c r="DF9" s="207">
        <f>ZAR_CURVES!CU9</f>
        <v>3.27499999999998E-2</v>
      </c>
      <c r="DG9">
        <f>EUR_CURVES!CU9</f>
        <v>-5.03540618771683E-3</v>
      </c>
      <c r="DH9" s="620"/>
      <c r="DW9" s="264"/>
      <c r="DX9" s="314"/>
      <c r="DY9" s="315"/>
      <c r="DZ9" s="316"/>
      <c r="EA9" s="316"/>
      <c r="EB9" s="317"/>
      <c r="EC9" s="299"/>
      <c r="ED9" s="318"/>
    </row>
    <row r="10" spans="1:134" x14ac:dyDescent="0.25">
      <c r="F10" s="50"/>
      <c r="G10" s="289"/>
      <c r="H10" s="289"/>
      <c r="I10" s="53"/>
      <c r="K10" t="s">
        <v>300</v>
      </c>
      <c r="L10" s="357">
        <f t="shared" si="2"/>
        <v>4.1299999999999996E-2</v>
      </c>
      <c r="M10" s="5" t="b">
        <v>1</v>
      </c>
      <c r="N10" s="5">
        <f t="shared" si="3"/>
        <v>0</v>
      </c>
      <c r="O10" s="357">
        <f>RUB_DATA!M10</f>
        <v>4.1299999999999996E-2</v>
      </c>
      <c r="Q10" s="50"/>
      <c r="R10" s="52"/>
      <c r="S10" s="52"/>
      <c r="T10" s="53"/>
      <c r="V10" t="s">
        <v>46</v>
      </c>
      <c r="W10" s="203">
        <f t="shared" si="0"/>
        <v>4.7E-2</v>
      </c>
      <c r="X10" t="b">
        <v>0</v>
      </c>
      <c r="Y10" s="5">
        <f t="shared" si="1"/>
        <v>0</v>
      </c>
      <c r="Z10" s="203">
        <f>RUB_DATA!U10</f>
        <v>4.7E-2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RUB_DATA!Z10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362">
        <f t="shared" si="9"/>
        <v>555</v>
      </c>
      <c r="BP10" s="5" t="b">
        <v>1</v>
      </c>
      <c r="BQ10" s="5">
        <f t="shared" si="6"/>
        <v>0</v>
      </c>
      <c r="BR10" s="362">
        <f>RUB_DATA!AZ10</f>
        <v>555</v>
      </c>
      <c r="BT10" s="50"/>
      <c r="BU10" s="57"/>
      <c r="BV10" s="57"/>
      <c r="BW10" s="52"/>
      <c r="BX10" s="299"/>
      <c r="BY10" s="25" t="s">
        <v>305</v>
      </c>
      <c r="BZ10" s="373">
        <f>RUB_DATA!AW10</f>
        <v>535</v>
      </c>
      <c r="CA10" s="373">
        <f>RUB_DATA!AX10</f>
        <v>565</v>
      </c>
      <c r="CB10" s="5"/>
      <c r="CC10" s="50"/>
      <c r="CD10" s="52"/>
      <c r="CE10" s="52"/>
      <c r="CF10" s="53"/>
      <c r="CI10" s="626"/>
      <c r="CJ10" s="628"/>
      <c r="CK10" s="628"/>
      <c r="CL10" s="629"/>
      <c r="CN10" s="319"/>
      <c r="CO10" s="50"/>
      <c r="CP10" s="52"/>
      <c r="CQ10" s="52"/>
      <c r="CR10" s="53"/>
      <c r="CS10" s="395">
        <v>44264</v>
      </c>
      <c r="CT10" s="612">
        <v>4.1831871496177599E-2</v>
      </c>
      <c r="CU10" s="612">
        <v>4.8686433971173101E-2</v>
      </c>
      <c r="CV10" s="613">
        <v>4.6129638153553802E-2</v>
      </c>
      <c r="CW10" s="598">
        <v>4.1769833949144797E-2</v>
      </c>
      <c r="CX10" s="401">
        <f t="shared" si="10"/>
        <v>-0.69166000220283053</v>
      </c>
      <c r="CY10" s="401"/>
      <c r="CZ10" s="206"/>
      <c r="DA10" s="206"/>
      <c r="DB10" s="200">
        <f t="shared" si="7"/>
        <v>44264</v>
      </c>
      <c r="DC10" s="207">
        <f>USD_CURVES!N10</f>
        <v>2.17526019037983E-3</v>
      </c>
      <c r="DD10" s="207">
        <f t="shared" si="8"/>
        <v>4.8686433971173101E-2</v>
      </c>
      <c r="DE10" s="207">
        <f>SAR_CURVES!CQ10</f>
        <v>9.2133333333336495E-3</v>
      </c>
      <c r="DF10" s="207">
        <f>ZAR_CURVES!CU10</f>
        <v>3.3250000000000397E-2</v>
      </c>
      <c r="DG10">
        <f>EUR_CURVES!CU10</f>
        <v>-5.1894142804846301E-3</v>
      </c>
      <c r="DH10" s="620"/>
      <c r="DW10" s="264"/>
      <c r="DX10" s="314"/>
      <c r="DY10" s="315"/>
      <c r="DZ10" s="316"/>
      <c r="EA10" s="316"/>
      <c r="EB10" s="317"/>
      <c r="EC10" s="299"/>
      <c r="ED10" s="318"/>
    </row>
    <row r="11" spans="1:134" x14ac:dyDescent="0.25">
      <c r="F11" s="50"/>
      <c r="G11" s="54" t="s">
        <v>671</v>
      </c>
      <c r="H11" s="52"/>
      <c r="I11" s="53"/>
      <c r="K11" t="s">
        <v>335</v>
      </c>
      <c r="L11" s="357">
        <f t="shared" si="2"/>
        <v>4.1299999999999996E-2</v>
      </c>
      <c r="M11" s="5" t="b">
        <v>1</v>
      </c>
      <c r="N11" s="5">
        <f t="shared" si="3"/>
        <v>0</v>
      </c>
      <c r="O11" s="357">
        <f>RUB_DATA!M11</f>
        <v>4.1299999999999996E-2</v>
      </c>
      <c r="Q11" s="50"/>
      <c r="R11" s="54" t="s">
        <v>671</v>
      </c>
      <c r="S11" s="52" t="s">
        <v>713</v>
      </c>
      <c r="T11" s="53"/>
      <c r="V11" t="s">
        <v>322</v>
      </c>
      <c r="W11" s="203">
        <f t="shared" si="0"/>
        <v>4.7E-2</v>
      </c>
      <c r="X11" t="b">
        <v>0</v>
      </c>
      <c r="Y11" s="5">
        <f t="shared" si="1"/>
        <v>0</v>
      </c>
      <c r="Z11" s="203">
        <f>RUB_DATA!U10</f>
        <v>4.7E-2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RUB_DATA!Z11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313</v>
      </c>
      <c r="BO11" s="362">
        <f t="shared" si="9"/>
        <v>1115</v>
      </c>
      <c r="BP11" s="5" t="b">
        <v>1</v>
      </c>
      <c r="BQ11" s="5">
        <f t="shared" si="6"/>
        <v>0</v>
      </c>
      <c r="BR11" s="362">
        <f>RUB_DATA!AZ11</f>
        <v>1115</v>
      </c>
      <c r="BT11" s="50"/>
      <c r="BU11" s="56" t="s">
        <v>671</v>
      </c>
      <c r="BV11" s="272" t="s">
        <v>825</v>
      </c>
      <c r="BW11" s="52"/>
      <c r="BX11" s="299"/>
      <c r="BY11" s="25" t="s">
        <v>313</v>
      </c>
      <c r="BZ11" s="373">
        <f>RUB_DATA!AW11</f>
        <v>1090</v>
      </c>
      <c r="CA11" s="373">
        <f>RUB_DATA!AX11</f>
        <v>1130</v>
      </c>
      <c r="CB11" s="5"/>
      <c r="CC11" s="50"/>
      <c r="CD11" s="54" t="s">
        <v>671</v>
      </c>
      <c r="CE11" s="85"/>
      <c r="CF11" s="53"/>
      <c r="CI11" s="626"/>
      <c r="CJ11" s="630" t="s">
        <v>671</v>
      </c>
      <c r="CK11" s="635"/>
      <c r="CL11" s="629"/>
      <c r="CN11" s="319"/>
      <c r="CO11" s="50"/>
      <c r="CP11" s="54" t="s">
        <v>671</v>
      </c>
      <c r="CQ11" s="85"/>
      <c r="CR11" s="53"/>
      <c r="CS11" s="395">
        <v>44356</v>
      </c>
      <c r="CT11" s="612">
        <v>4.5166959532445698E-2</v>
      </c>
      <c r="CU11" s="612">
        <v>4.8885647693698901E-2</v>
      </c>
      <c r="CV11" s="613">
        <v>4.5002113113659301E-2</v>
      </c>
      <c r="CW11" s="598">
        <v>4.1800474462620398E-2</v>
      </c>
      <c r="CX11" s="401">
        <f t="shared" si="10"/>
        <v>-0.70851732310785032</v>
      </c>
      <c r="CY11" s="401"/>
      <c r="CZ11" s="206"/>
      <c r="DA11" s="206"/>
      <c r="DB11" s="200">
        <f t="shared" si="7"/>
        <v>44356</v>
      </c>
      <c r="DC11" s="207">
        <f>USD_CURVES!N11</f>
        <v>1.9924312633613833E-3</v>
      </c>
      <c r="DD11" s="207">
        <f t="shared" si="8"/>
        <v>4.8885647693698901E-2</v>
      </c>
      <c r="DE11" s="207">
        <f>SAR_CURVES!CQ11</f>
        <v>9.0581087582186394E-3</v>
      </c>
      <c r="DF11" s="207">
        <f>ZAR_CURVES!CU11</f>
        <v>3.4199999999999703E-2</v>
      </c>
      <c r="DG11">
        <f>EUR_CURVES!CU11</f>
        <v>-5.2974043900537397E-3</v>
      </c>
      <c r="DH11" s="620"/>
      <c r="DW11" s="264"/>
      <c r="DX11" s="314"/>
      <c r="DY11" s="315"/>
      <c r="DZ11" s="316"/>
      <c r="EA11" s="316"/>
      <c r="EB11" s="317"/>
      <c r="EC11" s="299"/>
      <c r="ED11" s="318"/>
    </row>
    <row r="12" spans="1:134" x14ac:dyDescent="0.25">
      <c r="F12" s="50"/>
      <c r="G12" s="212" t="s">
        <v>435</v>
      </c>
      <c r="H12" s="213" t="s">
        <v>426</v>
      </c>
      <c r="I12" s="53"/>
      <c r="K12" t="s">
        <v>49</v>
      </c>
      <c r="L12" s="357">
        <f t="shared" si="2"/>
        <v>4.1399999999999999E-2</v>
      </c>
      <c r="M12" s="5" t="b">
        <v>1</v>
      </c>
      <c r="N12" s="5">
        <f t="shared" si="3"/>
        <v>0</v>
      </c>
      <c r="O12" s="357">
        <f>RUB_DATA!M12</f>
        <v>4.1399999999999999E-2</v>
      </c>
      <c r="Q12" s="50"/>
      <c r="R12" s="220" t="s">
        <v>435</v>
      </c>
      <c r="S12" s="221" t="s">
        <v>463</v>
      </c>
      <c r="T12" s="53"/>
      <c r="V12" t="s">
        <v>1206</v>
      </c>
      <c r="W12" s="203">
        <f t="shared" si="0"/>
        <v>4.7100000000000003E-2</v>
      </c>
      <c r="X12" t="b">
        <v>1</v>
      </c>
      <c r="Y12" s="5">
        <f t="shared" si="1"/>
        <v>0</v>
      </c>
      <c r="Z12" s="203">
        <f>RUB_DATA!U12</f>
        <v>4.7100000000000003E-2</v>
      </c>
      <c r="AA12" s="203"/>
      <c r="AB12" s="50"/>
      <c r="AC12" s="220" t="s">
        <v>434</v>
      </c>
      <c r="AD12" s="238" t="str">
        <f>$A$1</f>
        <v>RUB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RUB_DATA!Z12</f>
        <v>1E-3</v>
      </c>
      <c r="AL12" s="207"/>
      <c r="AM12" s="50"/>
      <c r="AN12" s="220" t="s">
        <v>434</v>
      </c>
      <c r="AO12" s="238" t="str">
        <f>$A$1</f>
        <v>RUB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RUB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300</v>
      </c>
      <c r="BO12" s="362">
        <f t="shared" si="9"/>
        <v>2630</v>
      </c>
      <c r="BP12" s="5" t="b">
        <v>1</v>
      </c>
      <c r="BQ12" s="5">
        <f t="shared" si="6"/>
        <v>0</v>
      </c>
      <c r="BR12" s="362">
        <f>RUB_DATA!AZ12</f>
        <v>2630</v>
      </c>
      <c r="BT12" s="50"/>
      <c r="BU12" s="238" t="s">
        <v>434</v>
      </c>
      <c r="BV12" s="238" t="s">
        <v>938</v>
      </c>
      <c r="BW12" s="52"/>
      <c r="BX12" s="299"/>
      <c r="BY12" s="25" t="s">
        <v>300</v>
      </c>
      <c r="BZ12" s="373">
        <f>RUB_DATA!AW12</f>
        <v>2600</v>
      </c>
      <c r="CA12" s="373">
        <f>RUB_DATA!AX12</f>
        <v>2660</v>
      </c>
      <c r="CB12" s="5"/>
      <c r="CC12" s="50"/>
      <c r="CD12" s="220" t="s">
        <v>435</v>
      </c>
      <c r="CE12" s="238" t="s">
        <v>1084</v>
      </c>
      <c r="CF12" s="53"/>
      <c r="CI12" s="626"/>
      <c r="CJ12" s="640" t="s">
        <v>435</v>
      </c>
      <c r="CK12" s="645" t="s">
        <v>1084</v>
      </c>
      <c r="CL12" s="629"/>
      <c r="CN12" s="319"/>
      <c r="CO12" s="50"/>
      <c r="CP12" s="220" t="s">
        <v>435</v>
      </c>
      <c r="CQ12" s="238" t="s">
        <v>1084</v>
      </c>
      <c r="CR12" s="53"/>
      <c r="CS12" s="395">
        <v>44448</v>
      </c>
      <c r="CT12" s="612">
        <v>4.6328583555840401E-2</v>
      </c>
      <c r="CU12" s="612">
        <v>4.9796463582156801E-2</v>
      </c>
      <c r="CV12" s="613">
        <v>4.5887128532928902E-2</v>
      </c>
      <c r="CW12" s="598">
        <v>4.1977264429114501E-2</v>
      </c>
      <c r="CX12" s="401">
        <f t="shared" si="10"/>
        <v>-0.78191991530423</v>
      </c>
      <c r="CY12" s="401"/>
      <c r="CZ12" s="206"/>
      <c r="DA12" s="206"/>
      <c r="DB12" s="200">
        <f t="shared" si="7"/>
        <v>44448</v>
      </c>
      <c r="DC12" s="207">
        <f>USD_CURVES!N12</f>
        <v>2.0216781035090696E-3</v>
      </c>
      <c r="DD12" s="207">
        <f t="shared" si="8"/>
        <v>4.9796463582156801E-2</v>
      </c>
      <c r="DE12" s="207">
        <f>SAR_CURVES!CQ12</f>
        <v>1.12198334640687E-2</v>
      </c>
      <c r="DF12" s="207">
        <f>ZAR_CURVES!CU12</f>
        <v>3.5450000000000197E-2</v>
      </c>
      <c r="DG12">
        <f>EUR_CURVES!CU12</f>
        <v>-5.35505239558004E-3</v>
      </c>
      <c r="DH12" s="620"/>
      <c r="DW12" s="264"/>
      <c r="DX12" s="314"/>
      <c r="DY12" s="315"/>
      <c r="DZ12" s="316"/>
      <c r="EA12" s="316"/>
      <c r="EB12" s="317"/>
      <c r="EC12" s="303"/>
      <c r="ED12" s="318"/>
    </row>
    <row r="13" spans="1:134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357">
        <f t="shared" si="2"/>
        <v>4.1500000000000002E-2</v>
      </c>
      <c r="M13" s="5" t="b">
        <v>1</v>
      </c>
      <c r="N13" s="5">
        <f t="shared" si="3"/>
        <v>0</v>
      </c>
      <c r="O13" s="357">
        <f>RUB_DATA!M13</f>
        <v>4.1500000000000002E-2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1207</v>
      </c>
      <c r="W13" s="203">
        <f t="shared" si="0"/>
        <v>4.7100000000000003E-2</v>
      </c>
      <c r="X13" t="b">
        <v>1</v>
      </c>
      <c r="Y13" s="5">
        <f t="shared" si="1"/>
        <v>0</v>
      </c>
      <c r="Z13" s="203">
        <f>RUB_DATA!U13</f>
        <v>4.7100000000000003E-2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RUB_DATA!Z13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473" t="s">
        <v>680</v>
      </c>
      <c r="BL13" s="53"/>
      <c r="BN13" t="s">
        <v>335</v>
      </c>
      <c r="BO13" s="362">
        <f t="shared" si="9"/>
        <v>4870</v>
      </c>
      <c r="BP13" s="5" t="b">
        <v>1</v>
      </c>
      <c r="BQ13" s="5">
        <f t="shared" si="6"/>
        <v>0</v>
      </c>
      <c r="BR13" s="362">
        <f>RUB_DATA!AZ13</f>
        <v>4870</v>
      </c>
      <c r="BT13" s="50"/>
      <c r="BU13" s="216" t="s">
        <v>724</v>
      </c>
      <c r="BV13" s="216" t="s">
        <v>1589</v>
      </c>
      <c r="BW13" s="52"/>
      <c r="BX13" s="299"/>
      <c r="BY13" s="25" t="s">
        <v>335</v>
      </c>
      <c r="BZ13" s="373">
        <f>RUB_DATA!AW13</f>
        <v>4830</v>
      </c>
      <c r="CA13" s="373">
        <f>RUB_DATA!AX13</f>
        <v>4910</v>
      </c>
      <c r="CB13" s="5"/>
      <c r="CC13" s="50"/>
      <c r="CD13" s="222" t="s">
        <v>438</v>
      </c>
      <c r="CE13" s="216" t="s">
        <v>439</v>
      </c>
      <c r="CF13" s="53"/>
      <c r="CI13" s="626"/>
      <c r="CJ13" s="641" t="s">
        <v>438</v>
      </c>
      <c r="CK13" s="639" t="s">
        <v>439</v>
      </c>
      <c r="CL13" s="629"/>
      <c r="CN13" s="319"/>
      <c r="CO13" s="50"/>
      <c r="CP13" s="222" t="s">
        <v>438</v>
      </c>
      <c r="CQ13" s="216" t="s">
        <v>439</v>
      </c>
      <c r="CR13" s="53"/>
      <c r="CS13" s="395">
        <v>44539</v>
      </c>
      <c r="CT13" s="612">
        <v>4.6215218023995898E-2</v>
      </c>
      <c r="CU13" s="612">
        <v>5.0994482434029702E-2</v>
      </c>
      <c r="CV13" s="613">
        <v>4.6124129682754297E-2</v>
      </c>
      <c r="CW13" s="598">
        <v>4.18339651147146E-2</v>
      </c>
      <c r="CX13" s="401">
        <f t="shared" si="10"/>
        <v>-0.91605173193151024</v>
      </c>
      <c r="CY13" s="401"/>
      <c r="CZ13" s="206"/>
      <c r="DA13" s="206"/>
      <c r="DB13" s="200">
        <f t="shared" si="7"/>
        <v>44539</v>
      </c>
      <c r="DC13" s="207">
        <f>USD_CURVES!N13</f>
        <v>2.2463226547850684E-3</v>
      </c>
      <c r="DD13" s="207">
        <f t="shared" si="8"/>
        <v>5.0994482434029702E-2</v>
      </c>
      <c r="DE13" s="207">
        <f>SAR_CURVES!CQ13</f>
        <v>1.1967377046582E-2</v>
      </c>
      <c r="DF13" s="207">
        <f>ZAR_CURVES!CU13</f>
        <v>3.7350000000000098E-2</v>
      </c>
      <c r="DG13">
        <f>EUR_CURVES!CU13</f>
        <v>-5.3624088356007699E-3</v>
      </c>
      <c r="DH13" s="620"/>
      <c r="DW13" s="264"/>
      <c r="DX13" s="314"/>
      <c r="DY13" s="315"/>
      <c r="DZ13" s="316"/>
      <c r="EA13" s="316"/>
      <c r="EB13" s="317"/>
      <c r="EC13" s="313"/>
      <c r="ED13" s="318"/>
    </row>
    <row r="14" spans="1:134" x14ac:dyDescent="0.25">
      <c r="F14" s="50"/>
      <c r="G14" s="214" t="s">
        <v>672</v>
      </c>
      <c r="H14" s="215" t="s">
        <v>426</v>
      </c>
      <c r="I14" s="53"/>
      <c r="K14" t="s">
        <v>376</v>
      </c>
      <c r="L14" s="357">
        <f t="shared" si="2"/>
        <v>4.2599999999999999E-2</v>
      </c>
      <c r="M14" s="5" t="b">
        <v>1</v>
      </c>
      <c r="N14" s="5">
        <f t="shared" si="3"/>
        <v>0</v>
      </c>
      <c r="O14" s="357">
        <f>RUB_DATA!M14</f>
        <v>4.2599999999999999E-2</v>
      </c>
      <c r="Q14" s="50"/>
      <c r="R14" s="222" t="s">
        <v>672</v>
      </c>
      <c r="S14" s="223" t="s">
        <v>714</v>
      </c>
      <c r="T14" s="53"/>
      <c r="V14" t="s">
        <v>1208</v>
      </c>
      <c r="W14" s="203">
        <f t="shared" si="0"/>
        <v>4.6799999999999994E-2</v>
      </c>
      <c r="X14" t="b">
        <v>1</v>
      </c>
      <c r="Y14" s="5">
        <f t="shared" si="1"/>
        <v>0</v>
      </c>
      <c r="Z14" s="203">
        <f>RUB_DATA!U14</f>
        <v>4.6799999999999994E-2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RUB_DATA!Z14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1205</v>
      </c>
      <c r="BL14" s="53"/>
      <c r="BN14" t="s">
        <v>49</v>
      </c>
      <c r="BO14" s="362">
        <f t="shared" si="9"/>
        <v>7290</v>
      </c>
      <c r="BP14" s="5" t="b">
        <v>1</v>
      </c>
      <c r="BQ14" s="5">
        <f t="shared" si="6"/>
        <v>0</v>
      </c>
      <c r="BR14" s="362">
        <f>RUB_DATA!AZ14</f>
        <v>7290</v>
      </c>
      <c r="BT14" s="50"/>
      <c r="BU14" s="216" t="s">
        <v>435</v>
      </c>
      <c r="BV14" s="216" t="s">
        <v>820</v>
      </c>
      <c r="BW14" s="52"/>
      <c r="BX14" s="299"/>
      <c r="BY14" s="25" t="s">
        <v>49</v>
      </c>
      <c r="BZ14" s="373">
        <f>RUB_DATA!AW14</f>
        <v>7240</v>
      </c>
      <c r="CA14" s="373">
        <f>RUB_DATA!AX14</f>
        <v>7340</v>
      </c>
      <c r="CB14" s="5"/>
      <c r="CC14" s="50"/>
      <c r="CD14" s="222" t="s">
        <v>672</v>
      </c>
      <c r="CE14" s="216" t="s">
        <v>1092</v>
      </c>
      <c r="CF14" s="53"/>
      <c r="CI14" s="626"/>
      <c r="CJ14" s="641" t="s">
        <v>672</v>
      </c>
      <c r="CK14" s="639" t="s">
        <v>1127</v>
      </c>
      <c r="CL14" s="629"/>
      <c r="CN14" s="319"/>
      <c r="CO14" s="50"/>
      <c r="CP14" s="222" t="s">
        <v>672</v>
      </c>
      <c r="CQ14" s="216" t="s">
        <v>1653</v>
      </c>
      <c r="CR14" s="53"/>
      <c r="CS14" s="395">
        <v>44629</v>
      </c>
      <c r="CT14" s="612">
        <v>4.6754624066383997E-2</v>
      </c>
      <c r="CU14" s="612">
        <v>5.2119461616396398E-2</v>
      </c>
      <c r="CV14" s="613">
        <v>4.6324604425320902E-2</v>
      </c>
      <c r="CW14" s="598">
        <v>4.1681370896702097E-2</v>
      </c>
      <c r="CX14" s="401">
        <f t="shared" si="10"/>
        <v>-1.0438090719694302</v>
      </c>
      <c r="CY14" s="401"/>
      <c r="CZ14" s="206"/>
      <c r="DA14" s="206"/>
      <c r="DB14" s="200">
        <f t="shared" si="7"/>
        <v>44629</v>
      </c>
      <c r="DC14" s="207">
        <f>USD_CURVES!N14</f>
        <v>2.1098054303251676E-3</v>
      </c>
      <c r="DD14" s="207">
        <f t="shared" si="8"/>
        <v>5.2119461616396398E-2</v>
      </c>
      <c r="DE14" s="207">
        <f>SAR_CURVES!CQ14</f>
        <v>1.26201637517739E-2</v>
      </c>
      <c r="DF14" s="207">
        <f>ZAR_CURVES!CU14</f>
        <v>3.8900000000000198E-2</v>
      </c>
      <c r="DG14">
        <f>EUR_CURVES!CU14</f>
        <v>-5.3781553602702797E-3</v>
      </c>
      <c r="DH14" s="620"/>
      <c r="DW14" s="264"/>
      <c r="DX14" s="314"/>
      <c r="DY14" s="315"/>
      <c r="DZ14" s="316"/>
      <c r="EA14" s="316"/>
      <c r="EB14" s="317"/>
      <c r="EC14" s="299"/>
      <c r="ED14" s="318"/>
    </row>
    <row r="15" spans="1:134" x14ac:dyDescent="0.25">
      <c r="F15" s="50"/>
      <c r="G15" s="235" t="s">
        <v>673</v>
      </c>
      <c r="H15" s="236" t="str">
        <f>H14&amp;":"&amp;$A$1&amp;H12</f>
        <v>OIS:RUBOIS</v>
      </c>
      <c r="I15" s="53" t="s">
        <v>424</v>
      </c>
      <c r="K15" t="s">
        <v>47</v>
      </c>
      <c r="L15" s="357">
        <f t="shared" si="2"/>
        <v>4.3700000000000003E-2</v>
      </c>
      <c r="M15" s="5" t="b">
        <v>1</v>
      </c>
      <c r="N15" s="5">
        <f t="shared" si="3"/>
        <v>0</v>
      </c>
      <c r="O15" s="357">
        <f>RUB_DATA!M15</f>
        <v>4.3700000000000003E-2</v>
      </c>
      <c r="Q15" s="50"/>
      <c r="R15" s="233" t="s">
        <v>673</v>
      </c>
      <c r="S15" s="230" t="str">
        <f>"STD:"&amp;"MOS3M"</f>
        <v>STD:MOS3M</v>
      </c>
      <c r="T15" s="53"/>
      <c r="V15" t="s">
        <v>1209</v>
      </c>
      <c r="W15" s="203">
        <f t="shared" si="0"/>
        <v>4.8300000000000003E-2</v>
      </c>
      <c r="X15" t="b">
        <v>1</v>
      </c>
      <c r="Y15" s="5">
        <f t="shared" si="1"/>
        <v>0</v>
      </c>
      <c r="Z15" s="203">
        <f>RUB_DATA!U15</f>
        <v>4.8300000000000003E-2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RUB_DATA!Z15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839</v>
      </c>
      <c r="BL15" s="53"/>
      <c r="BN15" t="s">
        <v>46</v>
      </c>
      <c r="BO15" s="362">
        <f t="shared" si="9"/>
        <v>14570</v>
      </c>
      <c r="BP15" s="5" t="b">
        <v>1</v>
      </c>
      <c r="BQ15" s="5">
        <f t="shared" si="6"/>
        <v>0</v>
      </c>
      <c r="BR15" s="362">
        <f>RUB_DATA!AZ17</f>
        <v>14570</v>
      </c>
      <c r="BT15" s="50"/>
      <c r="BU15" s="219" t="s">
        <v>826</v>
      </c>
      <c r="BV15" s="219" t="s">
        <v>828</v>
      </c>
      <c r="BW15" s="52"/>
      <c r="BX15" s="299"/>
      <c r="BY15" s="25" t="s">
        <v>46</v>
      </c>
      <c r="BZ15" s="373">
        <f>RUB_DATA!AW17</f>
        <v>14470</v>
      </c>
      <c r="CA15" s="373">
        <f>RUB_DATA!AX17</f>
        <v>14670</v>
      </c>
      <c r="CB15" s="5"/>
      <c r="CC15" s="50"/>
      <c r="CD15" s="222" t="s">
        <v>673</v>
      </c>
      <c r="CE15" s="216" t="s">
        <v>1082</v>
      </c>
      <c r="CF15" s="53"/>
      <c r="CI15" s="626"/>
      <c r="CJ15" s="641" t="s">
        <v>673</v>
      </c>
      <c r="CK15" s="639" t="s">
        <v>1132</v>
      </c>
      <c r="CL15" s="629"/>
      <c r="CN15" s="319"/>
      <c r="CO15" s="50"/>
      <c r="CP15" s="222" t="s">
        <v>673</v>
      </c>
      <c r="CQ15" s="216" t="s">
        <v>1629</v>
      </c>
      <c r="CR15" s="53"/>
      <c r="CS15" s="395">
        <v>44721</v>
      </c>
      <c r="CT15" s="612">
        <v>4.8007500605221E-2</v>
      </c>
      <c r="CU15" s="612">
        <v>5.3176833645628099E-2</v>
      </c>
      <c r="CV15" s="613">
        <v>4.64938346759338E-2</v>
      </c>
      <c r="CW15" s="598">
        <v>4.1522203450244898E-2</v>
      </c>
      <c r="CX15" s="401">
        <f t="shared" si="10"/>
        <v>-1.1654630195383202</v>
      </c>
      <c r="CY15" s="401"/>
      <c r="CZ15" s="206"/>
      <c r="DA15" s="206"/>
      <c r="DB15" s="200">
        <f t="shared" si="7"/>
        <v>44721</v>
      </c>
      <c r="DC15" s="207">
        <f>USD_CURVES!N15</f>
        <v>2.032541514064218E-3</v>
      </c>
      <c r="DD15" s="207">
        <f t="shared" si="8"/>
        <v>5.3176833645628099E-2</v>
      </c>
      <c r="DE15" s="207">
        <f>SAR_CURVES!CQ15</f>
        <v>1.36268977243021E-2</v>
      </c>
      <c r="DF15" s="207">
        <f>ZAR_CURVES!CU15</f>
        <v>4.0679233479690297E-2</v>
      </c>
      <c r="DG15">
        <f>EUR_CURVES!CU15</f>
        <v>-4.4223198713849799E-3</v>
      </c>
      <c r="DH15" s="620"/>
      <c r="DW15" s="264"/>
      <c r="DX15" s="314"/>
      <c r="DY15" s="315"/>
      <c r="DZ15" s="316"/>
      <c r="EA15" s="316"/>
      <c r="EB15" s="317"/>
      <c r="EC15" s="299"/>
      <c r="ED15" s="318"/>
    </row>
    <row r="16" spans="1:134" x14ac:dyDescent="0.25">
      <c r="F16" s="50"/>
      <c r="G16" s="214" t="s">
        <v>434</v>
      </c>
      <c r="H16" s="216" t="str">
        <f>$A$1</f>
        <v>RUB</v>
      </c>
      <c r="I16" s="53"/>
      <c r="K16" t="s">
        <v>308</v>
      </c>
      <c r="L16" s="357">
        <f t="shared" si="2"/>
        <v>4.5899999999999996E-2</v>
      </c>
      <c r="M16" s="5" t="b">
        <v>1</v>
      </c>
      <c r="N16" s="5">
        <f t="shared" si="3"/>
        <v>0</v>
      </c>
      <c r="O16" s="357">
        <f>RUB_DATA!M16</f>
        <v>4.5899999999999996E-2</v>
      </c>
      <c r="Q16" s="50"/>
      <c r="R16" s="222" t="s">
        <v>434</v>
      </c>
      <c r="S16" s="223" t="str">
        <f>$A$1</f>
        <v>RUB</v>
      </c>
      <c r="T16" s="53"/>
      <c r="V16" t="s">
        <v>1076</v>
      </c>
      <c r="W16" s="203">
        <f t="shared" si="0"/>
        <v>4.8799999999999996E-2</v>
      </c>
      <c r="X16" t="b">
        <v>1</v>
      </c>
      <c r="Y16" s="5">
        <f t="shared" si="1"/>
        <v>0</v>
      </c>
      <c r="Z16" s="203">
        <f>RUB_DATA!U16</f>
        <v>4.8799999999999996E-2</v>
      </c>
      <c r="AA16" s="203"/>
      <c r="AB16" s="50"/>
      <c r="AC16" s="233" t="s">
        <v>673</v>
      </c>
      <c r="AD16" s="230" t="s">
        <v>962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RUB_DATA!Z16</f>
        <v>1E-3</v>
      </c>
      <c r="AL16" s="207"/>
      <c r="AM16" s="50"/>
      <c r="AN16" s="233" t="s">
        <v>673</v>
      </c>
      <c r="AO16" s="230" t="str">
        <f>"3M12MBasis:"&amp;$A$1&amp;"12M"</f>
        <v>3M12MBasis:RUB12M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"1M3MBasis:MOS3M"</f>
        <v>1M3MBasis:MOS3M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RUB</v>
      </c>
      <c r="BL16" s="53"/>
      <c r="BN16" t="s">
        <v>376</v>
      </c>
      <c r="BO16" s="362">
        <f t="shared" si="9"/>
        <v>22540</v>
      </c>
      <c r="BP16" s="5" t="b">
        <v>1</v>
      </c>
      <c r="BQ16" s="5">
        <f t="shared" si="6"/>
        <v>0</v>
      </c>
      <c r="BR16" s="362">
        <f>RUB_DATA!AZ18</f>
        <v>22540</v>
      </c>
      <c r="BT16" s="50"/>
      <c r="BU16" s="57"/>
      <c r="BV16" s="57"/>
      <c r="BW16" s="52"/>
      <c r="BX16" s="299"/>
      <c r="BY16" s="25" t="s">
        <v>376</v>
      </c>
      <c r="BZ16" s="373">
        <f>RUB_DATA!AW18</f>
        <v>22440</v>
      </c>
      <c r="CA16" s="373">
        <f>RUB_DATA!AX18</f>
        <v>22640</v>
      </c>
      <c r="CB16" s="5"/>
      <c r="CC16" s="50"/>
      <c r="CD16" s="233" t="s">
        <v>434</v>
      </c>
      <c r="CE16" s="230" t="s">
        <v>254</v>
      </c>
      <c r="CF16" s="53"/>
      <c r="CI16" s="626"/>
      <c r="CJ16" s="644" t="s">
        <v>434</v>
      </c>
      <c r="CK16" s="643" t="s">
        <v>254</v>
      </c>
      <c r="CL16" s="629"/>
      <c r="CN16" s="319"/>
      <c r="CO16" s="50"/>
      <c r="CP16" s="233" t="s">
        <v>434</v>
      </c>
      <c r="CQ16" s="230" t="s">
        <v>254</v>
      </c>
      <c r="CR16" s="53"/>
      <c r="CS16" s="395">
        <v>44813</v>
      </c>
      <c r="CT16" s="612">
        <v>5.0037147079646203E-2</v>
      </c>
      <c r="CU16" s="612">
        <v>5.4121981265565701E-2</v>
      </c>
      <c r="CV16" s="613">
        <v>4.6632439272480598E-2</v>
      </c>
      <c r="CW16" s="598">
        <v>4.1368984182284699E-2</v>
      </c>
      <c r="CX16" s="401">
        <f t="shared" si="10"/>
        <v>-1.2752997083281001</v>
      </c>
      <c r="CY16" s="401"/>
      <c r="CZ16" s="206"/>
      <c r="DA16" s="206"/>
      <c r="DB16" s="200">
        <f t="shared" si="7"/>
        <v>44813</v>
      </c>
      <c r="DC16" s="207">
        <f>USD_CURVES!N16</f>
        <v>2.2575652491069686E-3</v>
      </c>
      <c r="DD16" s="207">
        <f t="shared" si="8"/>
        <v>5.4121981265565701E-2</v>
      </c>
      <c r="DE16" s="207">
        <f>SAR_CURVES!CQ16</f>
        <v>1.49268335360546E-2</v>
      </c>
      <c r="DF16" s="207">
        <f>ZAR_CURVES!CU16</f>
        <v>4.2991879272075699E-2</v>
      </c>
      <c r="DG16">
        <f>EUR_CURVES!CU16</f>
        <v>-4.6707272929123102E-3</v>
      </c>
      <c r="DH16" s="620"/>
      <c r="DW16" s="264"/>
      <c r="DX16" s="314"/>
      <c r="DY16" s="315"/>
      <c r="DZ16" s="316"/>
      <c r="EA16" s="316"/>
      <c r="EB16" s="317"/>
      <c r="EC16" s="299"/>
      <c r="ED16" s="318"/>
    </row>
    <row r="17" spans="6:134" x14ac:dyDescent="0.25">
      <c r="F17" s="50"/>
      <c r="G17" s="217" t="s">
        <v>674</v>
      </c>
      <c r="H17" s="216" t="s">
        <v>675</v>
      </c>
      <c r="I17" s="53"/>
      <c r="K17" t="s">
        <v>316</v>
      </c>
      <c r="L17" s="357">
        <f t="shared" si="2"/>
        <v>4.8099999999999997E-2</v>
      </c>
      <c r="M17" s="5" t="b">
        <v>1</v>
      </c>
      <c r="N17" s="5">
        <f t="shared" si="3"/>
        <v>0</v>
      </c>
      <c r="O17" s="357">
        <f>RUB_DATA!M17</f>
        <v>4.8099999999999997E-2</v>
      </c>
      <c r="Q17" s="50"/>
      <c r="R17" s="222" t="s">
        <v>674</v>
      </c>
      <c r="S17" s="223" t="s">
        <v>1655</v>
      </c>
      <c r="T17" s="53"/>
      <c r="V17" s="2" t="s">
        <v>47</v>
      </c>
      <c r="W17" s="476">
        <f t="shared" si="0"/>
        <v>4.8399999999999999E-2</v>
      </c>
      <c r="X17" s="2" t="b">
        <v>1</v>
      </c>
      <c r="Y17" s="4">
        <f t="shared" si="1"/>
        <v>0</v>
      </c>
      <c r="Z17" s="476">
        <f>RUB_DATA!U18</f>
        <v>4.8399999999999999E-2</v>
      </c>
      <c r="AA17" s="203"/>
      <c r="AB17" s="50"/>
      <c r="AC17" s="222" t="s">
        <v>674</v>
      </c>
      <c r="AD17" s="216" t="s">
        <v>675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RUB_DATA!Z17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1332</v>
      </c>
      <c r="BL17" s="53"/>
      <c r="BM17" t="s">
        <v>807</v>
      </c>
      <c r="BN17" t="s">
        <v>47</v>
      </c>
      <c r="BO17" s="358">
        <f>BR17+BQ17/10000</f>
        <v>4.2900000000000001E-2</v>
      </c>
      <c r="BP17" s="5" t="b">
        <v>1</v>
      </c>
      <c r="BQ17" s="5">
        <f>$BQ$4</f>
        <v>0</v>
      </c>
      <c r="BR17" s="357">
        <f>RUB_DATA!AZ25</f>
        <v>4.2900000000000001E-2</v>
      </c>
      <c r="BT17" s="50"/>
      <c r="BU17" s="57"/>
      <c r="BV17" s="57"/>
      <c r="BW17" s="52"/>
      <c r="BX17" s="299"/>
      <c r="BY17" s="25" t="s">
        <v>322</v>
      </c>
      <c r="BZ17" s="373">
        <f>RUB_DATA!AW19</f>
        <v>30460</v>
      </c>
      <c r="CA17" s="373">
        <f>RUB_DATA!AX19</f>
        <v>30760</v>
      </c>
      <c r="CB17" s="5"/>
      <c r="CC17" s="50"/>
      <c r="CD17" s="222" t="s">
        <v>674</v>
      </c>
      <c r="CE17" s="216" t="s">
        <v>675</v>
      </c>
      <c r="CF17" s="53"/>
      <c r="CI17" s="626"/>
      <c r="CJ17" s="641" t="s">
        <v>674</v>
      </c>
      <c r="CK17" s="639" t="s">
        <v>675</v>
      </c>
      <c r="CL17" s="629"/>
      <c r="CN17" s="319"/>
      <c r="CO17" s="50"/>
      <c r="CP17" s="222" t="s">
        <v>674</v>
      </c>
      <c r="CQ17" s="216" t="s">
        <v>675</v>
      </c>
      <c r="CR17" s="53"/>
      <c r="CS17" s="395">
        <v>44904</v>
      </c>
      <c r="CT17" s="612">
        <v>5.1870160876523498E-2</v>
      </c>
      <c r="CU17" s="612">
        <v>5.5127511555135802E-2</v>
      </c>
      <c r="CV17" s="613">
        <v>4.67514508989543E-2</v>
      </c>
      <c r="CW17" s="598">
        <v>4.1421390899001702E-2</v>
      </c>
      <c r="CX17" s="401">
        <f t="shared" si="10"/>
        <v>-1.37061206561341</v>
      </c>
      <c r="CY17" s="401"/>
      <c r="CZ17" s="206"/>
      <c r="DA17" s="206"/>
      <c r="DB17" s="200">
        <f t="shared" si="7"/>
        <v>44904</v>
      </c>
      <c r="DC17" s="207">
        <f>USD_CURVES!N17</f>
        <v>2.5419546219346361E-3</v>
      </c>
      <c r="DD17" s="207">
        <f t="shared" si="8"/>
        <v>5.5127511555135802E-2</v>
      </c>
      <c r="DE17" s="207">
        <f>SAR_CURVES!CQ17</f>
        <v>1.61466252132377E-2</v>
      </c>
      <c r="DF17" s="207">
        <f>ZAR_CURVES!CU17</f>
        <v>4.5646912449046499E-2</v>
      </c>
      <c r="DG17">
        <f>EUR_CURVES!CU17</f>
        <v>-5.1377221669019696E-3</v>
      </c>
      <c r="DH17" s="620"/>
      <c r="DW17" s="264"/>
      <c r="DX17" s="314"/>
      <c r="DY17" s="315"/>
      <c r="DZ17" s="316"/>
      <c r="EA17" s="316"/>
      <c r="EB17" s="317"/>
      <c r="EC17" s="299"/>
      <c r="ED17" s="318"/>
    </row>
    <row r="18" spans="6:134" x14ac:dyDescent="0.25">
      <c r="F18" s="50"/>
      <c r="G18" s="214" t="s">
        <v>676</v>
      </c>
      <c r="H18" s="216" t="s">
        <v>675</v>
      </c>
      <c r="I18" s="53"/>
      <c r="K18" t="s">
        <v>324</v>
      </c>
      <c r="L18" s="357">
        <f t="shared" si="2"/>
        <v>4.8099999999999997E-2</v>
      </c>
      <c r="M18" s="5" t="b">
        <v>1</v>
      </c>
      <c r="N18" s="5">
        <f t="shared" si="3"/>
        <v>0</v>
      </c>
      <c r="O18" s="357">
        <f>O17</f>
        <v>4.8099999999999997E-2</v>
      </c>
      <c r="Q18" s="50"/>
      <c r="R18" s="222" t="s">
        <v>676</v>
      </c>
      <c r="S18" s="223" t="s">
        <v>1655</v>
      </c>
      <c r="T18" s="53"/>
      <c r="V18" t="s">
        <v>308</v>
      </c>
      <c r="W18" s="203">
        <f t="shared" si="0"/>
        <v>5.0300000000000004E-2</v>
      </c>
      <c r="X18" t="b">
        <v>1</v>
      </c>
      <c r="Y18" s="5">
        <f t="shared" si="1"/>
        <v>0</v>
      </c>
      <c r="Z18" s="203">
        <f>RUB_DATA!U19</f>
        <v>5.0300000000000004E-2</v>
      </c>
      <c r="AA18" s="203"/>
      <c r="AB18" s="50"/>
      <c r="AC18" s="222" t="s">
        <v>676</v>
      </c>
      <c r="AD18" s="216" t="s">
        <v>675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RUB_DATA!Z18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1332</v>
      </c>
      <c r="BL18" s="53"/>
      <c r="BN18" t="s">
        <v>308</v>
      </c>
      <c r="BO18" s="358">
        <f>BR18+BQ18/10000</f>
        <v>4.3400000000000001E-2</v>
      </c>
      <c r="BP18" s="5" t="b">
        <v>1</v>
      </c>
      <c r="BQ18" s="5">
        <f>$BQ$4</f>
        <v>0</v>
      </c>
      <c r="BR18" s="357">
        <f>RUB_DATA!AZ26</f>
        <v>4.3400000000000001E-2</v>
      </c>
      <c r="BT18" s="50"/>
      <c r="BU18" s="57"/>
      <c r="BV18" s="57"/>
      <c r="BW18" s="52"/>
      <c r="BX18" s="299"/>
      <c r="BY18" s="25" t="s">
        <v>501</v>
      </c>
      <c r="BZ18" s="373">
        <f>RUB_DATA!AW20</f>
        <v>46010</v>
      </c>
      <c r="CA18" s="373">
        <f>RUB_DATA!AX20</f>
        <v>47010</v>
      </c>
      <c r="CB18" s="5"/>
      <c r="CC18" s="50"/>
      <c r="CD18" s="222" t="s">
        <v>676</v>
      </c>
      <c r="CE18" s="216" t="s">
        <v>675</v>
      </c>
      <c r="CF18" s="53"/>
      <c r="CI18" s="626"/>
      <c r="CJ18" s="641" t="s">
        <v>676</v>
      </c>
      <c r="CK18" s="639" t="s">
        <v>675</v>
      </c>
      <c r="CL18" s="629"/>
      <c r="CN18" s="319"/>
      <c r="CO18" s="50"/>
      <c r="CP18" s="222" t="s">
        <v>676</v>
      </c>
      <c r="CQ18" s="216" t="s">
        <v>675</v>
      </c>
      <c r="CR18" s="53"/>
      <c r="CS18" s="395">
        <v>44994</v>
      </c>
      <c r="CT18" s="612">
        <v>5.2531035455486402E-2</v>
      </c>
      <c r="CU18" s="612">
        <v>5.6243394701891797E-2</v>
      </c>
      <c r="CV18" s="613">
        <v>4.6881230085285198E-2</v>
      </c>
      <c r="CW18" s="598">
        <v>4.1518339301346498E-2</v>
      </c>
      <c r="CX18" s="401">
        <f t="shared" si="10"/>
        <v>-1.4725055400545299</v>
      </c>
      <c r="CY18" s="401"/>
      <c r="CZ18" s="206"/>
      <c r="DA18" s="206"/>
      <c r="DB18" s="200">
        <f t="shared" si="7"/>
        <v>44994</v>
      </c>
      <c r="DC18" s="207">
        <f>USD_CURVES!N18</f>
        <v>2.7803615849404184E-3</v>
      </c>
      <c r="DD18" s="207">
        <f t="shared" si="8"/>
        <v>5.6243394701891797E-2</v>
      </c>
      <c r="DE18" s="207">
        <f>SAR_CURVES!CQ18</f>
        <v>1.71886919149923E-2</v>
      </c>
      <c r="DF18" s="207">
        <f>ZAR_CURVES!CU18</f>
        <v>4.86421433299482E-2</v>
      </c>
      <c r="DG18">
        <f>EUR_CURVES!CU18</f>
        <v>-5.32791963976296E-3</v>
      </c>
      <c r="DH18" s="620"/>
      <c r="DW18" s="264"/>
      <c r="DX18" s="314"/>
      <c r="DY18" s="315"/>
      <c r="DZ18" s="316"/>
      <c r="EA18" s="316"/>
      <c r="EB18" s="317"/>
      <c r="EC18" s="299"/>
      <c r="ED18" s="318"/>
    </row>
    <row r="19" spans="6:134" x14ac:dyDescent="0.25">
      <c r="F19" s="50"/>
      <c r="G19" s="214"/>
      <c r="H19" s="216"/>
      <c r="I19" s="53"/>
      <c r="K19" t="s">
        <v>331</v>
      </c>
      <c r="L19" s="357">
        <f t="shared" si="2"/>
        <v>4.8099999999999997E-2</v>
      </c>
      <c r="M19" s="5" t="b">
        <v>1</v>
      </c>
      <c r="N19" s="5">
        <f t="shared" si="3"/>
        <v>0</v>
      </c>
      <c r="O19" s="357">
        <f t="shared" ref="O19:O27" si="11">O18</f>
        <v>4.8099999999999997E-2</v>
      </c>
      <c r="Q19" s="50"/>
      <c r="R19" s="222" t="s">
        <v>716</v>
      </c>
      <c r="S19" s="223" t="s">
        <v>1655</v>
      </c>
      <c r="T19" s="53"/>
      <c r="V19" t="s">
        <v>316</v>
      </c>
      <c r="W19" s="203">
        <f t="shared" si="0"/>
        <v>5.2300000000000006E-2</v>
      </c>
      <c r="X19" t="b">
        <v>1</v>
      </c>
      <c r="Y19" s="5">
        <f t="shared" si="1"/>
        <v>0</v>
      </c>
      <c r="Z19" s="203">
        <f>RUB_DATA!U20</f>
        <v>5.2300000000000006E-2</v>
      </c>
      <c r="AA19" s="203"/>
      <c r="AB19" s="50"/>
      <c r="AC19" s="222" t="s">
        <v>746</v>
      </c>
      <c r="AD19" s="216" t="s">
        <v>675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RUB_DATA!Z19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1332</v>
      </c>
      <c r="BL19" s="53"/>
      <c r="BN19" t="s">
        <v>316</v>
      </c>
      <c r="BO19" s="474">
        <f t="shared" ref="BO19:BO29" si="12">BR19+BQ19/10000</f>
        <v>4.3499999999999997E-2</v>
      </c>
      <c r="BP19" s="5" t="b">
        <v>1</v>
      </c>
      <c r="BQ19" s="5">
        <f t="shared" ref="BQ19:BQ29" si="13">$BQ$4</f>
        <v>0</v>
      </c>
      <c r="BR19" s="357">
        <f>RUB_DATA!AZ27</f>
        <v>4.3499999999999997E-2</v>
      </c>
      <c r="BT19" s="50"/>
      <c r="BU19" s="56" t="s">
        <v>814</v>
      </c>
      <c r="BV19" s="57"/>
      <c r="BW19" s="262"/>
      <c r="BX19" s="303"/>
      <c r="BY19" s="25" t="s">
        <v>308</v>
      </c>
      <c r="BZ19" s="373">
        <f>RUB_DATA!AW21</f>
        <v>62900</v>
      </c>
      <c r="CA19" s="373">
        <f>RUB_DATA!AX21</f>
        <v>64300</v>
      </c>
      <c r="CB19" s="5"/>
      <c r="CC19" s="50"/>
      <c r="CD19" s="222" t="s">
        <v>746</v>
      </c>
      <c r="CE19" s="216" t="s">
        <v>675</v>
      </c>
      <c r="CF19" s="53"/>
      <c r="CI19" s="626"/>
      <c r="CJ19" s="641" t="s">
        <v>746</v>
      </c>
      <c r="CK19" s="639" t="s">
        <v>675</v>
      </c>
      <c r="CL19" s="629"/>
      <c r="CN19" s="319"/>
      <c r="CO19" s="50"/>
      <c r="CP19" s="222" t="s">
        <v>746</v>
      </c>
      <c r="CQ19" s="216" t="s">
        <v>675</v>
      </c>
      <c r="CR19" s="53"/>
      <c r="CS19" s="395">
        <v>45086</v>
      </c>
      <c r="CT19" s="612">
        <v>5.1985219334205003E-2</v>
      </c>
      <c r="CU19" s="612">
        <v>5.73897247420838E-2</v>
      </c>
      <c r="CV19" s="613">
        <v>4.7050904647818602E-2</v>
      </c>
      <c r="CW19" s="598">
        <v>4.16194312187693E-2</v>
      </c>
      <c r="CX19" s="401">
        <f t="shared" si="10"/>
        <v>-1.57702935233145</v>
      </c>
      <c r="CY19" s="401"/>
      <c r="CZ19" s="206"/>
      <c r="DA19" s="206"/>
      <c r="DB19" s="200">
        <f t="shared" si="7"/>
        <v>45086</v>
      </c>
      <c r="DC19" s="207">
        <f>USD_CURVES!N19</f>
        <v>2.9757847079359958E-3</v>
      </c>
      <c r="DD19" s="207">
        <f t="shared" si="8"/>
        <v>5.73897247420838E-2</v>
      </c>
      <c r="DE19" s="207">
        <f>SAR_CURVES!CQ19</f>
        <v>1.8072668284179201E-2</v>
      </c>
      <c r="DF19" s="207">
        <f>ZAR_CURVES!CU19</f>
        <v>5.2032688518884401E-2</v>
      </c>
      <c r="DG19">
        <f>EUR_CURVES!CU19</f>
        <v>-5.2387546115018396E-3</v>
      </c>
      <c r="DH19" s="620"/>
      <c r="DW19" s="264"/>
      <c r="DX19" s="314"/>
      <c r="DY19" s="315"/>
      <c r="DZ19" s="316"/>
      <c r="EA19" s="316"/>
      <c r="EB19" s="317"/>
      <c r="EC19" s="299"/>
      <c r="ED19" s="318"/>
    </row>
    <row r="20" spans="6:134" x14ac:dyDescent="0.25">
      <c r="F20" s="50"/>
      <c r="G20" s="218"/>
      <c r="H20" s="219"/>
      <c r="I20" s="53"/>
      <c r="K20" t="s">
        <v>339</v>
      </c>
      <c r="L20" s="357">
        <f t="shared" si="2"/>
        <v>4.8099999999999997E-2</v>
      </c>
      <c r="M20" s="5" t="b">
        <v>1</v>
      </c>
      <c r="N20" s="5">
        <f t="shared" si="3"/>
        <v>0</v>
      </c>
      <c r="O20" s="357">
        <f t="shared" si="11"/>
        <v>4.8099999999999997E-2</v>
      </c>
      <c r="Q20" s="50"/>
      <c r="R20" s="233" t="s">
        <v>717</v>
      </c>
      <c r="S20" s="230" t="s">
        <v>718</v>
      </c>
      <c r="T20" s="53"/>
      <c r="V20" t="s">
        <v>324</v>
      </c>
      <c r="W20" s="203">
        <f t="shared" si="0"/>
        <v>5.4299999999999994E-2</v>
      </c>
      <c r="X20" t="b">
        <v>1</v>
      </c>
      <c r="Y20" s="5">
        <f t="shared" si="1"/>
        <v>0</v>
      </c>
      <c r="Z20" s="203">
        <f>RUB_DATA!U21</f>
        <v>5.4299999999999994E-2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324</v>
      </c>
      <c r="BO20" s="358">
        <f t="shared" si="12"/>
        <v>4.36E-2</v>
      </c>
      <c r="BP20" s="5" t="b">
        <v>1</v>
      </c>
      <c r="BQ20" s="5">
        <f t="shared" si="13"/>
        <v>0</v>
      </c>
      <c r="BR20" s="357">
        <f>RUB_DATA!AZ28</f>
        <v>4.36E-2</v>
      </c>
      <c r="BT20" s="50"/>
      <c r="BU20" s="147" t="s">
        <v>704</v>
      </c>
      <c r="BV20" s="221" t="str">
        <f>INDEX('STATIC DATA'!C30:AB30,1,MATCH($A$1,'STATIC DATA'!$C$4:$AB$4,0))</f>
        <v>MWB:NYB:LNB</v>
      </c>
      <c r="BW20" s="52"/>
      <c r="BX20" s="299"/>
      <c r="BY20" s="25" t="s">
        <v>316</v>
      </c>
      <c r="BZ20" s="373">
        <f>RUB_DATA!AW22</f>
        <v>95940</v>
      </c>
      <c r="CA20" s="373">
        <f>RUB_DATA!AX22</f>
        <v>98140</v>
      </c>
      <c r="CB20" s="5"/>
      <c r="CC20" s="50"/>
      <c r="CD20" s="222" t="s">
        <v>748</v>
      </c>
      <c r="CE20" s="216" t="s">
        <v>426</v>
      </c>
      <c r="CF20" s="53"/>
      <c r="CI20" s="626"/>
      <c r="CJ20" s="641" t="s">
        <v>748</v>
      </c>
      <c r="CK20" s="639" t="s">
        <v>426</v>
      </c>
      <c r="CL20" s="629"/>
      <c r="CN20" s="319"/>
      <c r="CO20" s="50"/>
      <c r="CP20" s="222" t="s">
        <v>748</v>
      </c>
      <c r="CQ20" s="216" t="s">
        <v>426</v>
      </c>
      <c r="CR20" s="53"/>
      <c r="CS20" s="395">
        <v>45180</v>
      </c>
      <c r="CT20" s="612">
        <v>5.0078228077594301E-2</v>
      </c>
      <c r="CU20" s="612">
        <v>5.8611839994311597E-2</v>
      </c>
      <c r="CV20" s="613">
        <v>4.7231364186677401E-2</v>
      </c>
      <c r="CW20" s="598">
        <v>4.17226720717312E-2</v>
      </c>
      <c r="CX20" s="401">
        <f t="shared" si="10"/>
        <v>-1.6889167922580397</v>
      </c>
      <c r="CY20" s="401"/>
      <c r="CZ20" s="206"/>
      <c r="DA20" s="206"/>
      <c r="DB20" s="200">
        <f t="shared" si="7"/>
        <v>45180</v>
      </c>
      <c r="DC20" s="207">
        <f>USD_CURVES!N20</f>
        <v>3.153230626370589E-3</v>
      </c>
      <c r="DD20" s="207">
        <f t="shared" si="8"/>
        <v>5.8611839994311597E-2</v>
      </c>
      <c r="DE20" s="207">
        <f>SAR_CURVES!CQ20</f>
        <v>1.8839384847041001E-2</v>
      </c>
      <c r="DF20" s="207">
        <f>ZAR_CURVES!CU20</f>
        <v>5.5636816448429702E-2</v>
      </c>
      <c r="DG20">
        <f>EUR_CURVES!CU20</f>
        <v>-4.9147690933149602E-3</v>
      </c>
      <c r="DH20" s="620"/>
      <c r="DW20" s="264"/>
      <c r="DX20" s="314"/>
      <c r="DY20" s="315"/>
      <c r="DZ20" s="316"/>
      <c r="EA20" s="316"/>
      <c r="EB20" s="317"/>
      <c r="EC20" s="299"/>
      <c r="ED20" s="318"/>
    </row>
    <row r="21" spans="6:134" x14ac:dyDescent="0.25">
      <c r="F21" s="50"/>
      <c r="G21" s="52"/>
      <c r="H21" s="52"/>
      <c r="I21" s="53"/>
      <c r="K21" t="s">
        <v>342</v>
      </c>
      <c r="L21" s="357">
        <f t="shared" si="2"/>
        <v>4.8099999999999997E-2</v>
      </c>
      <c r="M21" s="5" t="b">
        <v>1</v>
      </c>
      <c r="N21" s="5">
        <f t="shared" si="3"/>
        <v>0</v>
      </c>
      <c r="O21" s="357">
        <f t="shared" si="11"/>
        <v>4.8099999999999997E-2</v>
      </c>
      <c r="Q21" s="50"/>
      <c r="R21" s="233" t="s">
        <v>719</v>
      </c>
      <c r="S21" s="230" t="s">
        <v>720</v>
      </c>
      <c r="T21" s="53"/>
      <c r="V21" t="s">
        <v>331</v>
      </c>
      <c r="W21" s="203">
        <f t="shared" si="0"/>
        <v>5.5999999999999994E-2</v>
      </c>
      <c r="X21" t="b">
        <v>1</v>
      </c>
      <c r="Y21" s="5">
        <f t="shared" si="1"/>
        <v>0</v>
      </c>
      <c r="Z21" s="203">
        <f>RUB_DATA!U22</f>
        <v>5.5999999999999994E-2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tr">
        <f>$A$1&amp;"3M"</f>
        <v>RUB3M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961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331</v>
      </c>
      <c r="BO21" s="358">
        <f t="shared" si="12"/>
        <v>4.3700000000000003E-2</v>
      </c>
      <c r="BP21" s="5" t="b">
        <v>1</v>
      </c>
      <c r="BQ21" s="5">
        <f t="shared" si="13"/>
        <v>0</v>
      </c>
      <c r="BR21" s="357">
        <f>RUB_DATA!AZ29</f>
        <v>4.3700000000000003E-2</v>
      </c>
      <c r="BT21" s="50"/>
      <c r="BU21" s="149" t="s">
        <v>732</v>
      </c>
      <c r="BV21" s="223" t="s">
        <v>28</v>
      </c>
      <c r="BW21" s="52"/>
      <c r="BX21" s="299"/>
      <c r="BY21" s="25" t="s">
        <v>324</v>
      </c>
      <c r="BZ21" s="373">
        <f>RUB_DATA!AW23</f>
        <v>129220</v>
      </c>
      <c r="CA21" s="373">
        <f>RUB_DATA!AX23</f>
        <v>132620</v>
      </c>
      <c r="CB21" s="5"/>
      <c r="CN21" s="319"/>
      <c r="CS21" s="395">
        <v>45271</v>
      </c>
      <c r="CT21" s="612">
        <v>4.7922707282303398E-2</v>
      </c>
      <c r="CU21" s="612">
        <v>5.97794252073287E-2</v>
      </c>
      <c r="CV21" s="613">
        <v>4.7410723979375499E-2</v>
      </c>
      <c r="CW21" s="598">
        <v>4.1731702924263002E-2</v>
      </c>
      <c r="CX21" s="401">
        <f t="shared" si="10"/>
        <v>-1.8047722283065699</v>
      </c>
      <c r="CY21" s="401"/>
      <c r="CZ21" s="206"/>
      <c r="DA21" s="206"/>
      <c r="DB21" s="200">
        <f t="shared" si="7"/>
        <v>45271</v>
      </c>
      <c r="DC21" s="207">
        <f>USD_CURVES!N21</f>
        <v>3.4149893381683564E-3</v>
      </c>
      <c r="DD21" s="207">
        <f t="shared" si="8"/>
        <v>5.97794252073287E-2</v>
      </c>
      <c r="DE21" s="207">
        <f>SAR_CURVES!CQ21</f>
        <v>1.9664088453703699E-2</v>
      </c>
      <c r="DF21" s="207">
        <f>ZAR_CURVES!CU21</f>
        <v>5.91271392073138E-2</v>
      </c>
      <c r="DG21">
        <f>EUR_CURVES!CU21</f>
        <v>-4.6062967338229696E-3</v>
      </c>
      <c r="DH21" s="620"/>
      <c r="DW21" s="264"/>
      <c r="DX21" s="314"/>
      <c r="DY21" s="315"/>
      <c r="DZ21" s="316"/>
      <c r="EA21" s="316"/>
      <c r="EB21" s="317"/>
      <c r="EC21" s="299"/>
      <c r="ED21" s="318"/>
    </row>
    <row r="22" spans="6:134" x14ac:dyDescent="0.25">
      <c r="F22" s="50"/>
      <c r="G22" s="54" t="s">
        <v>426</v>
      </c>
      <c r="H22" s="52"/>
      <c r="I22" s="53"/>
      <c r="K22" t="s">
        <v>355</v>
      </c>
      <c r="L22" s="357">
        <f t="shared" si="2"/>
        <v>4.8099999999999997E-2</v>
      </c>
      <c r="M22" s="5" t="b">
        <v>1</v>
      </c>
      <c r="N22" s="5">
        <f t="shared" si="3"/>
        <v>0</v>
      </c>
      <c r="O22" s="357">
        <f t="shared" si="11"/>
        <v>4.8099999999999997E-2</v>
      </c>
      <c r="Q22" s="50"/>
      <c r="R22" s="222" t="s">
        <v>706</v>
      </c>
      <c r="S22" s="223" t="s">
        <v>721</v>
      </c>
      <c r="T22" s="53"/>
      <c r="V22" t="s">
        <v>339</v>
      </c>
      <c r="W22" s="203">
        <f t="shared" si="0"/>
        <v>5.7699999999999994E-2</v>
      </c>
      <c r="X22" t="b">
        <v>1</v>
      </c>
      <c r="Y22" s="5">
        <f t="shared" si="1"/>
        <v>0</v>
      </c>
      <c r="Z22" s="203">
        <f>RUB_DATA!U23</f>
        <v>5.7699999999999994E-2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339</v>
      </c>
      <c r="BO22" s="358">
        <f t="shared" si="12"/>
        <v>4.3799999999999999E-2</v>
      </c>
      <c r="BP22" s="5" t="b">
        <v>1</v>
      </c>
      <c r="BQ22" s="5">
        <f t="shared" si="13"/>
        <v>0</v>
      </c>
      <c r="BR22" s="357">
        <f>RUB_DATA!AZ30</f>
        <v>4.3799999999999999E-2</v>
      </c>
      <c r="BT22" s="50"/>
      <c r="BU22" s="149" t="s">
        <v>707</v>
      </c>
      <c r="BV22" s="223" t="s">
        <v>1189</v>
      </c>
      <c r="BW22" s="52"/>
      <c r="BX22" s="299"/>
      <c r="BY22" s="25" t="s">
        <v>331</v>
      </c>
      <c r="BZ22" s="373">
        <f>RUB_DATA!AW24</f>
        <v>162590</v>
      </c>
      <c r="CA22" s="373">
        <f>RUB_DATA!AX24</f>
        <v>166690</v>
      </c>
      <c r="CB22" s="5"/>
      <c r="CN22" s="319"/>
      <c r="CS22" s="395">
        <v>45362</v>
      </c>
      <c r="CT22" s="612">
        <v>4.6667934003227697E-2</v>
      </c>
      <c r="CU22" s="612">
        <v>6.0664066246623599E-2</v>
      </c>
      <c r="CV22" s="613">
        <v>4.7559903320335703E-2</v>
      </c>
      <c r="CW22" s="598">
        <v>4.16940646425457E-2</v>
      </c>
      <c r="CX22" s="401">
        <f t="shared" si="10"/>
        <v>-1.89700016040779</v>
      </c>
      <c r="CY22" s="401"/>
      <c r="CZ22" s="206"/>
      <c r="DA22" s="206"/>
      <c r="DB22" s="200">
        <f t="shared" si="7"/>
        <v>45362</v>
      </c>
      <c r="DC22" s="207">
        <f>USD_CURVES!N22</f>
        <v>3.7952944323954335E-3</v>
      </c>
      <c r="DD22" s="207">
        <f t="shared" si="8"/>
        <v>6.0664066246623599E-2</v>
      </c>
      <c r="DE22" s="207">
        <f>SAR_CURVES!CQ22</f>
        <v>2.0624787369246101E-2</v>
      </c>
      <c r="DF22" s="207">
        <f>ZAR_CURVES!CU22</f>
        <v>6.2494425383128001E-2</v>
      </c>
      <c r="DG22">
        <f>EUR_CURVES!CU22</f>
        <v>-4.3637933093623399E-3</v>
      </c>
      <c r="DH22" s="620"/>
      <c r="DW22" s="264"/>
      <c r="DX22" s="314"/>
      <c r="DY22" s="315"/>
      <c r="DZ22" s="316"/>
      <c r="EA22" s="316"/>
      <c r="EB22" s="317"/>
      <c r="EC22" s="299"/>
      <c r="ED22" s="318"/>
    </row>
    <row r="23" spans="6:134" x14ac:dyDescent="0.25">
      <c r="F23" s="50"/>
      <c r="G23" s="220" t="s">
        <v>677</v>
      </c>
      <c r="H23" s="221" t="str">
        <f>INDEX('STATIC DATA'!C43:AB43,1,MATCH($A$1,'STATIC DATA'!$C$4:$AB$4,0))</f>
        <v>MWB</v>
      </c>
      <c r="I23" s="53"/>
      <c r="K23" t="s">
        <v>364</v>
      </c>
      <c r="L23" s="357">
        <f t="shared" si="2"/>
        <v>4.8099999999999997E-2</v>
      </c>
      <c r="M23" s="5" t="b">
        <v>1</v>
      </c>
      <c r="N23" s="5">
        <f t="shared" si="3"/>
        <v>0</v>
      </c>
      <c r="O23" s="357">
        <f t="shared" si="11"/>
        <v>4.8099999999999997E-2</v>
      </c>
      <c r="Q23" s="50"/>
      <c r="R23" s="222" t="s">
        <v>722</v>
      </c>
      <c r="S23" s="475" t="b">
        <v>1</v>
      </c>
      <c r="T23" s="53"/>
      <c r="V23" t="s">
        <v>342</v>
      </c>
      <c r="W23" s="203">
        <f t="shared" si="0"/>
        <v>5.9299999999999999E-2</v>
      </c>
      <c r="X23" t="b">
        <v>1</v>
      </c>
      <c r="Y23" s="5">
        <f t="shared" si="1"/>
        <v>0</v>
      </c>
      <c r="Z23" s="203">
        <f>RUB_DATA!U24</f>
        <v>5.9299999999999999E-2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342</v>
      </c>
      <c r="BO23" s="358">
        <f t="shared" si="12"/>
        <v>4.3899999999999995E-2</v>
      </c>
      <c r="BP23" s="5" t="b">
        <v>1</v>
      </c>
      <c r="BQ23" s="5">
        <f t="shared" si="13"/>
        <v>0</v>
      </c>
      <c r="BR23" s="357">
        <f>RUB_DATA!AZ31</f>
        <v>4.3899999999999995E-2</v>
      </c>
      <c r="BT23" s="50"/>
      <c r="BU23" s="149" t="s">
        <v>689</v>
      </c>
      <c r="BV23" s="223" t="b">
        <v>1</v>
      </c>
      <c r="BW23" s="52"/>
      <c r="BX23" s="299"/>
      <c r="BY23" s="345" t="s">
        <v>339</v>
      </c>
      <c r="BZ23" s="418">
        <f>BZ22+BZ17</f>
        <v>193050</v>
      </c>
      <c r="CA23" s="418">
        <f>CA22+CA17</f>
        <v>197450</v>
      </c>
      <c r="CB23" s="5"/>
      <c r="CN23" s="319"/>
      <c r="CS23" s="395">
        <v>45453</v>
      </c>
      <c r="CT23" s="612">
        <v>4.6097454319567202E-2</v>
      </c>
      <c r="CU23" s="612">
        <v>6.1299484995110301E-2</v>
      </c>
      <c r="CV23" s="613">
        <v>4.7677387366507201E-2</v>
      </c>
      <c r="CW23" s="598">
        <v>4.1644210102018998E-2</v>
      </c>
      <c r="CX23" s="401">
        <f t="shared" si="10"/>
        <v>-1.9655274893091303</v>
      </c>
      <c r="CY23" s="401"/>
      <c r="CZ23" s="206"/>
      <c r="DA23" s="206"/>
      <c r="DB23" s="200">
        <f t="shared" si="7"/>
        <v>45453</v>
      </c>
      <c r="DC23" s="207">
        <f>USD_CURVES!N23</f>
        <v>4.2897937515111884E-3</v>
      </c>
      <c r="DD23" s="207">
        <f t="shared" si="8"/>
        <v>6.1299484995110301E-2</v>
      </c>
      <c r="DE23" s="207">
        <f>SAR_CURVES!CQ23</f>
        <v>2.1709768923454401E-2</v>
      </c>
      <c r="DF23" s="207">
        <f>ZAR_CURVES!CU23</f>
        <v>6.5691751653990396E-2</v>
      </c>
      <c r="DG23">
        <f>EUR_CURVES!CU23</f>
        <v>-4.1898489488948597E-3</v>
      </c>
      <c r="DH23" s="620"/>
      <c r="DW23" s="264"/>
      <c r="DX23" s="314"/>
      <c r="DY23" s="315"/>
      <c r="DZ23" s="316"/>
      <c r="EA23" s="316"/>
      <c r="EB23" s="317"/>
      <c r="EC23" s="299"/>
      <c r="ED23" s="318"/>
    </row>
    <row r="24" spans="6:134" x14ac:dyDescent="0.25">
      <c r="F24" s="50"/>
      <c r="G24" s="222" t="s">
        <v>678</v>
      </c>
      <c r="H24" s="223" t="str">
        <f>INDEX('STATIC DATA'!C59:AB59,1,MATCH($A$1,'STATIC DATA'!C4:AB4,0))</f>
        <v>ACT/ACT</v>
      </c>
      <c r="I24" s="53"/>
      <c r="K24" t="s">
        <v>349</v>
      </c>
      <c r="L24" s="357">
        <f t="shared" si="2"/>
        <v>4.8099999999999997E-2</v>
      </c>
      <c r="M24" s="5" t="b">
        <v>1</v>
      </c>
      <c r="N24" s="5">
        <f t="shared" si="3"/>
        <v>0</v>
      </c>
      <c r="O24" s="357">
        <f t="shared" si="11"/>
        <v>4.8099999999999997E-2</v>
      </c>
      <c r="Q24" s="50"/>
      <c r="R24" s="222" t="s">
        <v>723</v>
      </c>
      <c r="S24" s="223" t="s">
        <v>718</v>
      </c>
      <c r="T24" s="53"/>
      <c r="V24" t="s">
        <v>355</v>
      </c>
      <c r="W24" s="203">
        <f t="shared" si="0"/>
        <v>6.0700000000000004E-2</v>
      </c>
      <c r="X24" t="b">
        <v>1</v>
      </c>
      <c r="Y24" s="5">
        <f t="shared" si="1"/>
        <v>0</v>
      </c>
      <c r="Z24" s="203">
        <f>RUB_DATA!U25</f>
        <v>6.0700000000000004E-2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355</v>
      </c>
      <c r="BO24" s="358">
        <f t="shared" si="12"/>
        <v>4.4000000000000004E-2</v>
      </c>
      <c r="BP24" s="5" t="b">
        <v>1</v>
      </c>
      <c r="BQ24" s="5">
        <f t="shared" si="13"/>
        <v>0</v>
      </c>
      <c r="BR24" s="357">
        <f>RUB_DATA!AZ32</f>
        <v>4.4000000000000004E-2</v>
      </c>
      <c r="BT24" s="50"/>
      <c r="BU24" s="149" t="s">
        <v>688</v>
      </c>
      <c r="BV24" s="223">
        <v>31</v>
      </c>
      <c r="BW24" s="52"/>
      <c r="BX24" s="299"/>
      <c r="BZ24" s="5"/>
      <c r="CA24" s="5"/>
      <c r="CB24" s="5"/>
      <c r="CN24" s="319"/>
      <c r="CS24" s="395">
        <v>45544</v>
      </c>
      <c r="CT24" s="612">
        <v>4.6381981024047801E-2</v>
      </c>
      <c r="CU24" s="612">
        <v>6.1786703112814201E-2</v>
      </c>
      <c r="CV24" s="613">
        <v>4.7761604178518997E-2</v>
      </c>
      <c r="CW24" s="598">
        <v>4.1593980288978198E-2</v>
      </c>
      <c r="CX24" s="401">
        <f t="shared" si="10"/>
        <v>-2.0192722823836005</v>
      </c>
      <c r="CY24" s="401"/>
      <c r="CZ24" s="206"/>
      <c r="DA24" s="206"/>
      <c r="DB24" s="200">
        <f t="shared" si="7"/>
        <v>45544</v>
      </c>
      <c r="DC24" s="207">
        <f>USD_CURVES!N24</f>
        <v>4.8728146585228799E-3</v>
      </c>
      <c r="DD24" s="207">
        <f t="shared" si="8"/>
        <v>6.1786703112814201E-2</v>
      </c>
      <c r="DE24" s="207">
        <f>SAR_CURVES!CQ24</f>
        <v>2.2890933014067898E-2</v>
      </c>
      <c r="DF24" s="207">
        <f>ZAR_CURVES!CU24</f>
        <v>6.8729123989087398E-2</v>
      </c>
      <c r="DG24">
        <f>EUR_CURVES!CU24</f>
        <v>-4.0656105583177201E-3</v>
      </c>
      <c r="DH24" s="620"/>
      <c r="DW24" s="264"/>
      <c r="DX24" s="314"/>
      <c r="DY24" s="315"/>
      <c r="DZ24" s="316"/>
      <c r="EA24" s="316"/>
      <c r="EB24" s="317"/>
      <c r="EC24" s="299"/>
      <c r="ED24" s="318"/>
    </row>
    <row r="25" spans="6:134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358</v>
      </c>
      <c r="L25" s="357">
        <f t="shared" si="2"/>
        <v>4.8099999999999997E-2</v>
      </c>
      <c r="M25" s="5" t="b">
        <v>1</v>
      </c>
      <c r="N25" s="5">
        <f t="shared" si="3"/>
        <v>0</v>
      </c>
      <c r="O25" s="357">
        <f t="shared" si="11"/>
        <v>4.8099999999999997E-2</v>
      </c>
      <c r="Q25" s="50"/>
      <c r="R25" s="234" t="s">
        <v>724</v>
      </c>
      <c r="S25" s="472" t="s">
        <v>426</v>
      </c>
      <c r="T25" s="53"/>
      <c r="V25" t="s">
        <v>364</v>
      </c>
      <c r="W25" s="203">
        <f t="shared" si="0"/>
        <v>6.1900000000000004E-2</v>
      </c>
      <c r="X25" t="b">
        <v>1</v>
      </c>
      <c r="Y25" s="5">
        <f t="shared" si="1"/>
        <v>0</v>
      </c>
      <c r="Z25" s="203">
        <f>RUB_DATA!U26</f>
        <v>6.1900000000000004E-2</v>
      </c>
      <c r="AA25" s="203"/>
      <c r="AB25" s="50"/>
      <c r="AC25" s="85" t="s">
        <v>713</v>
      </c>
      <c r="AD25" s="85" t="s">
        <v>713</v>
      </c>
      <c r="AE25" s="53"/>
      <c r="AF25" s="19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N25" t="s">
        <v>364</v>
      </c>
      <c r="BO25" s="358">
        <f t="shared" si="12"/>
        <v>4.41E-2</v>
      </c>
      <c r="BP25" s="5" t="b">
        <v>1</v>
      </c>
      <c r="BQ25" s="5">
        <f t="shared" si="13"/>
        <v>0</v>
      </c>
      <c r="BR25" s="357">
        <f>RUB_DATA!AZ33</f>
        <v>4.41E-2</v>
      </c>
      <c r="BT25" s="50"/>
      <c r="BU25" s="151" t="s">
        <v>819</v>
      </c>
      <c r="BV25" s="226" t="b">
        <v>0</v>
      </c>
      <c r="BW25" s="52"/>
      <c r="BX25" s="299"/>
      <c r="BZ25" s="5"/>
      <c r="CA25" s="5"/>
      <c r="CB25" s="5"/>
      <c r="CN25" s="319"/>
      <c r="CS25" s="395">
        <v>45635</v>
      </c>
      <c r="CT25" s="612">
        <v>4.70072927570587E-2</v>
      </c>
      <c r="CU25" s="612">
        <v>6.22606148678789E-2</v>
      </c>
      <c r="CV25" s="613">
        <v>4.7838710009423802E-2</v>
      </c>
      <c r="CW25" s="598">
        <v>4.1625014507094597E-2</v>
      </c>
      <c r="CX25" s="401">
        <f t="shared" si="10"/>
        <v>-2.0635600360784303</v>
      </c>
      <c r="CY25" s="401"/>
      <c r="CZ25" s="206"/>
      <c r="DA25" s="206"/>
      <c r="DB25" s="200">
        <f t="shared" si="7"/>
        <v>45635</v>
      </c>
      <c r="DC25" s="207">
        <f>USD_CURVES!N25</f>
        <v>5.4460886849094997E-3</v>
      </c>
      <c r="DD25" s="207">
        <f t="shared" si="8"/>
        <v>6.22606148678789E-2</v>
      </c>
      <c r="DE25" s="207">
        <f>SAR_CURVES!CQ25</f>
        <v>2.40642997084289E-2</v>
      </c>
      <c r="DF25" s="207">
        <f>ZAR_CURVES!CU25</f>
        <v>7.1690245923293594E-2</v>
      </c>
      <c r="DG25">
        <f>EUR_CURVES!CU25</f>
        <v>-3.9153269789410899E-3</v>
      </c>
      <c r="DH25" s="620"/>
      <c r="DW25" s="264"/>
      <c r="DX25" s="314"/>
      <c r="DY25" s="315"/>
      <c r="DZ25" s="316"/>
      <c r="EA25" s="316"/>
      <c r="EB25" s="317"/>
      <c r="EC25" s="299"/>
      <c r="ED25" s="318"/>
    </row>
    <row r="26" spans="6:134" x14ac:dyDescent="0.25">
      <c r="F26" s="50"/>
      <c r="G26" s="222" t="s">
        <v>681</v>
      </c>
      <c r="H26" s="223" t="s">
        <v>682</v>
      </c>
      <c r="I26" s="53"/>
      <c r="K26" t="s">
        <v>367</v>
      </c>
      <c r="L26" s="357">
        <f t="shared" si="2"/>
        <v>4.8099999999999997E-2</v>
      </c>
      <c r="M26" s="5" t="b">
        <v>1</v>
      </c>
      <c r="N26" s="5">
        <f t="shared" si="3"/>
        <v>0</v>
      </c>
      <c r="O26" s="357">
        <f t="shared" si="11"/>
        <v>4.8099999999999997E-2</v>
      </c>
      <c r="Q26" s="50"/>
      <c r="R26" s="52" t="s">
        <v>713</v>
      </c>
      <c r="S26" s="52" t="s">
        <v>713</v>
      </c>
      <c r="T26" s="53"/>
      <c r="V26" t="s">
        <v>349</v>
      </c>
      <c r="W26" s="203">
        <f t="shared" si="0"/>
        <v>6.2899999999999998E-2</v>
      </c>
      <c r="X26" t="b">
        <v>1</v>
      </c>
      <c r="Y26" s="5">
        <f t="shared" si="1"/>
        <v>0</v>
      </c>
      <c r="Z26" s="203">
        <f>RUB_DATA!U27</f>
        <v>6.2899999999999998E-2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255" t="s">
        <v>814</v>
      </c>
      <c r="BK26" s="256"/>
      <c r="BL26" s="53"/>
      <c r="BN26" t="s">
        <v>349</v>
      </c>
      <c r="BO26" s="358">
        <f t="shared" si="12"/>
        <v>4.4199999999999996E-2</v>
      </c>
      <c r="BP26" s="5" t="b">
        <v>1</v>
      </c>
      <c r="BQ26" s="5">
        <f t="shared" si="13"/>
        <v>0</v>
      </c>
      <c r="BR26" s="357">
        <f>RUB_DATA!AZ34</f>
        <v>4.4199999999999996E-2</v>
      </c>
      <c r="BT26" s="50"/>
      <c r="BU26" s="52"/>
      <c r="BV26" s="52"/>
      <c r="BW26" s="52"/>
      <c r="BX26" s="299"/>
      <c r="BZ26" s="5"/>
      <c r="CA26" s="5"/>
      <c r="CB26" s="5"/>
      <c r="CD26" s="442" t="s">
        <v>1084</v>
      </c>
      <c r="CE26" t="s">
        <v>713</v>
      </c>
      <c r="CJ26" s="650" t="s">
        <v>1084</v>
      </c>
      <c r="CK26" s="620" t="s">
        <v>713</v>
      </c>
      <c r="CN26" s="319"/>
      <c r="CP26" s="442" t="s">
        <v>1084</v>
      </c>
      <c r="CQ26" t="s">
        <v>713</v>
      </c>
      <c r="CS26" s="395">
        <v>45726</v>
      </c>
      <c r="CT26" s="612">
        <v>4.7284218663601801E-2</v>
      </c>
      <c r="CU26" s="612">
        <v>6.30094470855838E-2</v>
      </c>
      <c r="CV26" s="613">
        <v>4.7938511024810997E-2</v>
      </c>
      <c r="CW26" s="598">
        <v>4.16805871002544E-2</v>
      </c>
      <c r="CX26" s="401">
        <f t="shared" si="10"/>
        <v>-2.1328859985329398</v>
      </c>
      <c r="CY26" s="401"/>
      <c r="CZ26" s="206"/>
      <c r="DA26" s="206"/>
      <c r="DB26" s="200">
        <f t="shared" si="7"/>
        <v>45726</v>
      </c>
      <c r="DC26" s="207">
        <f>USD_CURVES!N26</f>
        <v>5.9917295250296407E-3</v>
      </c>
      <c r="DD26" s="207">
        <f t="shared" si="8"/>
        <v>6.30094470855838E-2</v>
      </c>
      <c r="DE26" s="207">
        <f>SAR_CURVES!CQ26</f>
        <v>2.5222499850094001E-2</v>
      </c>
      <c r="DF26" s="207">
        <f>ZAR_CURVES!CU26</f>
        <v>7.4584630487937897E-2</v>
      </c>
      <c r="DG26">
        <f>EUR_CURVES!CU26</f>
        <v>-3.7150170225341101E-3</v>
      </c>
      <c r="DH26" s="620"/>
      <c r="DW26" s="264"/>
      <c r="DX26" s="314"/>
      <c r="DY26" s="315"/>
      <c r="DZ26" s="316"/>
      <c r="EA26" s="316"/>
      <c r="EB26" s="317"/>
      <c r="EC26" s="299"/>
      <c r="ED26" s="318"/>
    </row>
    <row r="27" spans="6:134" x14ac:dyDescent="0.25">
      <c r="F27" s="50"/>
      <c r="G27" s="222" t="s">
        <v>683</v>
      </c>
      <c r="H27" s="223" t="str">
        <f>INDEX('STATIC DATA'!C15:AB15,1,MATCH($A$1,'STATIC DATA'!C4:AB4,0))</f>
        <v>1D</v>
      </c>
      <c r="I27" s="53"/>
      <c r="K27" s="2" t="s">
        <v>1210</v>
      </c>
      <c r="L27" s="357">
        <f t="shared" si="2"/>
        <v>4.8099999999999997E-2</v>
      </c>
      <c r="M27" s="5" t="b">
        <v>1</v>
      </c>
      <c r="N27" s="5">
        <f t="shared" si="3"/>
        <v>0</v>
      </c>
      <c r="O27" s="357">
        <f t="shared" si="11"/>
        <v>4.8099999999999997E-2</v>
      </c>
      <c r="Q27" s="50"/>
      <c r="R27" s="54" t="s">
        <v>726</v>
      </c>
      <c r="S27" s="52" t="s">
        <v>713</v>
      </c>
      <c r="T27" s="53"/>
      <c r="V27" t="s">
        <v>358</v>
      </c>
      <c r="W27" s="203">
        <f t="shared" si="0"/>
        <v>6.3899999999999998E-2</v>
      </c>
      <c r="X27" t="b">
        <v>1</v>
      </c>
      <c r="Y27" s="5">
        <f t="shared" si="1"/>
        <v>0</v>
      </c>
      <c r="Z27" s="203">
        <f>RUB_DATA!U28</f>
        <v>6.3899999999999998E-2</v>
      </c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677</v>
      </c>
      <c r="BK27" s="240" t="str">
        <f>INDEX('STATIC DATA'!C30:AB30,1,MATCH($A$1,'STATIC DATA'!$C$4:$AB$4,0))</f>
        <v>MWB:NYB:LNB</v>
      </c>
      <c r="BL27" s="53"/>
      <c r="BN27" t="s">
        <v>358</v>
      </c>
      <c r="BO27" s="358">
        <f t="shared" si="12"/>
        <v>4.41E-2</v>
      </c>
      <c r="BP27" s="5" t="b">
        <v>1</v>
      </c>
      <c r="BQ27" s="5">
        <f t="shared" si="13"/>
        <v>0</v>
      </c>
      <c r="BR27" s="357">
        <f>RUB_DATA!AZ35</f>
        <v>4.41E-2</v>
      </c>
      <c r="BT27" s="50"/>
      <c r="BU27" s="52"/>
      <c r="BV27" s="52"/>
      <c r="BW27" s="52"/>
      <c r="BX27" s="299"/>
      <c r="BZ27" s="5"/>
      <c r="CA27" s="5"/>
      <c r="CB27" s="5"/>
      <c r="CD27" s="57" t="s">
        <v>1085</v>
      </c>
      <c r="CE27" s="57" t="s">
        <v>1093</v>
      </c>
      <c r="CJ27" s="631" t="s">
        <v>1085</v>
      </c>
      <c r="CK27" s="631" t="s">
        <v>1128</v>
      </c>
      <c r="CN27" s="319"/>
      <c r="CP27" s="57" t="s">
        <v>1085</v>
      </c>
      <c r="CQ27" s="57" t="s">
        <v>1625</v>
      </c>
      <c r="CS27" s="395">
        <v>45817</v>
      </c>
      <c r="CT27" s="612">
        <v>4.7460693357549898E-2</v>
      </c>
      <c r="CU27" s="612">
        <v>6.3965358919465698E-2</v>
      </c>
      <c r="CV27" s="613">
        <v>4.8062146453410601E-2</v>
      </c>
      <c r="CW27" s="598">
        <v>4.1744302278765397E-2</v>
      </c>
      <c r="CX27" s="401">
        <f t="shared" si="10"/>
        <v>-2.2221056640700301</v>
      </c>
      <c r="CY27" s="401"/>
      <c r="CZ27" s="206"/>
      <c r="DA27" s="206"/>
      <c r="DB27" s="200">
        <f t="shared" si="7"/>
        <v>45817</v>
      </c>
      <c r="DC27" s="207">
        <f>USD_CURVES!N27</f>
        <v>6.4945039469341383E-3</v>
      </c>
      <c r="DD27" s="207">
        <f t="shared" si="8"/>
        <v>6.3965358919465698E-2</v>
      </c>
      <c r="DE27" s="207">
        <f>SAR_CURVES!CQ27</f>
        <v>2.63297507688297E-2</v>
      </c>
      <c r="DF27" s="207">
        <f>ZAR_CURVES!CU27</f>
        <v>7.7366131223927603E-2</v>
      </c>
      <c r="DG27">
        <f>EUR_CURVES!CU27</f>
        <v>-3.4700639879370302E-3</v>
      </c>
      <c r="DH27" s="620"/>
      <c r="DW27" s="264"/>
      <c r="DX27" s="314"/>
      <c r="DY27" s="315"/>
      <c r="DZ27" s="316"/>
      <c r="EA27" s="316"/>
      <c r="EB27" s="317"/>
      <c r="EC27" s="299"/>
      <c r="ED27" s="318"/>
    </row>
    <row r="28" spans="6:134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MWB</v>
      </c>
      <c r="T28" s="53"/>
      <c r="V28" t="s">
        <v>367</v>
      </c>
      <c r="W28" s="203">
        <f t="shared" si="0"/>
        <v>6.54E-2</v>
      </c>
      <c r="X28" t="b">
        <v>1</v>
      </c>
      <c r="Y28" s="5">
        <f t="shared" si="1"/>
        <v>0</v>
      </c>
      <c r="Z28" s="203">
        <f>RUB_DATA!U29</f>
        <v>6.54E-2</v>
      </c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25" t="s">
        <v>683</v>
      </c>
      <c r="BK28" s="257" t="s">
        <v>643</v>
      </c>
      <c r="BL28" s="53"/>
      <c r="BN28" t="s">
        <v>367</v>
      </c>
      <c r="BO28" s="358">
        <f t="shared" si="12"/>
        <v>4.4000000000000004E-2</v>
      </c>
      <c r="BP28" s="5" t="b">
        <v>1</v>
      </c>
      <c r="BQ28" s="5">
        <f t="shared" si="13"/>
        <v>0</v>
      </c>
      <c r="BR28" s="357">
        <f>RUB_DATA!AZ36</f>
        <v>4.4000000000000004E-2</v>
      </c>
      <c r="BT28" s="50"/>
      <c r="BU28" s="52"/>
      <c r="BV28" s="52"/>
      <c r="BW28" s="52"/>
      <c r="BX28" s="299"/>
      <c r="BZ28" s="5"/>
      <c r="CA28" s="5"/>
      <c r="CB28" s="5"/>
      <c r="CD28" s="57" t="s">
        <v>1086</v>
      </c>
      <c r="CE28" s="57" t="s">
        <v>1089</v>
      </c>
      <c r="CJ28" s="631" t="s">
        <v>1086</v>
      </c>
      <c r="CK28" s="631" t="s">
        <v>1129</v>
      </c>
      <c r="CN28" s="319"/>
      <c r="CP28" s="57" t="s">
        <v>1086</v>
      </c>
      <c r="CQ28" s="57" t="s">
        <v>1626</v>
      </c>
      <c r="CS28" s="395">
        <v>45909</v>
      </c>
      <c r="CT28" s="612">
        <v>4.7395098748440903E-2</v>
      </c>
      <c r="CU28" s="612">
        <v>6.5055349220118103E-2</v>
      </c>
      <c r="CV28" s="613">
        <v>4.8212566332283199E-2</v>
      </c>
      <c r="CW28" s="598">
        <v>4.1810067655746699E-2</v>
      </c>
      <c r="CX28" s="401">
        <f t="shared" si="10"/>
        <v>-2.3245281564371405</v>
      </c>
      <c r="CY28" s="401"/>
      <c r="CZ28" s="206"/>
      <c r="DA28" s="206"/>
      <c r="DB28" s="200">
        <f t="shared" si="7"/>
        <v>45909</v>
      </c>
      <c r="DC28" s="207">
        <f>USD_CURVES!N28</f>
        <v>6.9668207962187102E-3</v>
      </c>
      <c r="DD28" s="207">
        <f t="shared" si="8"/>
        <v>6.5055349220118103E-2</v>
      </c>
      <c r="DE28" s="207">
        <f>SAR_CURVES!CQ28</f>
        <v>2.7379071855801899E-2</v>
      </c>
      <c r="DF28" s="207">
        <f>ZAR_CURVES!CU28</f>
        <v>8.0088695624892403E-2</v>
      </c>
      <c r="DG28">
        <f>EUR_CURVES!CU28</f>
        <v>-3.18383281173643E-3</v>
      </c>
      <c r="DH28" s="620"/>
      <c r="DW28" s="267"/>
      <c r="DX28" s="326"/>
      <c r="DY28" s="327"/>
      <c r="DZ28" s="328"/>
      <c r="EA28" s="328"/>
      <c r="EB28" s="329"/>
      <c r="EC28" s="299"/>
      <c r="ED28" s="318"/>
    </row>
    <row r="29" spans="6:134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ACT/ACT</v>
      </c>
      <c r="T29" s="53"/>
      <c r="V29" t="s">
        <v>374</v>
      </c>
      <c r="W29" s="203">
        <f t="shared" si="0"/>
        <v>6.3899999999999998E-2</v>
      </c>
      <c r="X29" t="b">
        <v>1</v>
      </c>
      <c r="Y29" s="5">
        <f t="shared" si="1"/>
        <v>0</v>
      </c>
      <c r="Z29" s="203">
        <f>RUB_DATA!U30</f>
        <v>6.3899999999999998E-2</v>
      </c>
      <c r="AA29" s="203"/>
      <c r="AB29" s="50"/>
      <c r="AC29" s="222" t="s">
        <v>751</v>
      </c>
      <c r="AD29" s="216" t="str">
        <f>INDEX('STATIC DATA'!C39:AB39,1,MATCH($A$1,'STATIC DATA'!$C$4:$AB$4,0))</f>
        <v>MWB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DATA'!C39:AB39,1,MATCH($A$1,'STATIC DATA'!$C$4:$AB$4,0))</f>
        <v>MWB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5" t="s">
        <v>686</v>
      </c>
      <c r="BK29" s="240" t="s">
        <v>687</v>
      </c>
      <c r="BL29" s="53"/>
      <c r="BN29" t="s">
        <v>374</v>
      </c>
      <c r="BO29" s="358">
        <f t="shared" si="12"/>
        <v>4.4000000000000004E-2</v>
      </c>
      <c r="BP29" s="5" t="b">
        <v>1</v>
      </c>
      <c r="BQ29" s="5">
        <f t="shared" si="13"/>
        <v>0</v>
      </c>
      <c r="BR29" s="357">
        <f>BR28</f>
        <v>4.4000000000000004E-2</v>
      </c>
      <c r="BT29" s="50"/>
      <c r="BU29" s="52"/>
      <c r="BV29" s="52"/>
      <c r="BW29" s="55"/>
      <c r="BX29" s="332"/>
      <c r="BZ29" s="5"/>
      <c r="CA29" s="5"/>
      <c r="CB29" s="5"/>
      <c r="CD29" s="57" t="s">
        <v>1087</v>
      </c>
      <c r="CE29" s="57" t="s">
        <v>1090</v>
      </c>
      <c r="CJ29" s="631" t="s">
        <v>1087</v>
      </c>
      <c r="CK29" s="631" t="s">
        <v>1090</v>
      </c>
      <c r="CN29" s="319"/>
      <c r="CP29" s="57" t="s">
        <v>1087</v>
      </c>
      <c r="CQ29" s="57" t="s">
        <v>1090</v>
      </c>
      <c r="CS29" s="395">
        <v>46000</v>
      </c>
      <c r="CT29" s="612">
        <v>4.7232642803754402E-2</v>
      </c>
      <c r="CU29" s="612">
        <v>6.6090451497713504E-2</v>
      </c>
      <c r="CV29" s="613">
        <v>4.8357635851176299E-2</v>
      </c>
      <c r="CW29" s="598">
        <v>4.1896482113941598E-2</v>
      </c>
      <c r="CX29" s="401">
        <f t="shared" si="10"/>
        <v>-2.4193969383771905</v>
      </c>
      <c r="CY29" s="401"/>
      <c r="CZ29" s="206"/>
      <c r="DA29" s="206"/>
      <c r="DB29" s="200">
        <f t="shared" si="7"/>
        <v>46000</v>
      </c>
      <c r="DC29" s="207">
        <f>USD_CURVES!N29</f>
        <v>7.4181557448572306E-3</v>
      </c>
      <c r="DD29" s="207">
        <f t="shared" si="8"/>
        <v>6.6090451497713504E-2</v>
      </c>
      <c r="DE29" s="207">
        <f>SAR_CURVES!CQ29</f>
        <v>2.8245846163798102E-2</v>
      </c>
      <c r="DF29" s="207">
        <f>ZAR_CURVES!CU29</f>
        <v>8.2815898610597696E-2</v>
      </c>
      <c r="DG29">
        <f>EUR_CURVES!CU29</f>
        <v>-2.89126886012436E-3</v>
      </c>
      <c r="DH29" s="620"/>
      <c r="DW29" s="299"/>
      <c r="DX29" s="299"/>
      <c r="DY29" s="299"/>
      <c r="DZ29" s="299"/>
      <c r="EA29" s="299"/>
      <c r="EB29" s="299"/>
      <c r="EC29" s="299"/>
      <c r="ED29" s="318"/>
    </row>
    <row r="30" spans="6:134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203"/>
      <c r="Z30" s="203"/>
      <c r="AA30" s="203"/>
      <c r="AB30" s="50"/>
      <c r="AC30" s="222" t="s">
        <v>752</v>
      </c>
      <c r="AD30" s="216" t="str">
        <f>INDEX('STATIC DATA'!C55:AB55,1,MATCH($A$1,'STATIC DATA'!C4:AB4,0))</f>
        <v>ACT/ACT</v>
      </c>
      <c r="AE30" s="53"/>
      <c r="AH30" s="5"/>
      <c r="AI30" s="5"/>
      <c r="AJ30" s="5"/>
      <c r="AK30" s="5"/>
      <c r="AM30" s="50"/>
      <c r="AN30" s="222" t="s">
        <v>752</v>
      </c>
      <c r="AO30" s="216" t="str">
        <f>INDEX('STATIC DATA'!C55:AB55,1,MATCH($A$1,'STATIC DATA'!C4:AB4,0))</f>
        <v>ACT/ACT</v>
      </c>
      <c r="AP30" s="53"/>
      <c r="AX30" s="50"/>
      <c r="AY30" s="222" t="s">
        <v>752</v>
      </c>
      <c r="AZ30" s="216" t="str">
        <f>INDEX('STATIC DATA'!Y55:AY55,1,MATCH($A$1,'STATIC DATA'!Y4:AV4,0))</f>
        <v>ACT/ACT</v>
      </c>
      <c r="BA30" s="53"/>
      <c r="BI30" s="50"/>
      <c r="BJ30" s="225" t="s">
        <v>689</v>
      </c>
      <c r="BK30" s="240" t="b">
        <v>1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BY30" s="302"/>
      <c r="BZ30" s="374"/>
      <c r="CA30" s="374"/>
      <c r="CB30" s="374"/>
      <c r="CD30" s="57" t="s">
        <v>1088</v>
      </c>
      <c r="CE30" s="443" t="s">
        <v>1090</v>
      </c>
      <c r="CJ30" s="631" t="s">
        <v>1088</v>
      </c>
      <c r="CK30" s="651" t="s">
        <v>1090</v>
      </c>
      <c r="CN30" s="319"/>
      <c r="CP30" s="57" t="s">
        <v>1088</v>
      </c>
      <c r="CQ30" s="443" t="s">
        <v>1090</v>
      </c>
      <c r="CS30" s="395">
        <v>46090</v>
      </c>
      <c r="CT30" s="612">
        <v>4.71316272116434E-2</v>
      </c>
      <c r="CU30" s="612">
        <v>6.7060829392436905E-2</v>
      </c>
      <c r="CV30" s="613">
        <v>4.8464998891794203E-2</v>
      </c>
      <c r="CW30" s="598">
        <v>4.1984145833601903E-2</v>
      </c>
      <c r="CX30" s="401">
        <f t="shared" si="10"/>
        <v>-2.5076683558835002</v>
      </c>
      <c r="CY30" s="401"/>
      <c r="CZ30" s="206"/>
      <c r="DA30" s="206"/>
      <c r="DB30" s="200">
        <f t="shared" si="7"/>
        <v>46090</v>
      </c>
      <c r="DC30" s="207">
        <f>USD_CURVES!N30</f>
        <v>7.8612129108690393E-3</v>
      </c>
      <c r="DD30" s="207">
        <f t="shared" si="8"/>
        <v>6.7060829392436905E-2</v>
      </c>
      <c r="DE30" s="207">
        <f>SAR_CURVES!CQ30</f>
        <v>2.89195452512633E-2</v>
      </c>
      <c r="DF30" s="207">
        <f>ZAR_CURVES!CU30</f>
        <v>8.56485423784588E-2</v>
      </c>
      <c r="DG30">
        <f>EUR_CURVES!CU30</f>
        <v>-2.59555568029273E-3</v>
      </c>
      <c r="DH30" s="620"/>
      <c r="DT30" s="302"/>
      <c r="DU30" s="302"/>
      <c r="DV30" s="302"/>
      <c r="DW30" s="299"/>
      <c r="DX30" s="299"/>
      <c r="DY30" s="299"/>
      <c r="DZ30" s="299"/>
      <c r="EA30" s="299"/>
      <c r="EB30" s="299"/>
      <c r="EC30" s="299"/>
      <c r="ED30" s="318"/>
    </row>
    <row r="31" spans="6:134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688</v>
      </c>
      <c r="BK31" s="257">
        <v>31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375"/>
      <c r="CA31" s="375"/>
      <c r="CB31" s="375"/>
      <c r="CD31" s="57" t="s">
        <v>781</v>
      </c>
      <c r="CE31" s="290" t="s">
        <v>810</v>
      </c>
      <c r="CJ31" s="631" t="s">
        <v>781</v>
      </c>
      <c r="CK31" s="647" t="s">
        <v>810</v>
      </c>
      <c r="CN31" s="319"/>
      <c r="CP31" s="57" t="s">
        <v>781</v>
      </c>
      <c r="CQ31" s="290" t="s">
        <v>810</v>
      </c>
      <c r="CS31" s="395">
        <v>46182</v>
      </c>
      <c r="CT31" s="612">
        <v>4.70928210670956E-2</v>
      </c>
      <c r="CU31" s="612">
        <v>6.7940145723899906E-2</v>
      </c>
      <c r="CV31" s="613">
        <v>4.8535758157441003E-2</v>
      </c>
      <c r="CW31" s="598">
        <v>4.2075621728100199E-2</v>
      </c>
      <c r="CX31" s="401">
        <f t="shared" si="10"/>
        <v>-2.5864523995799709</v>
      </c>
      <c r="CY31" s="401"/>
      <c r="CZ31" s="206"/>
      <c r="DA31" s="206"/>
      <c r="DB31" s="200">
        <f t="shared" si="7"/>
        <v>46182</v>
      </c>
      <c r="DC31" s="207">
        <f>USD_CURVES!N31</f>
        <v>8.2979186345217837E-3</v>
      </c>
      <c r="DD31" s="207">
        <f t="shared" si="8"/>
        <v>6.7940145723899906E-2</v>
      </c>
      <c r="DE31" s="207">
        <f>SAR_CURVES!CQ31</f>
        <v>2.9394318634719099E-2</v>
      </c>
      <c r="DF31" s="207">
        <f>ZAR_CURVES!CU31</f>
        <v>8.8556201067135396E-2</v>
      </c>
      <c r="DG31">
        <f>EUR_CURVES!CU31</f>
        <v>-2.29502736928309E-3</v>
      </c>
      <c r="DH31" s="620"/>
      <c r="DT31" s="299"/>
      <c r="DU31" s="299"/>
      <c r="DV31" s="299"/>
      <c r="DW31" s="299"/>
      <c r="DX31" s="299"/>
      <c r="DY31" s="299"/>
      <c r="DZ31" s="299"/>
      <c r="EA31" s="299"/>
      <c r="EB31" s="299"/>
      <c r="EC31" s="299"/>
      <c r="ED31" s="318"/>
    </row>
    <row r="32" spans="6:134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817</v>
      </c>
      <c r="BK32" s="258">
        <f>IF(INDEX('STATIC DATA'!C49:AB49,1,MATCH($A$1,'STATIC DATA'!C4:AB4,0))=4,10000,IF(INDEX('STATIC DATA'!C49:AB49,1,MATCH($A$1,'STATIC DATA'!C4:AB4,0))=3,1000,100))</f>
        <v>10000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376"/>
      <c r="CA32" s="375"/>
      <c r="CB32" s="375"/>
      <c r="CN32" s="319"/>
      <c r="CS32" s="395">
        <v>46274</v>
      </c>
      <c r="CT32" s="612">
        <v>4.7122439058426002E-2</v>
      </c>
      <c r="CU32" s="612">
        <v>6.8715695912726804E-2</v>
      </c>
      <c r="CV32" s="613">
        <v>4.8565142610871498E-2</v>
      </c>
      <c r="CW32" s="598">
        <v>4.2169041845955303E-2</v>
      </c>
      <c r="CX32" s="401">
        <f t="shared" si="10"/>
        <v>-2.6546654066771502</v>
      </c>
      <c r="CY32" s="401"/>
      <c r="CZ32" s="206"/>
      <c r="DA32" s="206"/>
      <c r="DB32" s="200">
        <f t="shared" si="7"/>
        <v>46274</v>
      </c>
      <c r="DC32" s="207">
        <f>USD_CURVES!N32</f>
        <v>8.7165329306196689E-3</v>
      </c>
      <c r="DD32" s="207">
        <f t="shared" si="8"/>
        <v>6.8715695912726804E-2</v>
      </c>
      <c r="DE32" s="207">
        <f>SAR_CURVES!CQ32</f>
        <v>2.9724507095536201E-2</v>
      </c>
      <c r="DF32" s="207">
        <f>ZAR_CURVES!CU32</f>
        <v>9.14181718317012E-2</v>
      </c>
      <c r="DG32">
        <f>EUR_CURVES!CU32</f>
        <v>-1.99573899235166E-3</v>
      </c>
      <c r="DH32" s="620"/>
      <c r="DT32" s="206"/>
      <c r="DU32" s="206"/>
      <c r="DV32" s="299"/>
      <c r="DW32" s="299"/>
      <c r="DX32" s="299"/>
      <c r="DY32" s="299"/>
      <c r="DZ32" s="299"/>
      <c r="EA32" s="299"/>
      <c r="EB32" s="299"/>
      <c r="EC32" s="299"/>
      <c r="ED32" s="318"/>
    </row>
    <row r="33" spans="6:134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MWB</v>
      </c>
      <c r="T33" s="53"/>
      <c r="AA33" s="203"/>
      <c r="AB33" s="50"/>
      <c r="AC33" s="222" t="s">
        <v>755</v>
      </c>
      <c r="AD33" s="216" t="str">
        <f>INDEX('STATIC DATA'!C7:AB7,1,MATCH($A$1,'STATIC DATA'!C4:AB4,0))</f>
        <v>1D</v>
      </c>
      <c r="AE33" s="53"/>
      <c r="AH33" s="5"/>
      <c r="AI33" s="5"/>
      <c r="AJ33" s="5"/>
      <c r="AK33" s="5"/>
      <c r="AM33" s="50"/>
      <c r="AN33" s="222" t="s">
        <v>755</v>
      </c>
      <c r="AO33" s="216" t="str">
        <f>INDEX('STATIC DATA'!C7:AB7,1,MATCH($A$1,'STATIC DATA'!C4:AB4,0))</f>
        <v>1D</v>
      </c>
      <c r="AP33" s="53"/>
      <c r="AX33" s="50"/>
      <c r="AY33" s="222" t="s">
        <v>755</v>
      </c>
      <c r="AZ33" s="216" t="str">
        <f>INDEX('STATIC DATA'!N7:AL7,1,MATCH($A$1,'STATIC DATA'!N4:AL4,0))</f>
        <v>1D</v>
      </c>
      <c r="BA33" s="53"/>
      <c r="BI33" s="50"/>
      <c r="BJ33" s="234" t="s">
        <v>818</v>
      </c>
      <c r="BK33" s="259" t="b">
        <v>1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N33" s="319"/>
      <c r="CS33" s="395">
        <v>46365</v>
      </c>
      <c r="CT33" s="612">
        <v>4.7172842648967497E-2</v>
      </c>
      <c r="CU33" s="612">
        <v>6.9381720296353103E-2</v>
      </c>
      <c r="CV33" s="613">
        <v>4.8582130680127199E-2</v>
      </c>
      <c r="CW33" s="598">
        <v>4.2218013288202599E-2</v>
      </c>
      <c r="CX33" s="401">
        <f t="shared" si="10"/>
        <v>-2.7163707008150504</v>
      </c>
      <c r="CY33" s="401"/>
      <c r="CZ33" s="206"/>
      <c r="DA33" s="206"/>
      <c r="DB33" s="200">
        <f t="shared" si="7"/>
        <v>46365</v>
      </c>
      <c r="DC33" s="207">
        <f>USD_CURVES!N33</f>
        <v>9.0970629303765774E-3</v>
      </c>
      <c r="DD33" s="207">
        <f t="shared" si="8"/>
        <v>6.9381720296353103E-2</v>
      </c>
      <c r="DE33" s="207">
        <f>SAR_CURVES!CQ33</f>
        <v>3.0182487310732101E-2</v>
      </c>
      <c r="DF33" s="207">
        <f>ZAR_CURVES!CU33</f>
        <v>9.3905956523237896E-2</v>
      </c>
      <c r="DG33">
        <f>EUR_CURVES!CU33</f>
        <v>-1.7036210783527E-3</v>
      </c>
      <c r="DH33" s="620"/>
      <c r="DT33" s="206"/>
      <c r="DU33" s="206"/>
      <c r="DV33" s="299"/>
      <c r="DW33" s="299"/>
      <c r="DX33" s="299"/>
      <c r="DY33" s="299"/>
      <c r="DZ33" s="299"/>
      <c r="EA33" s="299"/>
      <c r="EB33" s="299"/>
      <c r="EC33" s="299"/>
      <c r="ED33" s="318"/>
    </row>
    <row r="34" spans="6:134" x14ac:dyDescent="0.25">
      <c r="F34" s="50"/>
      <c r="G34" s="222" t="s">
        <v>697</v>
      </c>
      <c r="H34" s="223">
        <v>1E-10</v>
      </c>
      <c r="I34" s="53"/>
      <c r="Q34" s="50"/>
      <c r="R34" s="222" t="s">
        <v>678</v>
      </c>
      <c r="S34" s="223" t="str">
        <f>INDEX('STATIC DATA'!C55:AB55,1,MATCH($A$1,'STATIC DATA'!C4:AB4,0))</f>
        <v>ACT/ACT</v>
      </c>
      <c r="T34" s="53"/>
      <c r="AA34" s="203"/>
      <c r="AB34" s="50"/>
      <c r="AC34" s="245" t="s">
        <v>756</v>
      </c>
      <c r="AD34" s="247" t="s">
        <v>961</v>
      </c>
      <c r="AE34" s="249" t="s">
        <v>801</v>
      </c>
      <c r="AM34" s="50"/>
      <c r="AN34" s="234" t="s">
        <v>756</v>
      </c>
      <c r="AO34" s="247" t="str">
        <f>$A$1&amp;"3M"</f>
        <v>RUB3M</v>
      </c>
      <c r="AP34" s="249" t="s">
        <v>801</v>
      </c>
      <c r="AX34" s="50"/>
      <c r="AY34" s="245" t="s">
        <v>756</v>
      </c>
      <c r="AZ34" s="244" t="str">
        <f>"AGAINST:MOS3M"</f>
        <v>AGAINST:MOS3M</v>
      </c>
      <c r="BA34" s="53"/>
      <c r="BI34" s="50"/>
      <c r="BJ34" s="225" t="s">
        <v>679</v>
      </c>
      <c r="BK34" s="240" t="s">
        <v>729</v>
      </c>
      <c r="BL34" s="53"/>
      <c r="BT34" s="50"/>
      <c r="BU34" s="55"/>
      <c r="BV34" s="55"/>
      <c r="BW34" s="55"/>
      <c r="BX34" s="332"/>
      <c r="BY34" s="206"/>
      <c r="BZ34" s="206"/>
      <c r="CA34" s="305"/>
      <c r="CB34" s="299"/>
      <c r="CN34" s="331"/>
      <c r="CS34" s="396">
        <v>46455</v>
      </c>
      <c r="CT34" s="614">
        <v>4.71935366708559E-2</v>
      </c>
      <c r="CU34" s="614">
        <v>6.9967677430602504E-2</v>
      </c>
      <c r="CV34" s="615">
        <v>4.8619436941167597E-2</v>
      </c>
      <c r="CW34" s="598">
        <v>4.2281578008382698E-2</v>
      </c>
      <c r="CX34" s="401">
        <f t="shared" si="10"/>
        <v>-2.7686099422219805</v>
      </c>
      <c r="CY34" s="401"/>
      <c r="CZ34" s="206"/>
      <c r="DA34" s="206"/>
      <c r="DB34" s="200">
        <f t="shared" si="7"/>
        <v>46455</v>
      </c>
      <c r="DC34" s="207">
        <f>USD_CURVES!N34</f>
        <v>9.4414718246386021E-3</v>
      </c>
      <c r="DD34" s="207">
        <f t="shared" si="8"/>
        <v>6.9967677430602504E-2</v>
      </c>
      <c r="DE34" s="207">
        <f>SAR_CURVES!CQ34</f>
        <v>3.0852728496752999E-2</v>
      </c>
      <c r="DF34" s="207">
        <f>ZAR_CURVES!CU34</f>
        <v>9.6017356311384E-2</v>
      </c>
      <c r="DG34">
        <f>EUR_CURVES!CU34</f>
        <v>-1.41493139303091E-3</v>
      </c>
      <c r="DH34" s="620"/>
      <c r="DT34" s="206"/>
      <c r="DU34" s="206"/>
      <c r="DV34" s="299"/>
      <c r="DW34" s="299"/>
      <c r="DX34" s="299"/>
      <c r="DY34" s="299"/>
      <c r="DZ34" s="299"/>
      <c r="EA34" s="299"/>
      <c r="EB34" s="299"/>
      <c r="EC34" s="299"/>
      <c r="ED34" s="330"/>
    </row>
    <row r="35" spans="6:134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tr">
        <f>$A$1&amp;"3M"</f>
        <v>RUB3M</v>
      </c>
      <c r="AP35" s="53"/>
      <c r="AX35" s="50"/>
      <c r="AY35" s="233" t="s">
        <v>757</v>
      </c>
      <c r="AZ35" s="244" t="str">
        <f>"AGAINST:MOS3M"</f>
        <v>AGAINST:MOS3M</v>
      </c>
      <c r="BA35" s="53"/>
      <c r="BI35" s="50"/>
      <c r="BJ35" s="234" t="s">
        <v>819</v>
      </c>
      <c r="BK35" s="259" t="b">
        <v>0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N35" s="299"/>
      <c r="CS35" s="397">
        <v>46547</v>
      </c>
      <c r="CT35" s="608">
        <v>4.7183338498043001E-2</v>
      </c>
      <c r="CU35" s="608">
        <v>7.0442373338528694E-2</v>
      </c>
      <c r="CV35" s="608">
        <v>4.8679778634889301E-2</v>
      </c>
      <c r="CW35" s="598">
        <v>4.2352775926360102E-2</v>
      </c>
      <c r="CX35" s="401">
        <f t="shared" si="10"/>
        <v>-2.8089597412168592</v>
      </c>
      <c r="CY35" s="401"/>
      <c r="CZ35" s="206"/>
      <c r="DA35" s="206"/>
      <c r="DB35" s="200">
        <f t="shared" si="7"/>
        <v>46547</v>
      </c>
      <c r="DC35" s="207">
        <f>USD_CURVES!N35</f>
        <v>9.7539232165288151E-3</v>
      </c>
      <c r="DD35" s="207">
        <f t="shared" si="8"/>
        <v>7.0442373338528694E-2</v>
      </c>
      <c r="DE35" s="207">
        <f>SAR_CURVES!CQ35</f>
        <v>3.1751914557286098E-2</v>
      </c>
      <c r="DF35" s="207">
        <f>ZAR_CURVES!CU35</f>
        <v>9.7693984589186003E-2</v>
      </c>
      <c r="DG35">
        <f>EUR_CURVES!CU35</f>
        <v>-1.12484803871582E-3</v>
      </c>
      <c r="DH35" s="620"/>
      <c r="DT35" s="299"/>
      <c r="DU35" s="299"/>
      <c r="DV35" s="299"/>
      <c r="DW35" s="299"/>
      <c r="DX35" s="299"/>
      <c r="DY35" s="299"/>
      <c r="DZ35" s="299"/>
      <c r="EA35" s="299"/>
      <c r="EB35" s="299"/>
      <c r="EC35" s="299"/>
      <c r="ED35" s="299"/>
    </row>
    <row r="36" spans="6:134" x14ac:dyDescent="0.25">
      <c r="F36" s="50"/>
      <c r="G36" s="222" t="s">
        <v>699</v>
      </c>
      <c r="H36" s="223" t="s">
        <v>1318</v>
      </c>
      <c r="I36" s="53"/>
      <c r="Q36" s="50"/>
      <c r="R36" s="222" t="s">
        <v>683</v>
      </c>
      <c r="S36" s="223" t="str">
        <f>INDEX('STATIC DATA'!C7:AB7,1,MATCH($A$1,'STATIC DATA'!C4:AB4,0))</f>
        <v>1D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85"/>
      <c r="BK36" s="85"/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N36" s="299"/>
      <c r="CS36" s="397">
        <v>46639</v>
      </c>
      <c r="CT36" s="608">
        <v>4.7140000647883103E-2</v>
      </c>
      <c r="CU36" s="608">
        <v>7.0815491451007406E-2</v>
      </c>
      <c r="CV36" s="608">
        <v>4.8763748030406097E-2</v>
      </c>
      <c r="CW36" s="598">
        <v>4.2434911367068097E-2</v>
      </c>
      <c r="CX36" s="401">
        <f t="shared" si="10"/>
        <v>-2.8380580083939311</v>
      </c>
      <c r="CY36" s="401"/>
      <c r="CZ36" s="206"/>
      <c r="DA36" s="206"/>
      <c r="DB36" s="200">
        <f t="shared" si="7"/>
        <v>46639</v>
      </c>
      <c r="DC36" s="207">
        <f>USD_CURVES!N36</f>
        <v>1.0027995478711792E-2</v>
      </c>
      <c r="DD36" s="207">
        <f t="shared" si="8"/>
        <v>7.0815491451007406E-2</v>
      </c>
      <c r="DE36" s="207">
        <f>SAR_CURVES!CQ36</f>
        <v>3.2782722281717899E-2</v>
      </c>
      <c r="DF36" s="207">
        <f>ZAR_CURVES!CU36</f>
        <v>9.9024569851123803E-2</v>
      </c>
      <c r="DG36">
        <f>EUR_CURVES!CU36</f>
        <v>-8.4647360657608302E-4</v>
      </c>
      <c r="DH36" s="620"/>
      <c r="DT36" s="299"/>
      <c r="DU36" s="299"/>
      <c r="DV36" s="299"/>
      <c r="DW36" s="299"/>
      <c r="DX36" s="299"/>
      <c r="DY36" s="299"/>
      <c r="DZ36" s="299"/>
      <c r="EA36" s="299"/>
      <c r="EB36" s="299"/>
      <c r="EC36" s="299"/>
      <c r="ED36" s="299"/>
    </row>
    <row r="37" spans="6:134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ACT/ACT</v>
      </c>
      <c r="AE37" s="53"/>
      <c r="AG37" s="2" t="s">
        <v>662</v>
      </c>
      <c r="AM37" s="50"/>
      <c r="AN37" s="222" t="s">
        <v>759</v>
      </c>
      <c r="AO37" s="216" t="str">
        <f>INDEX('STATIC DATA'!C55:AB55,1,MATCH($A$1,'STATIC DATA'!C4:AB4,0))</f>
        <v>ACT/ACT</v>
      </c>
      <c r="AP37" s="53"/>
      <c r="AX37" s="50"/>
      <c r="AY37" s="222" t="s">
        <v>759</v>
      </c>
      <c r="AZ37" s="216" t="str">
        <f>INDEX('STATIC DATA'!Y55:AY55,1,MATCH($A$1,'STATIC DATA'!Y4:AV4,0))</f>
        <v>ACT/ACT</v>
      </c>
      <c r="BA37" s="53"/>
      <c r="BI37" s="50"/>
      <c r="BJ37" s="54" t="s">
        <v>807</v>
      </c>
      <c r="BK37" s="85"/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621" t="s">
        <v>662</v>
      </c>
      <c r="CN37" s="299"/>
      <c r="CP37" s="2" t="s">
        <v>662</v>
      </c>
      <c r="CS37" s="397">
        <v>46730</v>
      </c>
      <c r="CT37" s="608">
        <v>4.70907912818768E-2</v>
      </c>
      <c r="CU37" s="608">
        <v>7.13142902171435E-2</v>
      </c>
      <c r="CV37" s="608">
        <v>4.8847393330388102E-2</v>
      </c>
      <c r="CW37" s="598">
        <v>4.2416041214703597E-2</v>
      </c>
      <c r="CX37" s="401">
        <f t="shared" si="10"/>
        <v>-2.8898249002439904</v>
      </c>
      <c r="CY37" s="401"/>
      <c r="CZ37" s="206"/>
      <c r="DA37" s="206"/>
      <c r="DB37" s="200">
        <f t="shared" si="7"/>
        <v>46730</v>
      </c>
      <c r="DC37" s="207">
        <f>USD_CURVES!N37</f>
        <v>1.0316042750536113E-2</v>
      </c>
      <c r="DD37" s="207">
        <f t="shared" si="8"/>
        <v>7.13142902171435E-2</v>
      </c>
      <c r="DE37" s="207">
        <f>SAR_CURVES!CQ37</f>
        <v>3.3787643111184297E-2</v>
      </c>
      <c r="DF37" s="207">
        <f>ZAR_CURVES!CU37</f>
        <v>0.100480997173888</v>
      </c>
      <c r="DG37">
        <f>EUR_CURVES!CU37</f>
        <v>-5.6581265527913505E-4</v>
      </c>
      <c r="DH37" s="620"/>
      <c r="DU37" s="383"/>
      <c r="DW37" s="299"/>
      <c r="DX37" s="299"/>
      <c r="DY37" s="299"/>
      <c r="DZ37" s="299"/>
      <c r="EA37" s="299"/>
      <c r="EB37" s="299"/>
      <c r="EC37" s="299"/>
      <c r="ED37" s="299"/>
    </row>
    <row r="38" spans="6:134" x14ac:dyDescent="0.25">
      <c r="F38" s="50"/>
      <c r="G38" s="222"/>
      <c r="H38" s="223"/>
      <c r="I38" s="53"/>
      <c r="K38" t="s">
        <v>434</v>
      </c>
      <c r="L38" t="str">
        <f>$A$1</f>
        <v>RUB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RUB</v>
      </c>
      <c r="AB38" s="50"/>
      <c r="AC38" s="222" t="s">
        <v>760</v>
      </c>
      <c r="AD38" s="216" t="str">
        <f>INDEX('STATIC DATA'!C39:AB39,1,MATCH($A$1,'STATIC DATA'!$C$4:$AB$4,0))</f>
        <v>MWB</v>
      </c>
      <c r="AE38" s="53"/>
      <c r="AG38" t="s">
        <v>434</v>
      </c>
      <c r="AH38" t="str">
        <f>$A$1</f>
        <v>RUB</v>
      </c>
      <c r="AM38" s="50"/>
      <c r="AN38" s="222" t="s">
        <v>760</v>
      </c>
      <c r="AO38" s="216" t="str">
        <f>INDEX('STATIC DATA'!C39:AB39,1,MATCH($A$1,'STATIC DATA'!$C$4:$AB$4,0))</f>
        <v>MWB</v>
      </c>
      <c r="AP38" s="53"/>
      <c r="AX38" s="50"/>
      <c r="AY38" s="222" t="s">
        <v>760</v>
      </c>
      <c r="AZ38" s="216" t="str">
        <f>INDEX('STATIC DATA'!C39:AB39,1,MATCH($A$1,'STATIC DATA'!$C$4:$AB$4,0))</f>
        <v>MWB</v>
      </c>
      <c r="BA38" s="53"/>
      <c r="BI38" s="50"/>
      <c r="BJ38" s="245" t="s">
        <v>749</v>
      </c>
      <c r="BK38" s="243" t="s">
        <v>803</v>
      </c>
      <c r="BL38" s="53"/>
      <c r="BN38" t="s">
        <v>434</v>
      </c>
      <c r="BO38" t="str">
        <f>$A$1</f>
        <v>RUB</v>
      </c>
      <c r="BT38" s="50"/>
      <c r="BU38" s="55"/>
      <c r="BV38" s="55"/>
      <c r="BW38" s="55"/>
      <c r="BX38" s="332"/>
      <c r="BY38" s="147" t="s">
        <v>434</v>
      </c>
      <c r="BZ38" s="238" t="s">
        <v>938</v>
      </c>
      <c r="CA38" s="305"/>
      <c r="CB38" s="299"/>
      <c r="CD38" t="s">
        <v>434</v>
      </c>
      <c r="CE38" t="str">
        <f>$A$1</f>
        <v>RUB</v>
      </c>
      <c r="CJ38" s="620" t="s">
        <v>434</v>
      </c>
      <c r="CK38" s="620" t="str">
        <f>$A$1</f>
        <v>RUB</v>
      </c>
      <c r="CN38" s="299"/>
      <c r="CP38" t="s">
        <v>434</v>
      </c>
      <c r="CQ38" t="str">
        <f>$A$1</f>
        <v>RUB</v>
      </c>
      <c r="CS38" s="397">
        <v>46821</v>
      </c>
      <c r="CT38" s="608">
        <v>4.7192969883062597E-2</v>
      </c>
      <c r="CU38" s="608">
        <v>7.1733556747839003E-2</v>
      </c>
      <c r="CV38" s="608">
        <v>4.8903367993117397E-2</v>
      </c>
      <c r="CW38" s="598">
        <v>4.2364295419304102E-2</v>
      </c>
      <c r="CX38" s="401">
        <f t="shared" si="10"/>
        <v>-2.9369261328534901</v>
      </c>
      <c r="CY38" s="401"/>
      <c r="CZ38" s="206"/>
      <c r="DA38" s="206"/>
      <c r="DB38" s="200">
        <f t="shared" si="7"/>
        <v>46821</v>
      </c>
      <c r="DC38" s="207">
        <f>USD_CURVES!N38</f>
        <v>1.0630796525953605E-2</v>
      </c>
      <c r="DD38" s="207">
        <f t="shared" si="8"/>
        <v>7.1733556747839003E-2</v>
      </c>
      <c r="DE38" s="207">
        <f>SAR_CURVES!CQ38</f>
        <v>3.4709506620286899E-2</v>
      </c>
      <c r="DF38" s="207">
        <f>ZAR_CURVES!CU38</f>
        <v>0.102192976326997</v>
      </c>
      <c r="DG38">
        <f>EUR_CURVES!CU38</f>
        <v>-2.8076475437465001E-4</v>
      </c>
      <c r="DH38" s="620"/>
      <c r="DU38" s="299"/>
      <c r="DV38" s="299"/>
      <c r="DW38" s="383"/>
      <c r="DX38" s="299"/>
      <c r="DY38" s="299"/>
      <c r="DZ38" s="299"/>
      <c r="EA38" s="299"/>
      <c r="EB38" s="299"/>
      <c r="EC38" s="299"/>
      <c r="ED38" s="299"/>
    </row>
    <row r="39" spans="6:134" x14ac:dyDescent="0.25">
      <c r="F39" s="50"/>
      <c r="G39" s="225"/>
      <c r="H39" s="226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33" t="s">
        <v>750</v>
      </c>
      <c r="BK39" s="230" t="b">
        <v>0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s="620" t="s">
        <v>435</v>
      </c>
      <c r="CK39" s="620" t="s">
        <v>1084</v>
      </c>
      <c r="CN39" s="299"/>
      <c r="CP39" t="s">
        <v>435</v>
      </c>
      <c r="CQ39" t="s">
        <v>1084</v>
      </c>
      <c r="CS39" s="397">
        <v>46913</v>
      </c>
      <c r="CT39" s="608">
        <v>4.7196115756393098E-2</v>
      </c>
      <c r="CU39" s="608">
        <v>7.2035031878300307E-2</v>
      </c>
      <c r="CV39" s="608">
        <v>4.8937179104020297E-2</v>
      </c>
      <c r="CW39" s="598">
        <v>4.2306269349227502E-2</v>
      </c>
      <c r="CX39" s="401">
        <f t="shared" si="10"/>
        <v>-2.9728762529072803</v>
      </c>
      <c r="CY39" s="401"/>
      <c r="CZ39" s="206"/>
      <c r="DA39" s="206"/>
      <c r="DB39" s="200">
        <f t="shared" si="7"/>
        <v>46913</v>
      </c>
      <c r="DC39" s="207">
        <f>USD_CURVES!N39</f>
        <v>1.0972121274492853E-2</v>
      </c>
      <c r="DD39" s="207">
        <f t="shared" si="8"/>
        <v>7.2035031878300307E-2</v>
      </c>
      <c r="DE39" s="207">
        <f>SAR_CURVES!CQ39</f>
        <v>3.55425414494214E-2</v>
      </c>
      <c r="DF39" s="207">
        <f>ZAR_CURVES!CU39</f>
        <v>0.10418871245010899</v>
      </c>
      <c r="DG39">
        <f>EUR_CURVES!CU39</f>
        <v>8.4925416301571196E-6</v>
      </c>
      <c r="DH39" s="620"/>
      <c r="DU39" s="299"/>
      <c r="DV39" s="303"/>
      <c r="DW39" s="383"/>
      <c r="DX39" s="299"/>
      <c r="DY39" s="299"/>
      <c r="DZ39" s="299"/>
      <c r="EA39" s="299"/>
      <c r="EB39" s="299"/>
      <c r="EC39" s="299"/>
      <c r="ED39" s="299"/>
    </row>
    <row r="40" spans="6:134" x14ac:dyDescent="0.25">
      <c r="F40" s="50"/>
      <c r="G40" s="52"/>
      <c r="H40" s="52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MWB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MWB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DATA'!C39:AB39,1,MATCH($A$1,'STATIC DATA'!$C$4:$AB$4,0))</f>
        <v>MWB</v>
      </c>
      <c r="AP40" s="53"/>
      <c r="AX40" s="50"/>
      <c r="AY40" s="225" t="s">
        <v>762</v>
      </c>
      <c r="AZ40" s="219" t="str">
        <f>INDEX('STATIC DATA'!C39:AB39,1,MATCH($A$1,'STATIC DATA'!$C$4:$AB$4,0))</f>
        <v>MWB</v>
      </c>
      <c r="BA40" s="53"/>
      <c r="BI40" s="50"/>
      <c r="BJ40" s="222" t="s">
        <v>751</v>
      </c>
      <c r="BK40" s="468" t="str">
        <f>INDEX('STATIC DATA'!C30:AF30,1,MATCH($A$1,'STATIC DATA'!$C$4:$AF$4,0))</f>
        <v>MWB:NYB:LNB</v>
      </c>
      <c r="BL40" s="53"/>
      <c r="BN40" t="s">
        <v>438</v>
      </c>
      <c r="BO40" t="str">
        <f>BK13</f>
        <v>ANNUAL</v>
      </c>
      <c r="BT40" s="50"/>
      <c r="BU40" s="55"/>
      <c r="BV40" s="55"/>
      <c r="BW40" s="55"/>
      <c r="BX40" s="332"/>
      <c r="BY40" s="149" t="s">
        <v>440</v>
      </c>
      <c r="BZ40" s="275">
        <f>'STATIC DATA'!Z5</f>
        <v>44083</v>
      </c>
      <c r="CA40" s="324"/>
      <c r="CB40" s="303"/>
      <c r="CD40" t="s">
        <v>438</v>
      </c>
      <c r="CE40" t="s">
        <v>439</v>
      </c>
      <c r="CJ40" s="620" t="s">
        <v>438</v>
      </c>
      <c r="CK40" s="620" t="s">
        <v>439</v>
      </c>
      <c r="CN40" s="299"/>
      <c r="CP40" t="s">
        <v>438</v>
      </c>
      <c r="CQ40" t="s">
        <v>439</v>
      </c>
      <c r="CS40" s="397">
        <v>47007</v>
      </c>
      <c r="CT40" s="608">
        <v>4.7213135694234201E-2</v>
      </c>
      <c r="CU40" s="608">
        <v>7.2356508110855505E-2</v>
      </c>
      <c r="CV40" s="608">
        <v>4.8925834813761199E-2</v>
      </c>
      <c r="CW40" s="598">
        <v>4.2232861062475202E-2</v>
      </c>
      <c r="CX40" s="401">
        <f t="shared" si="10"/>
        <v>-3.0123647048380304</v>
      </c>
      <c r="CY40" s="401"/>
      <c r="CZ40" s="206"/>
      <c r="DA40" s="206"/>
      <c r="DB40" s="200">
        <f t="shared" si="7"/>
        <v>47007</v>
      </c>
      <c r="DC40" s="207">
        <f>USD_CURVES!N40</f>
        <v>1.1330477164789922E-2</v>
      </c>
      <c r="DD40" s="207">
        <f t="shared" si="8"/>
        <v>7.2356508110855505E-2</v>
      </c>
      <c r="DE40" s="207">
        <f>SAR_CURVES!CQ40</f>
        <v>3.62918532461836E-2</v>
      </c>
      <c r="DF40" s="207">
        <f>ZAR_CURVES!CU40</f>
        <v>0.106221284697264</v>
      </c>
      <c r="DG40">
        <f>EUR_CURVES!CU40</f>
        <v>3.0564712658062899E-4</v>
      </c>
      <c r="DH40" s="620"/>
      <c r="DU40" s="303"/>
      <c r="DV40" s="299"/>
      <c r="DW40" s="383"/>
      <c r="DX40" s="299"/>
      <c r="DY40" s="299"/>
      <c r="DZ40" s="299"/>
      <c r="EA40" s="299"/>
      <c r="EB40" s="299"/>
      <c r="EC40" s="299"/>
      <c r="ED40" s="299"/>
    </row>
    <row r="41" spans="6:134" x14ac:dyDescent="0.25">
      <c r="F41" s="50"/>
      <c r="G41" s="54" t="s">
        <v>702</v>
      </c>
      <c r="H41" s="227" t="s">
        <v>703</v>
      </c>
      <c r="I41" s="53"/>
      <c r="K41" t="s">
        <v>440</v>
      </c>
      <c r="L41" s="275">
        <f>'STATIC DATA'!Z5</f>
        <v>44083</v>
      </c>
      <c r="Q41" s="50"/>
      <c r="R41" s="222" t="s">
        <v>731</v>
      </c>
      <c r="S41" s="223" t="str">
        <f>INDEX('STATIC DATA'!C55:AB55,1,MATCH($A$1,'STATIC DATA'!C4:AB4,0))</f>
        <v>ACT/ACT</v>
      </c>
      <c r="T41" s="53"/>
      <c r="V41" t="s">
        <v>440</v>
      </c>
      <c r="W41" s="275">
        <f>'STATIC DATA'!Z5</f>
        <v>44083</v>
      </c>
      <c r="AB41" s="50"/>
      <c r="AC41" s="225" t="s">
        <v>763</v>
      </c>
      <c r="AD41" s="219" t="str">
        <f>INDEX('STATIC DATA'!C7:AB7,1,MATCH($A$1,'STATIC DATA'!C4:AB4,0))</f>
        <v>1D</v>
      </c>
      <c r="AE41" s="53"/>
      <c r="AG41" t="s">
        <v>440</v>
      </c>
      <c r="AH41" s="275">
        <f>'STATIC DATA'!Z5</f>
        <v>44083</v>
      </c>
      <c r="AM41" s="50"/>
      <c r="AN41" s="225" t="s">
        <v>763</v>
      </c>
      <c r="AO41" s="219" t="str">
        <f>INDEX('STATIC DATA'!C7:AB7,1,MATCH($A$1,'STATIC DATA'!C4:AB4,0))</f>
        <v>1D</v>
      </c>
      <c r="AP41" s="53"/>
      <c r="AX41" s="50"/>
      <c r="AY41" s="225" t="s">
        <v>763</v>
      </c>
      <c r="AZ41" s="216" t="str">
        <f>INDEX('STATIC DATA'!C7:AB7,1,MATCH($A$1,'STATIC DATA'!C4:AB4,0))</f>
        <v>1D</v>
      </c>
      <c r="BA41" s="53"/>
      <c r="BI41" s="50"/>
      <c r="BJ41" s="222" t="s">
        <v>752</v>
      </c>
      <c r="BK41" s="216" t="str">
        <f>INDEX('STATIC DATA'!C55:AB55,1,MATCH("USD",'STATIC DATA'!C4:AB4,0))</f>
        <v>ACT/360</v>
      </c>
      <c r="BL41" s="53"/>
      <c r="BN41" t="s">
        <v>440</v>
      </c>
      <c r="BO41" s="275">
        <f>'STATIC DATA'!Z5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DATA'!Z5</f>
        <v>44083</v>
      </c>
      <c r="CJ41" s="620" t="s">
        <v>440</v>
      </c>
      <c r="CK41" s="646">
        <f>'STATIC DATA'!AF5</f>
        <v>44083</v>
      </c>
      <c r="CN41" s="299"/>
      <c r="CP41" t="s">
        <v>440</v>
      </c>
      <c r="CQ41" s="275">
        <f>'STATIC DATA'!AF5</f>
        <v>44083</v>
      </c>
      <c r="CS41" s="397">
        <v>47098</v>
      </c>
      <c r="CT41" s="608">
        <v>4.7245460124878298E-2</v>
      </c>
      <c r="CU41" s="608">
        <v>7.2557598147363206E-2</v>
      </c>
      <c r="CV41" s="608">
        <v>4.8937791786852897E-2</v>
      </c>
      <c r="CW41" s="598">
        <v>4.2278125608377203E-2</v>
      </c>
      <c r="CX41" s="401">
        <f t="shared" si="10"/>
        <v>-3.0279472538986005</v>
      </c>
      <c r="CY41" s="401"/>
      <c r="CZ41" s="206"/>
      <c r="DA41" s="206"/>
      <c r="DB41" s="200">
        <f t="shared" si="7"/>
        <v>47098</v>
      </c>
      <c r="DC41" s="207">
        <f>USD_CURVES!N41</f>
        <v>1.1634924899090109E-2</v>
      </c>
      <c r="DD41" s="207">
        <f t="shared" si="8"/>
        <v>7.2557598147363206E-2</v>
      </c>
      <c r="DE41" s="207">
        <f>SAR_CURVES!CQ41</f>
        <v>3.6930769803966E-2</v>
      </c>
      <c r="DF41" s="207">
        <f>ZAR_CURVES!CU41</f>
        <v>0.107909298038185</v>
      </c>
      <c r="DG41">
        <f>EUR_CURVES!CU41</f>
        <v>6.0064262698237495E-4</v>
      </c>
      <c r="DH41" s="620"/>
      <c r="DU41" s="299"/>
      <c r="DV41" s="303"/>
      <c r="DW41" s="383"/>
      <c r="DX41" s="299"/>
      <c r="DY41" s="299"/>
      <c r="DZ41" s="299"/>
      <c r="EA41" s="299"/>
      <c r="EB41" s="299"/>
      <c r="EC41" s="299"/>
      <c r="ED41" s="299"/>
    </row>
    <row r="42" spans="6:134" x14ac:dyDescent="0.25">
      <c r="F42" s="50"/>
      <c r="G42" s="220" t="s">
        <v>704</v>
      </c>
      <c r="H42" s="221" t="str">
        <f>INDEX('STATIC DATA'!C43:AB43,1,MATCH(A1,'STATIC DATA'!$C$4:$AB$4,0))</f>
        <v>MWB</v>
      </c>
      <c r="I42" s="53"/>
      <c r="Q42" s="50"/>
      <c r="R42" s="222" t="s">
        <v>732</v>
      </c>
      <c r="S42" s="223" t="s">
        <v>28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5" t="s">
        <v>753</v>
      </c>
      <c r="BK42" s="219" t="s">
        <v>458</v>
      </c>
      <c r="BL42" s="249"/>
      <c r="BT42" s="50"/>
      <c r="BU42" s="55"/>
      <c r="BV42" s="55"/>
      <c r="BW42" s="55"/>
      <c r="BX42" s="332"/>
      <c r="BY42" s="299"/>
      <c r="BZ42" s="299"/>
      <c r="CA42" s="313"/>
      <c r="CB42" s="299"/>
      <c r="CN42" s="299"/>
      <c r="CS42" s="397">
        <v>47186</v>
      </c>
      <c r="CT42" s="608">
        <v>4.7147490246012003E-2</v>
      </c>
      <c r="CU42" s="608">
        <v>7.2920181166780507E-2</v>
      </c>
      <c r="CV42" s="608">
        <v>4.9020406738798997E-2</v>
      </c>
      <c r="CW42" s="598">
        <v>4.2350454351774501E-2</v>
      </c>
      <c r="CX42" s="401">
        <f t="shared" si="10"/>
        <v>-3.0569726815006004</v>
      </c>
      <c r="CY42" s="401"/>
      <c r="CZ42" s="206"/>
      <c r="DA42" s="206"/>
      <c r="DB42" s="200">
        <f t="shared" si="7"/>
        <v>47186</v>
      </c>
      <c r="DC42" s="207">
        <f>USD_CURVES!N42</f>
        <v>1.187515880823818E-2</v>
      </c>
      <c r="DD42" s="207">
        <f t="shared" si="8"/>
        <v>7.2920181166780507E-2</v>
      </c>
      <c r="DE42" s="207">
        <f>SAR_CURVES!CQ42</f>
        <v>3.7466679970070998E-2</v>
      </c>
      <c r="DF42" s="207">
        <f>ZAR_CURVES!CU42</f>
        <v>0.10915455421921599</v>
      </c>
      <c r="DG42">
        <f>EUR_CURVES!CU42</f>
        <v>8.9356928487559402E-4</v>
      </c>
      <c r="DH42" s="620"/>
      <c r="DU42" s="299"/>
      <c r="DV42" s="299"/>
      <c r="DW42" s="383"/>
      <c r="DX42" s="299"/>
      <c r="DY42" s="299"/>
      <c r="DZ42" s="299"/>
      <c r="EA42" s="299"/>
      <c r="EB42" s="299"/>
      <c r="EC42" s="299"/>
      <c r="ED42" s="299"/>
    </row>
    <row r="43" spans="6:134" x14ac:dyDescent="0.25">
      <c r="F43" s="50"/>
      <c r="G43" s="222" t="s">
        <v>705</v>
      </c>
      <c r="H43" s="223" t="str">
        <f>INDEX('STATIC DATA'!C55:AB55,1,MATCH(A1,'STATIC DATA'!C4:AB4,0))</f>
        <v>ACT/ACT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MWB</v>
      </c>
      <c r="AE43" s="53"/>
      <c r="AG43" s="2" t="s">
        <v>441</v>
      </c>
      <c r="AM43" s="50"/>
      <c r="AN43" s="222" t="s">
        <v>765</v>
      </c>
      <c r="AO43" s="216" t="str">
        <f>INDEX('STATIC DATA'!C39:AB39,1,MATCH($A$1,'STATIC DATA'!$C$4:$AB$4,0))</f>
        <v>MWB</v>
      </c>
      <c r="AP43" s="53"/>
      <c r="AX43" s="50"/>
      <c r="AY43" s="222" t="s">
        <v>765</v>
      </c>
      <c r="AZ43" s="216" t="str">
        <f>INDEX('STATIC DATA'!C39:AB39,1,MATCH($A$1,'STATIC DATA'!$C$4:$AB$4,0))</f>
        <v>MWB</v>
      </c>
      <c r="BA43" s="53"/>
      <c r="BI43" s="50"/>
      <c r="BJ43" s="222" t="s">
        <v>754</v>
      </c>
      <c r="BK43" s="216" t="s">
        <v>687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621" t="s">
        <v>441</v>
      </c>
      <c r="CN43" s="299"/>
      <c r="CP43" s="2" t="s">
        <v>441</v>
      </c>
      <c r="CS43" s="397">
        <v>47280</v>
      </c>
      <c r="CT43" s="608">
        <v>4.7160414355648397E-2</v>
      </c>
      <c r="CU43" s="608">
        <v>7.3372596864993506E-2</v>
      </c>
      <c r="CV43" s="608">
        <v>4.9164433892047603E-2</v>
      </c>
      <c r="CW43" s="598">
        <v>4.2424505528001498E-2</v>
      </c>
      <c r="CX43" s="401">
        <f t="shared" si="10"/>
        <v>-3.0948091336992007</v>
      </c>
      <c r="CY43" s="401"/>
      <c r="CZ43" s="206"/>
      <c r="DA43" s="206"/>
      <c r="DB43" s="200">
        <f t="shared" si="7"/>
        <v>47280</v>
      </c>
      <c r="DC43" s="207">
        <f>USD_CURVES!N43</f>
        <v>1.2069809739844029E-2</v>
      </c>
      <c r="DD43" s="207">
        <f t="shared" si="8"/>
        <v>7.3372596864993506E-2</v>
      </c>
      <c r="DE43" s="207">
        <f>SAR_CURVES!CQ43</f>
        <v>3.7940014435981002E-2</v>
      </c>
      <c r="DF43" s="207">
        <f>ZAR_CURVES!CU43</f>
        <v>0.10988233946451099</v>
      </c>
      <c r="DG43">
        <f>EUR_CURVES!CU43</f>
        <v>1.2113301655014999E-3</v>
      </c>
      <c r="DH43" s="620"/>
      <c r="DT43" s="299"/>
      <c r="DU43" s="299"/>
      <c r="DV43" s="303"/>
      <c r="DW43" s="383"/>
      <c r="DX43" s="299"/>
      <c r="DY43" s="299"/>
      <c r="DZ43" s="299"/>
      <c r="EA43" s="299"/>
      <c r="EB43" s="299"/>
      <c r="EC43" s="299"/>
      <c r="ED43" s="299"/>
    </row>
    <row r="44" spans="6:134" x14ac:dyDescent="0.25">
      <c r="F44" s="50"/>
      <c r="G44" s="222" t="s">
        <v>706</v>
      </c>
      <c r="H44" s="223" t="s">
        <v>439</v>
      </c>
      <c r="I44" s="53"/>
      <c r="K44" t="s">
        <v>442</v>
      </c>
      <c r="L44" s="206" t="str">
        <f>L38&amp;"_"&amp;L39&amp;"_CURVE_MARKETDATA"</f>
        <v>RUB_OIS_CURVE_MARKETDATA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RUB_SWAP_3M_CURVE_MARKETDATA</v>
      </c>
      <c r="AB44" s="50"/>
      <c r="AC44" s="222" t="s">
        <v>766</v>
      </c>
      <c r="AD44" s="216" t="str">
        <f>INDEX('STATIC DATA'!C55:AB55,1,MATCH($A$1,'STATIC DATA'!C4:AB4,0))</f>
        <v>ACT/ACT</v>
      </c>
      <c r="AE44" s="53"/>
      <c r="AG44" t="s">
        <v>442</v>
      </c>
      <c r="AH44" t="str">
        <f>A1&amp;"_BASIS_3M6M_MARKETDATA"</f>
        <v>RUB_BASIS_3M6M_MARKETDATA</v>
      </c>
      <c r="AM44" s="50"/>
      <c r="AN44" s="222" t="s">
        <v>766</v>
      </c>
      <c r="AO44" s="216" t="str">
        <f>INDEX('STATIC DATA'!C55:AB55,1,MATCH($A$1,'STATIC DATA'!C4:AB4,0))</f>
        <v>ACT/ACT</v>
      </c>
      <c r="AP44" s="53"/>
      <c r="AX44" s="50"/>
      <c r="AY44" s="222" t="s">
        <v>766</v>
      </c>
      <c r="AZ44" s="216" t="str">
        <f>INDEX('STATIC DATA'!Y55:AY55,1,MATCH($A$1,'STATIC DATA'!Y4:AV4,0))</f>
        <v>ACT/ACT</v>
      </c>
      <c r="BA44" s="53"/>
      <c r="BI44" s="50"/>
      <c r="BJ44" s="222" t="s">
        <v>755</v>
      </c>
      <c r="BK44" s="216" t="s">
        <v>621</v>
      </c>
      <c r="BL44" s="53"/>
      <c r="BN44" t="s">
        <v>442</v>
      </c>
      <c r="BO44" t="str">
        <f>A1&amp;"_"&amp;BO39&amp;"_CURVE_MARKETDATA"</f>
        <v>RUB_XCCYBASIS_CURVE_MARKETDATA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963</v>
      </c>
      <c r="CA44" s="325"/>
      <c r="CB44" s="303"/>
      <c r="CD44" t="s">
        <v>442</v>
      </c>
      <c r="CE44" t="str">
        <f>$A$1&amp;"_FXFWD_MARKET_DATA"</f>
        <v>RUB_FXFWD_MARKET_DATA</v>
      </c>
      <c r="CJ44" s="620" t="s">
        <v>442</v>
      </c>
      <c r="CK44" s="620" t="str">
        <f>$A$1&amp;"_FXFWD_MARKET_DATA"</f>
        <v>RUB_FXFWD_MARKET_DATA</v>
      </c>
      <c r="CN44" s="299"/>
      <c r="CP44" t="s">
        <v>442</v>
      </c>
      <c r="CQ44" t="str">
        <f>$A$1&amp;"_FXFWD_MARKET_DATA"</f>
        <v>RUB_FXFWD_MARKET_DATA</v>
      </c>
      <c r="CS44" s="617">
        <v>47371</v>
      </c>
      <c r="CT44" s="618">
        <v>4.7171678697441502E-2</v>
      </c>
      <c r="CU44" s="618">
        <v>7.3765436398048598E-2</v>
      </c>
      <c r="CV44" s="618">
        <v>4.9386046856635397E-2</v>
      </c>
      <c r="CW44" s="619">
        <v>4.2503287349092499E-2</v>
      </c>
      <c r="CX44" s="401">
        <f t="shared" si="10"/>
        <v>-3.12621490489561</v>
      </c>
      <c r="CY44" s="401"/>
      <c r="CZ44" s="206"/>
      <c r="DA44" s="206"/>
      <c r="DB44" s="200">
        <f t="shared" si="7"/>
        <v>47371</v>
      </c>
      <c r="DC44" s="207">
        <f>USD_CURVES!N44</f>
        <v>1.2206777497266315E-2</v>
      </c>
      <c r="DD44" s="207">
        <f t="shared" si="8"/>
        <v>7.3765436398048598E-2</v>
      </c>
      <c r="DE44" s="207">
        <f>SAR_CURVES!CQ44</f>
        <v>3.8301971791649403E-2</v>
      </c>
      <c r="DF44" s="207">
        <f>ZAR_CURVES!CU44</f>
        <v>0.110251228765485</v>
      </c>
      <c r="DG44">
        <f>EUR_CURVES!CU44</f>
        <v>1.5172224219386699E-3</v>
      </c>
      <c r="DH44" s="620"/>
      <c r="DT44" s="303"/>
      <c r="DU44" s="303"/>
      <c r="DV44" s="299"/>
      <c r="DW44" s="383"/>
      <c r="DX44" s="299"/>
      <c r="DY44" s="299"/>
      <c r="DZ44" s="299"/>
      <c r="EA44" s="299"/>
      <c r="EB44" s="299"/>
      <c r="EC44" s="299"/>
      <c r="ED44" s="299"/>
    </row>
    <row r="45" spans="6:134" x14ac:dyDescent="0.25">
      <c r="F45" s="50"/>
      <c r="G45" s="225" t="s">
        <v>707</v>
      </c>
      <c r="H45" s="226" t="s">
        <v>687</v>
      </c>
      <c r="I45" s="53"/>
      <c r="K45" t="s">
        <v>444</v>
      </c>
      <c r="L45" s="206" t="str">
        <f>_xll.meLWOCurveMarketDataCreate(L44,"MarketDataProperties",K38:L41,"OIS",K7:L27)</f>
        <v>RUB_OIS_CURVE_MARKETDATA@80:42</v>
      </c>
      <c r="Q45" s="50"/>
      <c r="R45" s="225"/>
      <c r="S45" s="226"/>
      <c r="T45" s="53"/>
      <c r="V45" t="s">
        <v>444</v>
      </c>
      <c r="W45" t="str">
        <f>_xll.meLWOCurveMarketDataCreate(W44,"MARKETDATAPROPERTIES",V38:W41,R32,V7:X9,R39,V14:W16,R47,V17:X29)</f>
        <v>RUB_SWAP_3M_CURVE_MARKETDATA@77:42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_xll.meLWOCurveMarketDataCreate(AH44,AG37,AG38:AH42,"BASISSWAPS",AG7:AI19)</f>
        <v>RUB_BASIS_3M6M_MARKETDATA@12:42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34" t="s">
        <v>757</v>
      </c>
      <c r="BK45" s="260" t="s">
        <v>773</v>
      </c>
      <c r="BL45" s="53"/>
      <c r="BN45" t="s">
        <v>444</v>
      </c>
      <c r="BO45" t="str">
        <f>_xll.meLWOCurveMarketDataCreate(BO44,"MARKETDATAPROPERTIES",BN38:BO41,"FXSPOTS",BN7:BP7,"FXFWDS",BN8:BP16,"XCCYSWAPS",BN17:BP29)</f>
        <v>RUB_XCCYBASIS_CURVE_MARKETDATA@76:42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_xll.meLWOCurveMarketDataCreate(BZ44,"MARKETDATAPROPERTIES",BY38:BZ41,"FXSPOTS",BZ7:CA7,"FXFWDS",BY8:CA23)</f>
        <v>MKTDATA_USDRUB@278:42</v>
      </c>
      <c r="CA45" s="313"/>
      <c r="CB45" s="313"/>
      <c r="CD45" t="s">
        <v>444</v>
      </c>
      <c r="CE45" t="str">
        <f>_xll.meLWOCurveMarketDataCreate(CE44,CD37,CD38:CE41)</f>
        <v>RUB_FXFWD_MARKET_DATA@35:42</v>
      </c>
      <c r="CJ45" s="620" t="s">
        <v>444</v>
      </c>
      <c r="CK45" s="620" t="str">
        <f>_xll.meLWOCurveMarketDataCreate(CK44,CJ37,CJ38:CK41)</f>
        <v>RUB_FXFWD_MARKET_DATA@33:42</v>
      </c>
      <c r="CN45" s="299"/>
      <c r="CP45" t="s">
        <v>444</v>
      </c>
      <c r="CQ45" t="str">
        <f>_xll.meLWOCurveMarketDataCreate(CQ44,CP37,CP38:CQ41)</f>
        <v>RUB_FXFWD_MARKET_DATA@17:42</v>
      </c>
      <c r="CS45" s="397">
        <v>47462</v>
      </c>
      <c r="CT45" s="608">
        <v>4.7176680853337198E-2</v>
      </c>
      <c r="CU45" s="608">
        <v>7.3765094687885502E-2</v>
      </c>
      <c r="CV45" s="608">
        <v>4.9532779678848102E-2</v>
      </c>
      <c r="CW45" s="598">
        <v>4.2062677729143301E-2</v>
      </c>
      <c r="CX45" s="401">
        <f t="shared" si="10"/>
        <v>-3.1702416958742199</v>
      </c>
      <c r="CY45" s="401"/>
      <c r="CZ45" s="206"/>
      <c r="DA45" s="206"/>
      <c r="DB45" s="200">
        <f t="shared" si="7"/>
        <v>47462</v>
      </c>
      <c r="DC45" s="207">
        <f>USD_CURVES!N45</f>
        <v>1.2329506066696062E-2</v>
      </c>
      <c r="DD45" s="207">
        <f t="shared" si="8"/>
        <v>7.3765094687885502E-2</v>
      </c>
      <c r="DE45" s="207">
        <f>SAR_CURVES!CQ45</f>
        <v>3.8573853092773502E-2</v>
      </c>
      <c r="DF45" s="207">
        <f>ZAR_CURVES!CU45</f>
        <v>0.11077408273124401</v>
      </c>
      <c r="DG45">
        <f>EUR_CURVES!CU45</f>
        <v>1.79682328483232E-3</v>
      </c>
      <c r="DH45" s="620"/>
      <c r="DT45" s="303"/>
      <c r="DU45" s="303"/>
      <c r="DV45" s="303"/>
      <c r="DW45" s="383"/>
      <c r="DX45" s="299"/>
      <c r="DY45" s="299"/>
      <c r="DZ45" s="299"/>
      <c r="EA45" s="299"/>
      <c r="EB45" s="299"/>
      <c r="EC45" s="299"/>
      <c r="ED45" s="299"/>
    </row>
    <row r="46" spans="6:134" x14ac:dyDescent="0.25">
      <c r="F46" s="50"/>
      <c r="G46" s="52"/>
      <c r="H46" s="52"/>
      <c r="I46" s="53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34" t="s">
        <v>756</v>
      </c>
      <c r="BK46" s="260" t="s">
        <v>809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N46" s="299"/>
      <c r="CS46" s="397">
        <v>47553</v>
      </c>
      <c r="CT46" s="608">
        <v>4.7176465763802099E-2</v>
      </c>
      <c r="CU46" s="608">
        <v>7.3274146617073502E-2</v>
      </c>
      <c r="CV46" s="608">
        <v>4.9442876622488599E-2</v>
      </c>
      <c r="CW46" s="598">
        <v>4.1607468219871303E-2</v>
      </c>
      <c r="CX46" s="401">
        <f t="shared" si="10"/>
        <v>-3.1666678397202199</v>
      </c>
      <c r="CY46" s="401"/>
      <c r="CZ46" s="206"/>
      <c r="DA46" s="206"/>
      <c r="DB46" s="200">
        <f t="shared" si="7"/>
        <v>47553</v>
      </c>
      <c r="DC46" s="207">
        <f>USD_CURVES!N46</f>
        <v>1.2449657829342865E-2</v>
      </c>
      <c r="DD46" s="207">
        <f t="shared" si="8"/>
        <v>7.3274146617073502E-2</v>
      </c>
      <c r="DE46" s="207">
        <f>SAR_CURVES!CQ46</f>
        <v>3.8763852777205503E-2</v>
      </c>
      <c r="DF46" s="207">
        <f>ZAR_CURVES!CU46</f>
        <v>0.11157636328244</v>
      </c>
      <c r="DG46">
        <f>EUR_CURVES!CU46</f>
        <v>2.0472098138330699E-3</v>
      </c>
      <c r="DH46" s="620"/>
      <c r="DT46" s="299"/>
      <c r="DU46" s="299"/>
      <c r="DV46" s="299"/>
      <c r="DW46" s="383"/>
      <c r="DX46" s="299"/>
      <c r="DY46" s="299"/>
      <c r="DZ46" s="299"/>
      <c r="EA46" s="299"/>
      <c r="EB46" s="299"/>
      <c r="EC46" s="299"/>
      <c r="ED46" s="299"/>
    </row>
    <row r="47" spans="6:134" x14ac:dyDescent="0.25">
      <c r="F47" s="50"/>
      <c r="G47" s="54" t="s">
        <v>428</v>
      </c>
      <c r="H47" s="227" t="s">
        <v>708</v>
      </c>
      <c r="I47" s="53"/>
      <c r="K47" s="2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45" t="s">
        <v>758</v>
      </c>
      <c r="BK47" s="260" t="s">
        <v>49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621" t="s">
        <v>447</v>
      </c>
      <c r="CN47" s="299"/>
      <c r="CP47" s="2" t="s">
        <v>447</v>
      </c>
      <c r="CS47" s="397">
        <v>47644</v>
      </c>
      <c r="CT47" s="608">
        <v>4.7170860891759502E-2</v>
      </c>
      <c r="CU47" s="608">
        <v>7.2284306807993207E-2</v>
      </c>
      <c r="CV47" s="608">
        <v>4.9104393934002302E-2</v>
      </c>
      <c r="CW47" s="598">
        <v>4.1143124543885599E-2</v>
      </c>
      <c r="CX47" s="401">
        <f t="shared" si="10"/>
        <v>-3.1141182264107607</v>
      </c>
      <c r="CY47" s="401"/>
      <c r="CZ47" s="206"/>
      <c r="DA47" s="206"/>
      <c r="DB47" s="200">
        <f t="shared" si="7"/>
        <v>47644</v>
      </c>
      <c r="DC47" s="207">
        <f>USD_CURVES!N47</f>
        <v>1.2562872687545261E-2</v>
      </c>
      <c r="DD47" s="207">
        <f t="shared" si="8"/>
        <v>7.2284306807993207E-2</v>
      </c>
      <c r="DE47" s="207">
        <f>SAR_CURVES!CQ47</f>
        <v>3.89538524874821E-2</v>
      </c>
      <c r="DF47" s="207">
        <f>ZAR_CURVES!CU47</f>
        <v>0.11261568846526</v>
      </c>
      <c r="DG47">
        <f>EUR_CURVES!CU47</f>
        <v>2.26137931274722E-3</v>
      </c>
      <c r="DH47" s="620"/>
      <c r="DT47" s="299"/>
      <c r="DU47" s="299"/>
      <c r="DV47" s="303"/>
      <c r="DW47" s="383"/>
      <c r="DX47" s="299"/>
      <c r="DY47" s="299"/>
      <c r="DZ47" s="299"/>
      <c r="EA47" s="299"/>
      <c r="EB47" s="299"/>
      <c r="EC47" s="299"/>
      <c r="ED47" s="299"/>
    </row>
    <row r="48" spans="6:134" x14ac:dyDescent="0.25">
      <c r="F48" s="50"/>
      <c r="G48" s="220" t="s">
        <v>677</v>
      </c>
      <c r="H48" s="221" t="str">
        <f>INDEX('STATIC DATA'!C43:AB43,1,MATCH(A1,'STATIC DATA'!$C$4:$AB$4,0))</f>
        <v>MWB</v>
      </c>
      <c r="I48" s="53"/>
      <c r="K48" t="s">
        <v>442</v>
      </c>
      <c r="L48" s="206" t="str">
        <f>L38&amp;"_"&amp;L39&amp;"_CURVE"</f>
        <v>RUB_OIS_CURVE</v>
      </c>
      <c r="Q48" s="50"/>
      <c r="R48" s="220" t="s">
        <v>704</v>
      </c>
      <c r="S48" s="221" t="str">
        <f>INDEX('STATIC DATA'!C43:AB43,1,MATCH($A$1,'STATIC DATA'!$C$4:$AB$4,0))</f>
        <v>MWB</v>
      </c>
      <c r="T48" s="53"/>
      <c r="V48" t="s">
        <v>442</v>
      </c>
      <c r="W48" t="str">
        <f>W38&amp;"_"&amp;W39&amp;"_"&amp;INDEX('STATIC DATA'!$C$56:$AB$56,1,MATCH($W38,'STATIC DATA'!$C$4:$AB$4,0))&amp;"_CURVE"</f>
        <v>RUB_SWAP_3M_CURVE</v>
      </c>
      <c r="AB48" s="50"/>
      <c r="AC48" s="225" t="s">
        <v>770</v>
      </c>
      <c r="AD48" s="219" t="str">
        <f>INDEX('STATIC DATA'!C7:AB7,1,MATCH($A$1,'STATIC DATA'!C4:AB4,0))</f>
        <v>1D</v>
      </c>
      <c r="AE48" s="53"/>
      <c r="AG48" t="s">
        <v>442</v>
      </c>
      <c r="AH48" t="str">
        <f>A1&amp;"_BASIS_6M_CURVE"</f>
        <v>RUB_BASIS_6M_CURVE</v>
      </c>
      <c r="AM48" s="50"/>
      <c r="AN48" s="225" t="s">
        <v>770</v>
      </c>
      <c r="AO48" s="219" t="str">
        <f>INDEX('STATIC DATA'!C7:AB7,1,MATCH($A$1,'STATIC DATA'!C4:AB4,0))</f>
        <v>1D</v>
      </c>
      <c r="AP48" s="53"/>
      <c r="AX48" s="50"/>
      <c r="AY48" s="225" t="s">
        <v>770</v>
      </c>
      <c r="AZ48" s="216" t="str">
        <f>INDEX('STATIC DATA'!C7:AB7,1,MATCH($A$1,'STATIC DATA'!C4:AB4,0))</f>
        <v>1D</v>
      </c>
      <c r="BA48" s="53"/>
      <c r="BI48" s="50"/>
      <c r="BJ48" s="222" t="s">
        <v>759</v>
      </c>
      <c r="BK48" s="216" t="str">
        <f>INDEX('STATIC DATA'!C55:AB55,1,MATCH("USD",'STATIC DATA'!C4:AB4,0))</f>
        <v>ACT/360</v>
      </c>
      <c r="BL48" s="53"/>
      <c r="BN48" t="s">
        <v>442</v>
      </c>
      <c r="BO48" t="str">
        <f>A1&amp;"_"&amp;BO39&amp;"_CURVE"</f>
        <v>RUB_XCCYBASIS_CURVE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1083</v>
      </c>
      <c r="CJ48" s="620" t="s">
        <v>442</v>
      </c>
      <c r="CK48" s="620" t="s">
        <v>1133</v>
      </c>
      <c r="CN48" s="299"/>
      <c r="CP48" t="s">
        <v>442</v>
      </c>
      <c r="CQ48" t="s">
        <v>1630</v>
      </c>
      <c r="CS48" s="397">
        <v>47735</v>
      </c>
      <c r="CT48" s="608">
        <v>4.7159689990654799E-2</v>
      </c>
      <c r="CU48" s="608">
        <v>7.0941607817112298E-2</v>
      </c>
      <c r="CV48" s="608">
        <v>4.8505157136428299E-2</v>
      </c>
      <c r="CW48" s="598">
        <v>4.06693689876476E-2</v>
      </c>
      <c r="CX48" s="401">
        <f t="shared" si="10"/>
        <v>-3.0272238829464699</v>
      </c>
      <c r="CY48" s="401"/>
      <c r="CZ48" s="206"/>
      <c r="DA48" s="206"/>
      <c r="DB48" s="200">
        <f t="shared" si="7"/>
        <v>47735</v>
      </c>
      <c r="DC48" s="207">
        <f>USD_CURVES!N48</f>
        <v>1.2668652884648647E-2</v>
      </c>
      <c r="DD48" s="207">
        <f t="shared" si="8"/>
        <v>7.0941607817112298E-2</v>
      </c>
      <c r="DE48" s="207">
        <f>SAR_CURVES!CQ48</f>
        <v>3.9245858663917298E-2</v>
      </c>
      <c r="DF48" s="207">
        <f>ZAR_CURVES!CU48</f>
        <v>0.113805128412706</v>
      </c>
      <c r="DG48">
        <f>EUR_CURVES!CU48</f>
        <v>2.4455293050375301E-3</v>
      </c>
      <c r="DH48" s="620"/>
      <c r="DT48" s="299"/>
      <c r="DU48" s="299"/>
      <c r="DV48" s="299"/>
      <c r="DW48" s="383"/>
      <c r="DX48" s="299"/>
      <c r="DY48" s="299"/>
      <c r="DZ48" s="299"/>
      <c r="EA48" s="299"/>
      <c r="EB48" s="299"/>
      <c r="EC48" s="299"/>
      <c r="ED48" s="299"/>
    </row>
    <row r="49" spans="6:134" x14ac:dyDescent="0.25">
      <c r="F49" s="50"/>
      <c r="G49" s="222" t="s">
        <v>709</v>
      </c>
      <c r="H49" s="223" t="str">
        <f>INDEX('STATIC DATA'!C53:AB53,1,MATCH(A1,'STATIC DATA'!C4:AB4,0))</f>
        <v>ACT/ACT</v>
      </c>
      <c r="I49" s="53"/>
      <c r="K49" t="s">
        <v>450</v>
      </c>
      <c r="L49" s="206" t="str">
        <f>H8</f>
        <v>RUB_OIS@344:6</v>
      </c>
      <c r="Q49" s="50"/>
      <c r="R49" s="222" t="s">
        <v>731</v>
      </c>
      <c r="S49" s="223" t="str">
        <f>INDEX('STATIC DATA'!C53:AB53,1,MATCH(A1,'STATIC DATA'!C4:AB4,0))</f>
        <v>ACT/ACT</v>
      </c>
      <c r="T49" s="53"/>
      <c r="V49" t="s">
        <v>450</v>
      </c>
      <c r="W49" t="str">
        <f>S8</f>
        <v>RUB_SWAP_3M@351:6</v>
      </c>
      <c r="AB49" s="50"/>
      <c r="AC49" s="234" t="s">
        <v>771</v>
      </c>
      <c r="AD49" s="242" t="str">
        <f>"AGAINST:MOS3M"</f>
        <v>AGAINST:MOS3M</v>
      </c>
      <c r="AE49" s="53"/>
      <c r="AG49" t="s">
        <v>450</v>
      </c>
      <c r="AH49" t="str">
        <f>AD8</f>
        <v>RUB_BASIS_3M6M@352:6</v>
      </c>
      <c r="AM49" s="50"/>
      <c r="AN49" s="234" t="s">
        <v>771</v>
      </c>
      <c r="AO49" s="242" t="str">
        <f>"AGAINST:"&amp;A1&amp;"3M"</f>
        <v>AGAINST:RUB3M</v>
      </c>
      <c r="AP49" s="53"/>
      <c r="AX49" s="50"/>
      <c r="AY49" s="234" t="s">
        <v>771</v>
      </c>
      <c r="AZ49" s="248" t="s">
        <v>961</v>
      </c>
      <c r="BA49" s="249" t="s">
        <v>801</v>
      </c>
      <c r="BI49" s="50"/>
      <c r="BJ49" s="222" t="s">
        <v>760</v>
      </c>
      <c r="BK49" s="468" t="str">
        <f>BK40</f>
        <v>MWB:NYB:LNB</v>
      </c>
      <c r="BL49" s="53"/>
      <c r="BN49" t="s">
        <v>450</v>
      </c>
      <c r="BO49" t="str">
        <f>BK8</f>
        <v>RUB_XCCY@349:6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RUB_EURCSA@346:6</v>
      </c>
      <c r="CJ49" s="620" t="s">
        <v>450</v>
      </c>
      <c r="CK49" s="620" t="str">
        <f>CK8</f>
        <v>RUB_JPYCSA@348:6</v>
      </c>
      <c r="CN49" s="299"/>
      <c r="CP49" t="s">
        <v>450</v>
      </c>
      <c r="CQ49" t="str">
        <f>CQ8</f>
        <v>RUB_CNHCSA@345:6</v>
      </c>
      <c r="CS49" s="397" t="str">
        <v/>
      </c>
      <c r="CT49" s="608" t="str">
        <v/>
      </c>
      <c r="CU49" s="608" t="str">
        <v/>
      </c>
      <c r="CV49" s="608" t="str">
        <v/>
      </c>
      <c r="CW49" s="598" t="str">
        <v/>
      </c>
      <c r="CX49" s="401"/>
      <c r="CY49" s="401"/>
      <c r="CZ49" s="206"/>
      <c r="DA49" s="206"/>
      <c r="DB49" s="200" t="str">
        <f t="shared" si="7"/>
        <v/>
      </c>
      <c r="DC49" s="207" t="e">
        <f>USD_CURVES!N49</f>
        <v>#N/A</v>
      </c>
      <c r="DD49" s="207" t="str">
        <f t="shared" si="8"/>
        <v/>
      </c>
      <c r="DE49" s="207" t="str">
        <f>SAR_CURVES!CQ49</f>
        <v/>
      </c>
      <c r="DF49" s="207" t="str">
        <f>ZAR_CURVES!CU49</f>
        <v/>
      </c>
      <c r="DG49" t="str">
        <f>EUR_CURVES!CU49</f>
        <v/>
      </c>
      <c r="DH49" s="620"/>
      <c r="DT49" s="299"/>
      <c r="DU49" s="299"/>
      <c r="DV49" s="303"/>
      <c r="DW49" s="383"/>
      <c r="DX49" s="299"/>
      <c r="DY49" s="299"/>
      <c r="DZ49" s="299"/>
      <c r="EA49" s="299"/>
      <c r="EB49" s="299"/>
      <c r="EC49" s="299"/>
      <c r="ED49" s="299"/>
    </row>
    <row r="50" spans="6:134" x14ac:dyDescent="0.25">
      <c r="F50" s="50"/>
      <c r="G50" s="222" t="s">
        <v>710</v>
      </c>
      <c r="H50" s="223" t="str">
        <f>IF(INDEX('STATIC DATA'!C54:AB54,1,MATCH(A1,'STATIC DATA'!C4:AB4,0))="1Y","ANNUAL",(IF(INDEX('STATIC DATA'!C54:AB54,1,MATCH(A1,'STATIC DATA'!C4:AB4,0))="6M","SEMI-ANNUAL", "QUARTERLY")))</f>
        <v>ANNUAL</v>
      </c>
      <c r="I50" s="53"/>
      <c r="K50" t="s">
        <v>452</v>
      </c>
      <c r="L50" s="206" t="str">
        <f>$A$1&amp;"YC"</f>
        <v>RUBYC</v>
      </c>
      <c r="Q50" s="50"/>
      <c r="R50" s="222" t="s">
        <v>734</v>
      </c>
      <c r="S50" s="223" t="str">
        <f>INDEX('STATIC DATA'!C55:AB55,1,MATCH(A1,'STATIC DATA'!C4:AB4,0))</f>
        <v>ACT/ACT</v>
      </c>
      <c r="T50" s="53"/>
      <c r="V50" t="s">
        <v>452</v>
      </c>
      <c r="W50" t="str">
        <f>$A$1&amp;"YC"</f>
        <v>RUBYC</v>
      </c>
      <c r="AB50" s="50"/>
      <c r="AC50" s="234" t="s">
        <v>772</v>
      </c>
      <c r="AD50" s="242" t="str">
        <f>"AGAINST:"&amp;"MOS3M"</f>
        <v>AGAINST:MOS3M</v>
      </c>
      <c r="AE50" s="53"/>
      <c r="AG50" t="s">
        <v>452</v>
      </c>
      <c r="AH50" t="str">
        <f>A1&amp;"YC"</f>
        <v>RUBYC</v>
      </c>
      <c r="AM50" s="50"/>
      <c r="AN50" s="234" t="s">
        <v>772</v>
      </c>
      <c r="AO50" s="242" t="str">
        <f>"AGAINST:"&amp;A1&amp;"3M"</f>
        <v>AGAINST:RUB3M</v>
      </c>
      <c r="AP50" s="53"/>
      <c r="AX50" s="50"/>
      <c r="AY50" s="234" t="s">
        <v>772</v>
      </c>
      <c r="AZ50" s="242" t="s">
        <v>961</v>
      </c>
      <c r="BA50" s="53"/>
      <c r="BI50" s="50"/>
      <c r="BJ50" s="225" t="s">
        <v>761</v>
      </c>
      <c r="BK50" s="219" t="s">
        <v>458</v>
      </c>
      <c r="BL50" s="53"/>
      <c r="BN50" t="s">
        <v>452</v>
      </c>
      <c r="BO50" t="str">
        <f>A1&amp;"YC"</f>
        <v>RUBYC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1007</v>
      </c>
      <c r="CJ50" s="620" t="s">
        <v>452</v>
      </c>
      <c r="CK50" s="620" t="s">
        <v>1007</v>
      </c>
      <c r="CN50" s="299"/>
      <c r="CP50" t="s">
        <v>452</v>
      </c>
      <c r="CQ50" t="s">
        <v>1007</v>
      </c>
      <c r="CS50" s="397" t="str">
        <v/>
      </c>
      <c r="CT50" s="608" t="str">
        <v/>
      </c>
      <c r="CU50" s="608" t="str">
        <v/>
      </c>
      <c r="CV50" s="608" t="str">
        <v/>
      </c>
      <c r="CW50" s="598" t="str">
        <v/>
      </c>
      <c r="CX50" s="401"/>
      <c r="CY50" s="401"/>
      <c r="CZ50" s="206"/>
      <c r="DA50" s="206"/>
      <c r="DB50" s="200" t="str">
        <f t="shared" si="7"/>
        <v/>
      </c>
      <c r="DC50" s="207" t="e">
        <f>USD_CURVES!N50</f>
        <v>#N/A</v>
      </c>
      <c r="DD50" s="207" t="str">
        <f t="shared" si="8"/>
        <v/>
      </c>
      <c r="DE50" s="207" t="str">
        <f>SAR_CURVES!CQ50</f>
        <v/>
      </c>
      <c r="DF50" s="207" t="str">
        <f>ZAR_CURVES!CU50</f>
        <v/>
      </c>
      <c r="DG50" t="str">
        <f>EUR_CURVES!CU50</f>
        <v/>
      </c>
      <c r="DH50" s="620"/>
      <c r="DT50" s="299"/>
      <c r="DU50" s="299"/>
      <c r="DV50" s="299"/>
      <c r="DW50" s="383"/>
      <c r="DX50" s="299"/>
      <c r="DY50" s="299"/>
      <c r="DZ50" s="299"/>
      <c r="EA50" s="299"/>
      <c r="EB50" s="299"/>
      <c r="EC50" s="299"/>
      <c r="ED50" s="299"/>
    </row>
    <row r="51" spans="6:134" x14ac:dyDescent="0.25">
      <c r="F51" s="50"/>
      <c r="G51" s="225" t="s">
        <v>686</v>
      </c>
      <c r="H51" s="226" t="s">
        <v>687</v>
      </c>
      <c r="I51" s="53"/>
      <c r="K51" t="s">
        <v>453</v>
      </c>
      <c r="L51" s="206"/>
      <c r="Q51" s="50"/>
      <c r="R51" s="222" t="s">
        <v>706</v>
      </c>
      <c r="S51" s="223" t="str">
        <f>IF(INDEX('STATIC DATA'!C54:AB54,1,MATCH(A1,'STATIC DATA'!C4:AB4,0))="1Y","ANNUAL",(IF(INDEX('STATIC DATA'!C54:AB54,1,MATCH(A1,'STATIC DATA'!C4:AB4,0))="6M","SEMI-ANNUAL", "QUARTERLY")))</f>
        <v>ANNUAL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5" t="s">
        <v>762</v>
      </c>
      <c r="BK51" s="240" t="str">
        <f>INDEX('STATIC DATA'!C39:AB39,1,MATCH($A$1,'STATIC DATA'!$C$4:$AB$4,0))</f>
        <v>MWB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s="620" t="s">
        <v>453</v>
      </c>
      <c r="CK51" s="620" t="s">
        <v>1131</v>
      </c>
      <c r="CN51" s="299"/>
      <c r="CP51" t="s">
        <v>453</v>
      </c>
      <c r="CQ51" t="s">
        <v>1255</v>
      </c>
      <c r="CS51" s="397" t="str">
        <v/>
      </c>
      <c r="CT51" s="608" t="str">
        <v/>
      </c>
      <c r="CU51" s="608" t="str">
        <v/>
      </c>
      <c r="CV51" s="608" t="str">
        <v/>
      </c>
      <c r="CW51" s="598" t="str">
        <v/>
      </c>
      <c r="CX51" s="401"/>
      <c r="CY51" s="401"/>
      <c r="CZ51" s="206"/>
      <c r="DA51" s="206"/>
      <c r="DB51" s="200" t="str">
        <f t="shared" si="7"/>
        <v/>
      </c>
      <c r="DC51" s="207" t="e">
        <f>USD_CURVES!N51</f>
        <v>#N/A</v>
      </c>
      <c r="DD51" s="207" t="str">
        <f t="shared" si="8"/>
        <v/>
      </c>
      <c r="DE51" s="207" t="str">
        <f>SAR_CURVES!CQ51</f>
        <v/>
      </c>
      <c r="DF51" s="207" t="str">
        <f>ZAR_CURVES!CU51</f>
        <v/>
      </c>
      <c r="DG51" t="str">
        <f>EUR_CURVES!CU51</f>
        <v/>
      </c>
      <c r="DH51" s="620"/>
      <c r="DT51" s="299"/>
      <c r="DU51" s="299"/>
      <c r="DV51" s="303"/>
      <c r="DW51" s="383"/>
      <c r="DX51" s="299"/>
      <c r="DY51" s="299"/>
      <c r="DZ51" s="299"/>
      <c r="EA51" s="299"/>
      <c r="EB51" s="299"/>
      <c r="EC51" s="299"/>
      <c r="ED51" s="299"/>
    </row>
    <row r="52" spans="6:134" x14ac:dyDescent="0.25">
      <c r="F52" s="50"/>
      <c r="G52" s="52"/>
      <c r="H52" s="52"/>
      <c r="I52" s="53"/>
      <c r="Q52" s="50"/>
      <c r="R52" s="222" t="s">
        <v>735</v>
      </c>
      <c r="S52" s="223" t="str">
        <f>IF(INDEX('STATIC DATA'!C56:AB56,1,MATCH(A1,'STATIC DATA'!C4:AB4,0))="1Y","ANNUAL",(IF(INDEX('STATIC DATA'!C56:AB56,1,MATCH(A1,'STATIC DATA'!C4:AB4,0))="6M","SEMI-ANNUAL", "QUARTERLY")))</f>
        <v>QUARTERLY</v>
      </c>
      <c r="T52" s="53"/>
      <c r="AB52" s="50"/>
      <c r="AC52" s="222" t="s">
        <v>775</v>
      </c>
      <c r="AD52" s="216" t="str">
        <f>INDEX('STATIC DATA'!C55:AB55,1,MATCH($A$1,'STATIC DATA'!C4:AB4,0))</f>
        <v>ACT/ACT</v>
      </c>
      <c r="AE52" s="53"/>
      <c r="AM52" s="50"/>
      <c r="AN52" s="222" t="s">
        <v>775</v>
      </c>
      <c r="AO52" s="216" t="str">
        <f>INDEX('STATIC DATA'!C55:AB55,1,MATCH($A$1,'STATIC DATA'!C4:AB4,0))</f>
        <v>ACT/ACT</v>
      </c>
      <c r="AP52" s="53"/>
      <c r="AX52" s="50"/>
      <c r="AY52" s="222" t="s">
        <v>775</v>
      </c>
      <c r="AZ52" s="216" t="str">
        <f>INDEX('STATIC DATA'!Y55:AY55,1,MATCH($A$1,'STATIC DATA'!Y4:AV4,0))</f>
        <v>ACT/ACT</v>
      </c>
      <c r="BA52" s="53"/>
      <c r="BI52" s="50"/>
      <c r="BJ52" s="225" t="s">
        <v>763</v>
      </c>
      <c r="BK52" s="219" t="s">
        <v>621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N52" s="299"/>
      <c r="CS52" s="397" t="str">
        <v/>
      </c>
      <c r="CT52" s="608" t="str">
        <v/>
      </c>
      <c r="CU52" s="608" t="str">
        <v/>
      </c>
      <c r="CV52" s="608" t="str">
        <v/>
      </c>
      <c r="CW52" s="598" t="str">
        <v/>
      </c>
      <c r="CX52" s="401"/>
      <c r="CY52" s="401"/>
      <c r="CZ52" s="206"/>
      <c r="DA52" s="206"/>
      <c r="DB52" s="200" t="str">
        <f t="shared" si="7"/>
        <v/>
      </c>
      <c r="DC52" s="207" t="e">
        <f>USD_CURVES!N52</f>
        <v>#N/A</v>
      </c>
      <c r="DD52" s="207" t="str">
        <f t="shared" si="8"/>
        <v/>
      </c>
      <c r="DE52" s="207" t="str">
        <f>SAR_CURVES!CQ52</f>
        <v/>
      </c>
      <c r="DF52" s="207" t="str">
        <f>ZAR_CURVES!CU52</f>
        <v/>
      </c>
      <c r="DG52" t="str">
        <f>EUR_CURVES!CU52</f>
        <v/>
      </c>
      <c r="DH52" s="620"/>
      <c r="DT52" s="299"/>
      <c r="DU52" s="299"/>
      <c r="DV52" s="299"/>
      <c r="DW52" s="383"/>
      <c r="DX52" s="299"/>
      <c r="DY52" s="299"/>
      <c r="DZ52" s="299"/>
      <c r="EA52" s="299"/>
      <c r="EB52" s="299"/>
      <c r="EC52" s="299"/>
      <c r="ED52" s="299"/>
    </row>
    <row r="53" spans="6:134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MWB</v>
      </c>
      <c r="AE53" s="53"/>
      <c r="AG53" s="2" t="s">
        <v>454</v>
      </c>
      <c r="AM53" s="50"/>
      <c r="AN53" s="222" t="s">
        <v>776</v>
      </c>
      <c r="AO53" s="216" t="str">
        <f>INDEX('STATIC DATA'!C39:AB39,1,MATCH($A$1,'STATIC DATA'!$C$4:$AB$4,0))</f>
        <v>MWB</v>
      </c>
      <c r="AP53" s="53"/>
      <c r="AX53" s="50"/>
      <c r="AY53" s="222" t="s">
        <v>776</v>
      </c>
      <c r="AZ53" s="216" t="str">
        <f>INDEX('STATIC DATA'!C39:AB39,1,MATCH($A$1,'STATIC DATA'!$C$4:$AB$4,0))</f>
        <v>MWB</v>
      </c>
      <c r="BA53" s="53"/>
      <c r="BI53" s="50"/>
      <c r="BJ53" s="220" t="s">
        <v>764</v>
      </c>
      <c r="BK53" s="238" t="s">
        <v>687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621" t="s">
        <v>454</v>
      </c>
      <c r="CN53" s="332"/>
      <c r="CP53" s="2" t="s">
        <v>454</v>
      </c>
      <c r="CS53" s="398" t="str">
        <v/>
      </c>
      <c r="CT53" s="607" t="str">
        <v/>
      </c>
      <c r="CU53" s="607" t="str">
        <v/>
      </c>
      <c r="CV53" s="607" t="str">
        <v/>
      </c>
      <c r="CW53" s="598" t="str">
        <v/>
      </c>
      <c r="CX53" s="401"/>
      <c r="CY53" s="401"/>
      <c r="CZ53" s="206"/>
      <c r="DA53" s="206"/>
      <c r="DB53" s="200" t="str">
        <f t="shared" si="7"/>
        <v/>
      </c>
      <c r="DC53" s="207" t="e">
        <f>USD_CURVES!N53</f>
        <v>#N/A</v>
      </c>
      <c r="DD53" s="207" t="str">
        <f t="shared" si="8"/>
        <v/>
      </c>
      <c r="DE53" s="207" t="str">
        <f>SAR_CURVES!CQ53</f>
        <v/>
      </c>
      <c r="DF53" s="207" t="str">
        <f>ZAR_CURVES!CU53</f>
        <v/>
      </c>
      <c r="DG53" t="str">
        <f>EUR_CURVES!CU53</f>
        <v/>
      </c>
      <c r="DH53" s="620"/>
      <c r="DT53" s="299"/>
      <c r="DU53" s="299"/>
      <c r="DV53" s="303"/>
      <c r="DW53" s="384"/>
      <c r="DX53" s="332"/>
      <c r="DY53" s="332"/>
      <c r="DZ53" s="332"/>
      <c r="EA53" s="332"/>
      <c r="EB53" s="332"/>
      <c r="EC53" s="299"/>
      <c r="ED53" s="299"/>
    </row>
    <row r="54" spans="6:134" x14ac:dyDescent="0.25">
      <c r="F54" s="50"/>
      <c r="G54" s="52"/>
      <c r="H54" s="52"/>
      <c r="I54" s="53"/>
      <c r="K54" t="s">
        <v>442</v>
      </c>
      <c r="L54" s="290" t="str">
        <f t="array" ref="L54:L57">_xll.meLWOCurveCalibrate(L48,L49,L45,L50)</f>
        <v>RUB_OIS_CURVE@81:10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IF(ExistsRUBOIS,_xll.meLWOCurveCalibrate(W48,W49,W45,W50),"LOAD DEPENDENCY")</f>
        <v>RUB_SWAP_3M_CURVE@449:10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IF(ExistsRUB3M,_xll.meLWOCurveCalibrate($AH$48,$AH$49,$AH$45,$AH$50),"LOAD DEPENDENCY")</f>
        <v>RUB_BASIS_6M_CURVE@450:10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765</v>
      </c>
      <c r="BK54" s="468" t="str">
        <f>BK40</f>
        <v>MWB:NYB:LNB</v>
      </c>
      <c r="BL54" s="53"/>
      <c r="BN54" t="s">
        <v>442</v>
      </c>
      <c r="BO54" s="647" t="str">
        <f t="array" ref="BO54:BO57">IF(AND(ExistsRUB3M,ExistsUSD3M),_xll.meLWOCurveCalibrate($BO$48,$BO$49,$BO$45,$BO$50,$BO$51),"LOAD DEPENDENCY")</f>
        <v>RUB_XCCYBASIS_CURVE@486:2</v>
      </c>
      <c r="BT54" s="50"/>
      <c r="BU54" s="55"/>
      <c r="BV54" s="55"/>
      <c r="BW54" s="55"/>
      <c r="BX54" s="332"/>
      <c r="BY54" s="270" t="s">
        <v>831</v>
      </c>
      <c r="BZ54" s="271" t="s">
        <v>964</v>
      </c>
      <c r="CA54" s="283"/>
      <c r="CB54" s="299"/>
      <c r="CD54" t="s">
        <v>442</v>
      </c>
      <c r="CE54" s="647" t="str">
        <f t="array" ref="CE54:CE57">IF(AND(ExistsRUBXCCY,ExistsEURXCCY),_xll.meLWOCurveCalibrate(CE48,CE49,CE45,CE50,CE51),"LOAD DEPENDENCY")</f>
        <v>RUB_EURCSA_CURVE@499:2</v>
      </c>
      <c r="CJ54" s="620" t="s">
        <v>442</v>
      </c>
      <c r="CK54" s="647" t="str">
        <f t="array" ref="CK54:CK57">IF(AND(ExistsRUBXCCY,ExistsJPYXCCY),_xll.meLWOCurveCalibrate(CK48,CK49,CK45,CK50,CK51),"LOAD RUBDF_USDCSA")</f>
        <v>RUB_JPYCSA_CURVE@503:2</v>
      </c>
      <c r="CN54" s="332"/>
      <c r="CP54" t="s">
        <v>442</v>
      </c>
      <c r="CQ54" t="e">
        <f>IF(#REF!,_xll.meLWOCurveCalibrate(CQ48,CQ49,CQ45,CQ50,CQ51),"LOAD RUBDF_USDCSA")</f>
        <v>#REF!</v>
      </c>
      <c r="CS54" s="398" t="str">
        <v/>
      </c>
      <c r="CT54" s="607" t="str">
        <v/>
      </c>
      <c r="CU54" s="607" t="str">
        <v/>
      </c>
      <c r="CV54" s="607" t="str">
        <v/>
      </c>
      <c r="CW54" s="598" t="str">
        <v/>
      </c>
      <c r="CX54" s="401"/>
      <c r="CY54" s="401"/>
      <c r="CZ54" s="206"/>
      <c r="DA54" s="206"/>
      <c r="DB54" s="200" t="str">
        <f t="shared" si="7"/>
        <v/>
      </c>
      <c r="DC54" s="207" t="e">
        <f>USD_CURVES!N54</f>
        <v>#N/A</v>
      </c>
      <c r="DD54" s="207" t="str">
        <f t="shared" si="8"/>
        <v/>
      </c>
      <c r="DE54" s="207" t="str">
        <f>SAR_CURVES!CQ54</f>
        <v/>
      </c>
      <c r="DF54" s="207" t="str">
        <f>ZAR_CURVES!CU54</f>
        <v/>
      </c>
      <c r="DG54" t="str">
        <f>EUR_CURVES!CU54</f>
        <v/>
      </c>
      <c r="DH54" s="620"/>
      <c r="DT54" s="299"/>
      <c r="DU54" s="299"/>
      <c r="DV54" s="299"/>
      <c r="DW54" s="384"/>
      <c r="DX54" s="332"/>
      <c r="DY54" s="332"/>
      <c r="DZ54" s="332"/>
      <c r="EA54" s="332"/>
      <c r="EB54" s="332"/>
      <c r="EC54" s="299"/>
      <c r="ED54" s="299"/>
    </row>
    <row r="55" spans="6:134" x14ac:dyDescent="0.25">
      <c r="F55" s="50"/>
      <c r="G55" s="52"/>
      <c r="H55" s="52"/>
      <c r="I55" s="53"/>
      <c r="K55" t="s">
        <v>455</v>
      </c>
      <c r="L55" t="str">
        <v>RUBYC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RUBYC</v>
      </c>
      <c r="AB55" s="50"/>
      <c r="AC55" s="222" t="s">
        <v>778</v>
      </c>
      <c r="AD55" s="216" t="str">
        <f>INDEX('STATIC DATA'!C39:AB39,1,MATCH($A$1,'STATIC DATA'!$C$4:$AB$4,0))</f>
        <v>MWB</v>
      </c>
      <c r="AE55" s="53"/>
      <c r="AG55" t="s">
        <v>455</v>
      </c>
      <c r="AH55" t="str">
        <v>RUBYC</v>
      </c>
      <c r="AM55" s="50"/>
      <c r="AN55" s="222" t="s">
        <v>778</v>
      </c>
      <c r="AO55" s="216" t="str">
        <f>INDEX('STATIC DATA'!C39:AB39,1,MATCH($A$1,'STATIC DATA'!$C$4:$AB$4,0))</f>
        <v>MWB</v>
      </c>
      <c r="AP55" s="53"/>
      <c r="AX55" s="50"/>
      <c r="AY55" s="222" t="s">
        <v>778</v>
      </c>
      <c r="AZ55" s="216" t="str">
        <f>INDEX('STATIC DATA'!C39:AB39,1,MATCH($A$1,'STATIC DATA'!$C$4:$AB$4,0))</f>
        <v>MWB</v>
      </c>
      <c r="BA55" s="53"/>
      <c r="BI55" s="50"/>
      <c r="BJ55" s="222" t="s">
        <v>766</v>
      </c>
      <c r="BK55" s="216" t="str">
        <f>INDEX('STATIC DATA'!C55:AB55,1,MATCH($A$1,'STATIC DATA'!C4:AB4,0))</f>
        <v>ACT/ACT</v>
      </c>
      <c r="BL55" s="53"/>
      <c r="BN55" t="s">
        <v>455</v>
      </c>
      <c r="BO55" t="str">
        <v>RUBYC</v>
      </c>
      <c r="BT55" s="50"/>
      <c r="BU55" s="55"/>
      <c r="BV55" s="55"/>
      <c r="BW55" s="55"/>
      <c r="BX55" s="332"/>
      <c r="BZ55" s="263" t="str">
        <f>_xll.meLWOFXCurveCreate(BZ54,BV8,BZ45)</f>
        <v>FX_CURVE_USDRUB@279:10</v>
      </c>
      <c r="CA55" s="283"/>
      <c r="CB55" s="299"/>
      <c r="CD55" t="s">
        <v>455</v>
      </c>
      <c r="CE55" t="str">
        <v>RUBYC</v>
      </c>
      <c r="CJ55" s="620" t="s">
        <v>455</v>
      </c>
      <c r="CK55" s="620" t="str">
        <v>RUBYC</v>
      </c>
      <c r="CN55" s="332"/>
      <c r="CP55" t="s">
        <v>455</v>
      </c>
      <c r="CS55" s="398" t="str">
        <v/>
      </c>
      <c r="CT55" s="607" t="str">
        <v/>
      </c>
      <c r="CU55" s="607" t="str">
        <v/>
      </c>
      <c r="CV55" s="607" t="str">
        <v/>
      </c>
      <c r="CW55" s="598" t="str">
        <v/>
      </c>
      <c r="CX55" s="401"/>
      <c r="CY55" s="401"/>
      <c r="CZ55" s="206"/>
      <c r="DA55" s="206"/>
      <c r="DB55" s="200" t="str">
        <f t="shared" si="7"/>
        <v/>
      </c>
      <c r="DC55" s="207" t="e">
        <f>USD_CURVES!N55</f>
        <v>#N/A</v>
      </c>
      <c r="DD55" s="207" t="str">
        <f t="shared" si="8"/>
        <v/>
      </c>
      <c r="DE55" s="207" t="str">
        <f>SAR_CURVES!CQ55</f>
        <v/>
      </c>
      <c r="DF55" s="207" t="str">
        <f>ZAR_CURVES!CU55</f>
        <v/>
      </c>
      <c r="DG55" t="str">
        <f>EUR_CURVES!CU55</f>
        <v/>
      </c>
      <c r="DH55" s="620"/>
      <c r="DT55" s="299"/>
      <c r="DU55" s="299"/>
      <c r="DV55" s="303"/>
      <c r="DW55" s="384"/>
      <c r="DX55" s="332"/>
      <c r="DY55" s="332"/>
      <c r="DZ55" s="332"/>
      <c r="EA55" s="332"/>
      <c r="EB55" s="332"/>
      <c r="EC55" s="299"/>
      <c r="ED55" s="299"/>
    </row>
    <row r="56" spans="6:134" x14ac:dyDescent="0.25">
      <c r="F56" s="50"/>
      <c r="G56" s="52"/>
      <c r="H56" s="52"/>
      <c r="I56" s="53"/>
      <c r="K56" t="s">
        <v>456</v>
      </c>
      <c r="L56" t="str">
        <v>OIS:RUBOIS</v>
      </c>
      <c r="Q56" s="50"/>
      <c r="R56" s="222" t="s">
        <v>739</v>
      </c>
      <c r="S56" s="223" t="str">
        <f>INDEX('STATIC DATA'!C7:AB7,1,MATCH($A$1,'STATIC DATA'!C4:AB4,0))</f>
        <v>1D</v>
      </c>
      <c r="T56" s="53"/>
      <c r="V56" t="s">
        <v>456</v>
      </c>
      <c r="W56" s="206" t="str">
        <v>STD:MOS3M</v>
      </c>
      <c r="AB56" s="50"/>
      <c r="AC56" s="222" t="s">
        <v>779</v>
      </c>
      <c r="AD56" s="216" t="str">
        <f>INDEX('STATIC DATA'!C7:AB7,1,MATCH($A$1,'STATIC DATA'!C4:AB4,0))</f>
        <v>1D</v>
      </c>
      <c r="AE56" s="53"/>
      <c r="AG56" t="s">
        <v>456</v>
      </c>
      <c r="AH56" t="str">
        <v>3M6MBasis:MOS6M</v>
      </c>
      <c r="AM56" s="50"/>
      <c r="AN56" s="222" t="s">
        <v>779</v>
      </c>
      <c r="AO56" s="216" t="str">
        <f>INDEX('STATIC DATA'!C7:AB7,1,MATCH($A$1,'STATIC DATA'!C4:AB4,0))</f>
        <v>1D</v>
      </c>
      <c r="AP56" s="53"/>
      <c r="AX56" s="50"/>
      <c r="AY56" s="222" t="s">
        <v>779</v>
      </c>
      <c r="AZ56" s="216" t="str">
        <f>INDEX('STATIC DATA'!C7:AB7,1,MATCH($A$1,'STATIC DATA'!C4:AB4,0))</f>
        <v>1D</v>
      </c>
      <c r="BA56" s="53"/>
      <c r="BI56" s="50"/>
      <c r="BJ56" s="222" t="s">
        <v>767</v>
      </c>
      <c r="BK56" s="216" t="s">
        <v>680</v>
      </c>
      <c r="BL56" s="53"/>
      <c r="BN56" t="s">
        <v>456</v>
      </c>
      <c r="BO56" t="str">
        <v>XccyCURVE:XccyBasis:RUBDF_USDCSA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FwdFXConstEUR:RUBDF_EURCSA</v>
      </c>
      <c r="CJ56" s="620" t="s">
        <v>456</v>
      </c>
      <c r="CK56" s="620" t="str">
        <v>FwdFXConstJPY:RUBDF_JPYCSA</v>
      </c>
      <c r="CN56" s="332"/>
      <c r="CP56" t="s">
        <v>456</v>
      </c>
      <c r="CS56" s="398" t="str">
        <v/>
      </c>
      <c r="CT56" s="607" t="str">
        <v/>
      </c>
      <c r="CU56" s="607" t="str">
        <v/>
      </c>
      <c r="CV56" s="607" t="str">
        <v/>
      </c>
      <c r="CW56" s="598" t="str">
        <v/>
      </c>
      <c r="CX56" s="401"/>
      <c r="CY56" s="401"/>
      <c r="CZ56" s="206"/>
      <c r="DA56" s="206"/>
      <c r="DB56" s="200" t="str">
        <f t="shared" si="7"/>
        <v/>
      </c>
      <c r="DC56" s="207" t="e">
        <f>USD_CURVES!N56</f>
        <v>#N/A</v>
      </c>
      <c r="DD56" s="207" t="str">
        <f t="shared" si="8"/>
        <v/>
      </c>
      <c r="DE56" s="207" t="str">
        <f>SAR_CURVES!CQ56</f>
        <v/>
      </c>
      <c r="DF56" s="207" t="str">
        <f>ZAR_CURVES!CU56</f>
        <v/>
      </c>
      <c r="DG56" t="str">
        <f>EUR_CURVES!CU56</f>
        <v/>
      </c>
      <c r="DH56" s="620"/>
      <c r="DT56" s="299"/>
      <c r="DU56" s="299"/>
      <c r="DV56" s="299"/>
      <c r="DW56" s="384"/>
      <c r="DX56" s="332"/>
      <c r="DY56" s="332"/>
      <c r="DZ56" s="332"/>
      <c r="EA56" s="332"/>
      <c r="EB56" s="332"/>
      <c r="EC56" s="299"/>
      <c r="ED56" s="299"/>
    </row>
    <row r="57" spans="6:134" x14ac:dyDescent="0.25">
      <c r="F57" s="50"/>
      <c r="G57" s="52"/>
      <c r="H57" s="52"/>
      <c r="I57" s="53"/>
      <c r="K57" t="s">
        <v>664</v>
      </c>
      <c r="L57" t="str">
        <v>0.009000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0.010000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0.007000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22" t="s">
        <v>769</v>
      </c>
      <c r="BK57" s="239" t="s">
        <v>687</v>
      </c>
      <c r="BL57" s="53"/>
      <c r="BN57" t="s">
        <v>664</v>
      </c>
      <c r="BO57" t="str">
        <v>0.010000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s="620" t="s">
        <v>664</v>
      </c>
      <c r="CK57" s="620" t="str">
        <v>0.001000 sec</v>
      </c>
      <c r="CN57" s="332"/>
      <c r="CP57" t="s">
        <v>664</v>
      </c>
      <c r="CS57" s="398" t="str">
        <v/>
      </c>
      <c r="CT57" s="607" t="str">
        <v/>
      </c>
      <c r="CU57" s="607" t="str">
        <v/>
      </c>
      <c r="CV57" s="607" t="str">
        <v/>
      </c>
      <c r="CW57" s="598" t="str">
        <v/>
      </c>
      <c r="CX57" s="401"/>
      <c r="CY57" s="401"/>
      <c r="CZ57" s="206"/>
      <c r="DA57" s="206"/>
      <c r="DB57" s="200" t="str">
        <f t="shared" si="7"/>
        <v/>
      </c>
      <c r="DC57" s="207" t="e">
        <f>USD_CURVES!N57</f>
        <v>#N/A</v>
      </c>
      <c r="DD57" s="207" t="str">
        <f t="shared" si="8"/>
        <v/>
      </c>
      <c r="DE57" s="207" t="str">
        <f>SAR_CURVES!CQ57</f>
        <v/>
      </c>
      <c r="DF57" s="207" t="str">
        <f>ZAR_CURVES!CU57</f>
        <v/>
      </c>
      <c r="DG57" t="str">
        <f>EUR_CURVES!CU57</f>
        <v/>
      </c>
      <c r="DH57" s="620"/>
      <c r="DT57" s="299"/>
      <c r="DU57" s="299"/>
      <c r="DV57" s="299"/>
      <c r="DW57" s="384"/>
      <c r="DX57" s="332"/>
      <c r="DY57" s="332"/>
      <c r="DZ57" s="332"/>
      <c r="EA57" s="332"/>
      <c r="EB57" s="332"/>
      <c r="EC57" s="332"/>
      <c r="ED57" s="332"/>
    </row>
    <row r="58" spans="6:134" x14ac:dyDescent="0.25">
      <c r="F58" s="50"/>
      <c r="G58" s="52"/>
      <c r="H58" s="52"/>
      <c r="I58" s="53"/>
      <c r="Q58" s="50"/>
      <c r="R58" s="222" t="s">
        <v>740</v>
      </c>
      <c r="S58" s="223" t="s">
        <v>718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770</v>
      </c>
      <c r="BK58" s="216" t="s">
        <v>621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N58" s="332"/>
      <c r="CQ58" t="e">
        <f>_xll.meLWOExists(CQ54,"CURVE")</f>
        <v>#VALUE!</v>
      </c>
      <c r="CS58" s="398" t="str">
        <v/>
      </c>
      <c r="CT58" s="607" t="str">
        <v/>
      </c>
      <c r="CU58" s="607" t="str">
        <v/>
      </c>
      <c r="CV58" s="607" t="str">
        <v/>
      </c>
      <c r="CW58" s="598" t="str">
        <v/>
      </c>
      <c r="CX58" s="401"/>
      <c r="CY58" s="401"/>
      <c r="CZ58" s="206"/>
      <c r="DA58" s="206"/>
      <c r="DB58" s="200" t="str">
        <f t="shared" si="7"/>
        <v/>
      </c>
      <c r="DC58" s="207" t="e">
        <f>USD_CURVES!N58</f>
        <v>#N/A</v>
      </c>
      <c r="DD58" s="207" t="str">
        <f t="shared" si="8"/>
        <v/>
      </c>
      <c r="DE58" s="207" t="str">
        <f>SAR_CURVES!CQ58</f>
        <v/>
      </c>
      <c r="DF58" s="207" t="str">
        <f>ZAR_CURVES!CU58</f>
        <v/>
      </c>
      <c r="DG58" t="str">
        <f>EUR_CURVES!CU58</f>
        <v/>
      </c>
      <c r="DH58" s="620"/>
      <c r="DT58" s="299"/>
      <c r="DU58" s="299"/>
      <c r="DV58" s="299"/>
      <c r="DW58" s="332"/>
      <c r="DX58" s="332"/>
      <c r="DY58" s="332"/>
      <c r="DZ58" s="332"/>
      <c r="EA58" s="332"/>
      <c r="EB58" s="332"/>
      <c r="EC58" s="332"/>
      <c r="ED58" s="332"/>
    </row>
    <row r="59" spans="6:134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772</v>
      </c>
      <c r="BK59" s="247" t="s">
        <v>842</v>
      </c>
      <c r="BL59" s="249" t="s">
        <v>801</v>
      </c>
      <c r="BT59" s="50"/>
      <c r="BU59" s="55"/>
      <c r="BV59" s="55"/>
      <c r="BW59" s="55"/>
      <c r="BX59" s="332"/>
      <c r="BY59" s="279"/>
      <c r="BZ59" s="282"/>
      <c r="CA59" s="283"/>
      <c r="CB59" s="299"/>
      <c r="CN59" s="332"/>
      <c r="CS59" s="398" t="str">
        <v/>
      </c>
      <c r="CT59" s="607" t="str">
        <v/>
      </c>
      <c r="CU59" s="607" t="str">
        <v/>
      </c>
      <c r="CV59" s="607" t="str">
        <v/>
      </c>
      <c r="CW59" s="598" t="str">
        <v/>
      </c>
      <c r="CX59" s="401"/>
      <c r="CY59" s="401"/>
      <c r="CZ59" s="206"/>
      <c r="DA59" s="206"/>
      <c r="DB59" s="200" t="str">
        <f t="shared" si="7"/>
        <v/>
      </c>
      <c r="DC59" s="207" t="e">
        <f>USD_CURVES!N59</f>
        <v>#N/A</v>
      </c>
      <c r="DD59" s="207" t="str">
        <f t="shared" si="8"/>
        <v/>
      </c>
      <c r="DE59" s="207" t="str">
        <f>SAR_CURVES!CQ59</f>
        <v/>
      </c>
      <c r="DF59" s="207" t="str">
        <f>ZAR_CURVES!CU59</f>
        <v/>
      </c>
      <c r="DG59" t="str">
        <f>EUR_CURVES!CU59</f>
        <v/>
      </c>
      <c r="DH59" s="620"/>
      <c r="DT59" s="299"/>
      <c r="DU59" s="299"/>
      <c r="DV59" s="299"/>
      <c r="DW59" s="332"/>
      <c r="DX59" s="332"/>
      <c r="DY59" s="332"/>
      <c r="DZ59" s="332"/>
      <c r="EA59" s="332"/>
      <c r="EB59" s="332"/>
      <c r="EC59" s="332"/>
      <c r="ED59" s="332"/>
    </row>
    <row r="60" spans="6:134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34" t="s">
        <v>771</v>
      </c>
      <c r="BK60" s="242" t="s">
        <v>842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N60" s="332"/>
      <c r="CS60" s="398" t="str">
        <v/>
      </c>
      <c r="CT60" s="607" t="str">
        <v/>
      </c>
      <c r="CU60" s="607" t="str">
        <v/>
      </c>
      <c r="CV60" s="607" t="str">
        <v/>
      </c>
      <c r="CW60" s="598" t="str">
        <v/>
      </c>
      <c r="CX60" s="401"/>
      <c r="CY60" s="401"/>
      <c r="CZ60" s="206"/>
      <c r="DA60" s="206"/>
      <c r="DB60" s="200" t="str">
        <f t="shared" si="7"/>
        <v/>
      </c>
      <c r="DC60" s="207" t="e">
        <f>USD_CURVES!N60</f>
        <v>#N/A</v>
      </c>
      <c r="DD60" s="207" t="str">
        <f t="shared" si="8"/>
        <v/>
      </c>
      <c r="DE60" s="207" t="str">
        <f>SAR_CURVES!CQ60</f>
        <v/>
      </c>
      <c r="DF60" s="207" t="str">
        <f>ZAR_CURVES!CU60</f>
        <v/>
      </c>
      <c r="DG60" t="str">
        <f>EUR_CURVES!CU60</f>
        <v/>
      </c>
      <c r="DH60" s="620"/>
      <c r="DT60" s="299"/>
      <c r="DU60" s="299"/>
      <c r="DV60" s="299"/>
      <c r="DW60" s="332"/>
      <c r="DX60" s="332"/>
      <c r="DY60" s="332"/>
      <c r="DZ60" s="332"/>
      <c r="EA60" s="332"/>
      <c r="EB60" s="332"/>
      <c r="EC60" s="332"/>
      <c r="ED60" s="332"/>
    </row>
    <row r="61" spans="6:134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45" t="s">
        <v>774</v>
      </c>
      <c r="BK61" s="244" t="s">
        <v>322</v>
      </c>
      <c r="BL61" s="53"/>
      <c r="BN61" s="500"/>
      <c r="BO61" s="206"/>
      <c r="BT61" s="50"/>
      <c r="BU61" s="55"/>
      <c r="BV61" s="55"/>
      <c r="BW61" s="55"/>
      <c r="BX61" s="332"/>
      <c r="BY61" s="279"/>
      <c r="BZ61" s="282"/>
      <c r="CA61" s="283"/>
      <c r="CB61" s="299"/>
      <c r="CN61" s="299"/>
      <c r="CS61" s="397" t="str">
        <v/>
      </c>
      <c r="CT61" s="608" t="str">
        <v/>
      </c>
      <c r="CU61" s="608" t="str">
        <v/>
      </c>
      <c r="CV61" s="608" t="str">
        <v/>
      </c>
      <c r="CW61" s="598" t="str">
        <v/>
      </c>
      <c r="CX61" s="401"/>
      <c r="CY61" s="401"/>
      <c r="CZ61" s="206"/>
      <c r="DA61" s="206"/>
      <c r="DB61" s="200" t="str">
        <f t="shared" si="7"/>
        <v/>
      </c>
      <c r="DC61" s="207" t="e">
        <f>USD_CURVES!N61</f>
        <v>#N/A</v>
      </c>
      <c r="DD61" s="207" t="str">
        <f t="shared" si="8"/>
        <v/>
      </c>
      <c r="DE61" s="207" t="str">
        <f>SAR_CURVES!CQ61</f>
        <v/>
      </c>
      <c r="DF61" s="207" t="str">
        <f>ZAR_CURVES!CU61</f>
        <v/>
      </c>
      <c r="DG61" t="str">
        <f>EUR_CURVES!CU61</f>
        <v/>
      </c>
      <c r="DH61" s="620"/>
      <c r="DT61" s="299"/>
      <c r="DU61" s="299"/>
      <c r="DV61" s="299"/>
      <c r="DW61" s="299"/>
      <c r="DX61" s="299"/>
      <c r="DY61" s="299"/>
      <c r="DZ61" s="299"/>
      <c r="EA61" s="299"/>
      <c r="EB61" s="299"/>
      <c r="EC61" s="299"/>
      <c r="ED61" s="299"/>
    </row>
    <row r="62" spans="6:134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775</v>
      </c>
      <c r="BK62" s="216" t="str">
        <f>INDEX('STATIC DATA'!C55:AB55,1,MATCH($A$1,'STATIC DATA'!C4:AB4,0))</f>
        <v>ACT/ACT</v>
      </c>
      <c r="BL62" s="53"/>
      <c r="BN62" s="206"/>
      <c r="BO62" s="501"/>
      <c r="BT62" s="50"/>
      <c r="BU62" s="55"/>
      <c r="BV62" s="55"/>
      <c r="BW62" s="55"/>
      <c r="BX62" s="332"/>
      <c r="BY62" s="279"/>
      <c r="BZ62" s="282"/>
      <c r="CA62" s="283"/>
      <c r="CB62" s="299"/>
      <c r="CN62" s="299"/>
      <c r="CS62" s="397" t="str">
        <v/>
      </c>
      <c r="CT62" s="608" t="str">
        <v/>
      </c>
      <c r="CU62" s="608" t="str">
        <v/>
      </c>
      <c r="CV62" s="608" t="str">
        <v/>
      </c>
      <c r="CW62" s="598" t="str">
        <v/>
      </c>
      <c r="CX62" s="401"/>
      <c r="CY62" s="401"/>
      <c r="CZ62" s="206"/>
      <c r="DA62" s="206"/>
      <c r="DB62" s="200" t="str">
        <f t="shared" si="7"/>
        <v/>
      </c>
      <c r="DC62" s="207" t="e">
        <f>USD_CURVES!N62</f>
        <v>#N/A</v>
      </c>
      <c r="DD62" s="207" t="str">
        <f t="shared" si="8"/>
        <v/>
      </c>
      <c r="DE62" s="207" t="str">
        <f>SAR_CURVES!CQ62</f>
        <v/>
      </c>
      <c r="DF62" s="207" t="str">
        <f>ZAR_CURVES!CU62</f>
        <v/>
      </c>
      <c r="DG62" t="str">
        <f>EUR_CURVES!CU62</f>
        <v/>
      </c>
      <c r="DH62" s="620"/>
      <c r="DT62" s="299"/>
      <c r="DU62" s="299"/>
      <c r="DV62" s="299"/>
      <c r="DW62" s="299"/>
      <c r="DX62" s="299"/>
      <c r="DY62" s="299"/>
      <c r="DZ62" s="299"/>
      <c r="EA62" s="299"/>
      <c r="EB62" s="299"/>
      <c r="EC62" s="299"/>
      <c r="ED62" s="299"/>
    </row>
    <row r="63" spans="6:134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776</v>
      </c>
      <c r="BK63" s="468" t="str">
        <f>BK54</f>
        <v>MWB:NYB:LNB</v>
      </c>
      <c r="BL63" s="53"/>
      <c r="BN63" s="206"/>
      <c r="BO63" s="502"/>
      <c r="BT63" s="50"/>
      <c r="BU63" s="55"/>
      <c r="BV63" s="55"/>
      <c r="BW63" s="55"/>
      <c r="BX63" s="332"/>
      <c r="BY63" s="279"/>
      <c r="BZ63" s="282"/>
      <c r="CA63" s="283"/>
      <c r="CB63" s="299"/>
      <c r="CN63" s="299"/>
      <c r="CS63" s="397" t="str">
        <v/>
      </c>
      <c r="CT63" s="608" t="str">
        <v/>
      </c>
      <c r="CU63" s="608" t="str">
        <v/>
      </c>
      <c r="CV63" s="608" t="str">
        <v/>
      </c>
      <c r="CW63" s="598" t="str">
        <v/>
      </c>
      <c r="CX63" s="401"/>
      <c r="CY63" s="401"/>
      <c r="CZ63" s="206"/>
      <c r="DA63" s="206"/>
      <c r="DB63" s="200" t="str">
        <f t="shared" si="7"/>
        <v/>
      </c>
      <c r="DC63" s="207" t="e">
        <f>USD_CURVES!N63</f>
        <v>#N/A</v>
      </c>
      <c r="DD63" s="207" t="str">
        <f t="shared" si="8"/>
        <v/>
      </c>
      <c r="DE63" s="207" t="str">
        <f>SAR_CURVES!CQ63</f>
        <v/>
      </c>
      <c r="DF63" s="207" t="str">
        <f>ZAR_CURVES!CU63</f>
        <v/>
      </c>
      <c r="DG63" t="str">
        <f>EUR_CURVES!CU63</f>
        <v/>
      </c>
      <c r="DH63" s="620"/>
      <c r="DT63" s="299"/>
      <c r="DU63" s="299"/>
      <c r="DV63" s="299"/>
      <c r="DW63" s="299"/>
      <c r="DX63" s="299"/>
      <c r="DY63" s="299"/>
      <c r="DZ63" s="299"/>
      <c r="EA63" s="299"/>
      <c r="EB63" s="299"/>
      <c r="EC63" s="299"/>
      <c r="ED63" s="299"/>
    </row>
    <row r="64" spans="6:134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777</v>
      </c>
      <c r="BK64" s="216" t="s">
        <v>721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N64" s="299"/>
      <c r="CS64" s="397" t="str">
        <v/>
      </c>
      <c r="CT64" s="608" t="str">
        <v/>
      </c>
      <c r="CU64" s="608" t="str">
        <v/>
      </c>
      <c r="CV64" s="608" t="str">
        <v/>
      </c>
      <c r="CW64" s="598" t="str">
        <v/>
      </c>
      <c r="CX64" s="401"/>
      <c r="CY64" s="401"/>
      <c r="CZ64" s="206"/>
      <c r="DA64" s="206"/>
      <c r="DB64" s="200" t="str">
        <f t="shared" si="7"/>
        <v/>
      </c>
      <c r="DC64" s="207" t="e">
        <f>USD_CURVES!N64</f>
        <v>#N/A</v>
      </c>
      <c r="DD64" s="207" t="str">
        <f t="shared" si="8"/>
        <v/>
      </c>
      <c r="DE64" s="207" t="str">
        <f>SAR_CURVES!CQ64</f>
        <v/>
      </c>
      <c r="DF64" s="207" t="str">
        <f>ZAR_CURVES!CU64</f>
        <v/>
      </c>
      <c r="DG64" t="str">
        <f>EUR_CURVES!CU64</f>
        <v/>
      </c>
      <c r="DH64" s="620"/>
      <c r="DT64" s="299"/>
      <c r="DU64" s="299"/>
      <c r="DV64" s="299"/>
      <c r="DW64" s="299"/>
      <c r="DX64" s="299"/>
      <c r="DY64" s="299"/>
      <c r="DZ64" s="299"/>
      <c r="EA64" s="299"/>
      <c r="EB64" s="299"/>
      <c r="EC64" s="299"/>
      <c r="ED64" s="299"/>
    </row>
    <row r="65" spans="6:134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778</v>
      </c>
      <c r="BK65" s="216" t="str">
        <f>INDEX('STATIC DATA'!C40:AB40,1,MATCH($A$1,'STATIC DATA'!$C$4:$AB$4,0))</f>
        <v>MWB</v>
      </c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N65" s="299"/>
      <c r="CS65" s="397" t="str">
        <v/>
      </c>
      <c r="CT65" s="608" t="str">
        <v/>
      </c>
      <c r="CU65" s="608" t="str">
        <v/>
      </c>
      <c r="CV65" s="608" t="str">
        <v/>
      </c>
      <c r="CW65" s="598" t="str">
        <v/>
      </c>
      <c r="CX65" s="401"/>
      <c r="CY65" s="401"/>
      <c r="CZ65" s="206"/>
      <c r="DA65" s="206"/>
      <c r="DB65" s="200" t="str">
        <f t="shared" si="7"/>
        <v/>
      </c>
      <c r="DC65" s="207" t="e">
        <f>USD_CURVES!N65</f>
        <v>#N/A</v>
      </c>
      <c r="DD65" s="207" t="str">
        <f t="shared" si="8"/>
        <v/>
      </c>
      <c r="DE65" s="207" t="str">
        <f>SAR_CURVES!CQ65</f>
        <v/>
      </c>
      <c r="DF65" s="207" t="str">
        <f>ZAR_CURVES!CU65</f>
        <v/>
      </c>
      <c r="DG65" t="str">
        <f>EUR_CURVES!CU65</f>
        <v/>
      </c>
      <c r="DH65" s="620"/>
      <c r="DT65" s="299"/>
      <c r="DU65" s="299"/>
      <c r="DV65" s="299"/>
      <c r="DW65" s="299"/>
      <c r="DX65" s="299"/>
      <c r="DY65" s="299"/>
      <c r="DZ65" s="299"/>
      <c r="EA65" s="299"/>
      <c r="EB65" s="299"/>
      <c r="EC65" s="299"/>
      <c r="ED65" s="299"/>
    </row>
    <row r="66" spans="6:134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5" t="s">
        <v>788</v>
      </c>
      <c r="AD66" s="219" t="b">
        <v>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779</v>
      </c>
      <c r="BK66" s="216" t="s">
        <v>621</v>
      </c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N66" s="299"/>
      <c r="CS66" s="397" t="str">
        <v/>
      </c>
      <c r="CT66" s="608" t="str">
        <v/>
      </c>
      <c r="CU66" s="608" t="str">
        <v/>
      </c>
      <c r="CV66" s="608" t="str">
        <v/>
      </c>
      <c r="CW66" s="598" t="str">
        <v/>
      </c>
      <c r="CX66" s="401"/>
      <c r="CY66" s="401"/>
      <c r="CZ66" s="206"/>
      <c r="DA66" s="206"/>
      <c r="DB66" s="200" t="str">
        <f t="shared" si="7"/>
        <v/>
      </c>
      <c r="DC66" s="207" t="e">
        <f>USD_CURVES!N66</f>
        <v>#N/A</v>
      </c>
      <c r="DD66" s="207" t="str">
        <f t="shared" si="8"/>
        <v/>
      </c>
      <c r="DE66" s="207" t="str">
        <f>SAR_CURVES!CQ66</f>
        <v/>
      </c>
      <c r="DF66" s="207" t="str">
        <f>ZAR_CURVES!CU66</f>
        <v/>
      </c>
      <c r="DG66" t="str">
        <f>EUR_CURVES!CU66</f>
        <v/>
      </c>
      <c r="DH66" s="620"/>
      <c r="DT66" s="299"/>
      <c r="DU66" s="299"/>
      <c r="DV66" s="299"/>
      <c r="DW66" s="299"/>
      <c r="DX66" s="299"/>
      <c r="DY66" s="299"/>
      <c r="DZ66" s="299"/>
      <c r="EA66" s="299"/>
      <c r="EB66" s="299"/>
      <c r="EC66" s="299"/>
      <c r="ED66" s="299"/>
    </row>
    <row r="67" spans="6:134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22" t="s">
        <v>780</v>
      </c>
      <c r="BK67" s="216" t="s">
        <v>687</v>
      </c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N67" s="299"/>
      <c r="CS67" s="397" t="str">
        <v/>
      </c>
      <c r="CT67" s="608" t="str">
        <v/>
      </c>
      <c r="CU67" s="608" t="str">
        <v/>
      </c>
      <c r="CV67" s="608" t="str">
        <v/>
      </c>
      <c r="CW67" s="598" t="str">
        <v/>
      </c>
      <c r="CX67" s="401"/>
      <c r="CY67" s="401"/>
      <c r="CZ67" s="206"/>
      <c r="DA67" s="206"/>
      <c r="DB67" s="200" t="str">
        <f t="shared" si="7"/>
        <v/>
      </c>
      <c r="DC67" s="207" t="e">
        <f>USD_CURVES!N67</f>
        <v>#N/A</v>
      </c>
      <c r="DD67" s="207" t="str">
        <f t="shared" si="8"/>
        <v/>
      </c>
      <c r="DE67" s="207" t="str">
        <f>SAR_CURVES!CQ67</f>
        <v/>
      </c>
      <c r="DF67" s="207" t="str">
        <f>ZAR_CURVES!CU67</f>
        <v/>
      </c>
      <c r="DG67" t="str">
        <f>EUR_CURVES!CU67</f>
        <v/>
      </c>
      <c r="DH67" s="620"/>
      <c r="DT67" s="299"/>
      <c r="DU67" s="299"/>
      <c r="DV67" s="299"/>
      <c r="DW67" s="299"/>
      <c r="DX67" s="299"/>
      <c r="DY67" s="299"/>
      <c r="DZ67" s="299"/>
      <c r="EA67" s="299"/>
      <c r="EB67" s="299"/>
      <c r="EC67" s="299"/>
      <c r="ED67" s="299"/>
    </row>
    <row r="68" spans="6:134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33" t="s">
        <v>781</v>
      </c>
      <c r="BK68" s="241" t="s">
        <v>810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N68" s="299"/>
      <c r="CS68" s="397" t="str">
        <v/>
      </c>
      <c r="CT68" s="608" t="str">
        <v/>
      </c>
      <c r="CU68" s="608" t="str">
        <v/>
      </c>
      <c r="CV68" s="608" t="str">
        <v/>
      </c>
      <c r="CW68" s="598" t="str">
        <v/>
      </c>
      <c r="CX68" s="401"/>
      <c r="CY68" s="401"/>
      <c r="CZ68" s="206"/>
      <c r="DA68" s="206"/>
      <c r="DB68" s="200" t="str">
        <f t="shared" si="7"/>
        <v/>
      </c>
      <c r="DC68" s="207" t="e">
        <f>USD_CURVES!N68</f>
        <v>#N/A</v>
      </c>
      <c r="DD68" s="207" t="str">
        <f t="shared" si="8"/>
        <v/>
      </c>
      <c r="DE68" s="207" t="str">
        <f>SAR_CURVES!CQ68</f>
        <v/>
      </c>
      <c r="DF68" s="207" t="str">
        <f>ZAR_CURVES!CU68</f>
        <v/>
      </c>
      <c r="DG68" t="str">
        <f>EUR_CURVES!CU68</f>
        <v/>
      </c>
      <c r="DH68" s="620"/>
      <c r="DT68" s="299"/>
      <c r="DU68" s="299"/>
      <c r="DV68" s="299"/>
      <c r="DW68" s="299"/>
      <c r="DX68" s="299"/>
      <c r="DY68" s="299"/>
      <c r="DZ68" s="299"/>
      <c r="EA68" s="299"/>
      <c r="EB68" s="299"/>
      <c r="EC68" s="299"/>
      <c r="ED68" s="299"/>
    </row>
    <row r="69" spans="6:134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2" t="s">
        <v>811</v>
      </c>
      <c r="BK69" s="216" t="b">
        <v>0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N69" s="299"/>
      <c r="CS69" s="397" t="str">
        <v/>
      </c>
      <c r="CT69" s="608" t="str">
        <v/>
      </c>
      <c r="CU69" s="608" t="str">
        <v/>
      </c>
      <c r="CV69" s="608" t="str">
        <v/>
      </c>
      <c r="CW69" s="598" t="str">
        <v/>
      </c>
      <c r="CX69" s="401"/>
      <c r="CY69" s="401"/>
      <c r="CZ69" s="206"/>
      <c r="DA69" s="206"/>
      <c r="DB69" s="200" t="str">
        <f t="shared" si="7"/>
        <v/>
      </c>
      <c r="DC69" s="207" t="e">
        <f>USD_CURVES!N69</f>
        <v>#N/A</v>
      </c>
      <c r="DD69" s="207" t="str">
        <f t="shared" si="8"/>
        <v/>
      </c>
      <c r="DE69" s="207" t="str">
        <f>SAR_CURVES!CQ69</f>
        <v/>
      </c>
      <c r="DF69" s="207" t="str">
        <f>ZAR_CURVES!CU69</f>
        <v/>
      </c>
      <c r="DG69" t="str">
        <f>EUR_CURVES!CU69</f>
        <v/>
      </c>
      <c r="DH69" s="620"/>
      <c r="DT69" s="299"/>
      <c r="DU69" s="299"/>
      <c r="DV69" s="299"/>
      <c r="DW69" s="299"/>
      <c r="DX69" s="299"/>
      <c r="DY69" s="299"/>
      <c r="DZ69" s="299"/>
      <c r="EA69" s="299"/>
      <c r="EB69" s="299"/>
      <c r="EC69" s="299"/>
      <c r="ED69" s="299"/>
    </row>
    <row r="70" spans="6:134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2" t="s">
        <v>812</v>
      </c>
      <c r="BK70" s="216" t="b">
        <v>1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N70" s="299"/>
      <c r="CS70" s="397" t="str">
        <v/>
      </c>
      <c r="CT70" s="608" t="str">
        <v/>
      </c>
      <c r="CU70" s="608" t="str">
        <v/>
      </c>
      <c r="CV70" s="608" t="str">
        <v/>
      </c>
      <c r="CW70" s="598" t="str">
        <v/>
      </c>
      <c r="CX70" s="401"/>
      <c r="CY70" s="401"/>
      <c r="CZ70" s="206"/>
      <c r="DA70" s="206"/>
      <c r="DB70" s="200" t="str">
        <f t="shared" si="7"/>
        <v/>
      </c>
      <c r="DC70" s="207" t="e">
        <f>USD_CURVES!N70</f>
        <v>#N/A</v>
      </c>
      <c r="DD70" s="207" t="str">
        <f t="shared" si="8"/>
        <v/>
      </c>
      <c r="DE70" s="207" t="str">
        <f>SAR_CURVES!CQ70</f>
        <v/>
      </c>
      <c r="DF70" s="207" t="str">
        <f>ZAR_CURVES!CU70</f>
        <v/>
      </c>
      <c r="DG70" t="str">
        <f>EUR_CURVES!CU70</f>
        <v/>
      </c>
      <c r="DH70" s="620"/>
      <c r="DT70" s="299"/>
      <c r="DU70" s="299"/>
      <c r="DV70" s="299"/>
      <c r="DW70" s="299"/>
      <c r="DX70" s="299"/>
      <c r="DY70" s="299"/>
      <c r="DZ70" s="299"/>
      <c r="EA70" s="299"/>
      <c r="EB70" s="299"/>
      <c r="EC70" s="299"/>
      <c r="ED70" s="299"/>
    </row>
    <row r="71" spans="6:134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2" t="s">
        <v>688</v>
      </c>
      <c r="BK71" s="216">
        <v>31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N71" s="299"/>
      <c r="CS71" s="397" t="str">
        <v/>
      </c>
      <c r="CT71" s="608" t="str">
        <v/>
      </c>
      <c r="CU71" s="608" t="str">
        <v/>
      </c>
      <c r="CV71" s="608" t="str">
        <v/>
      </c>
      <c r="CW71" s="598" t="str">
        <v/>
      </c>
      <c r="CX71" s="401"/>
      <c r="CY71" s="401"/>
      <c r="CZ71" s="206"/>
      <c r="DA71" s="206"/>
      <c r="DB71" s="200" t="str">
        <f t="shared" si="7"/>
        <v/>
      </c>
      <c r="DC71" s="207" t="e">
        <f>USD_CURVES!N71</f>
        <v>#N/A</v>
      </c>
      <c r="DD71" s="207" t="str">
        <f t="shared" si="8"/>
        <v/>
      </c>
      <c r="DE71" s="207" t="str">
        <f>SAR_CURVES!CQ71</f>
        <v/>
      </c>
      <c r="DF71" s="207" t="str">
        <f>ZAR_CURVES!CU71</f>
        <v/>
      </c>
      <c r="DG71" t="str">
        <f>EUR_CURVES!CU71</f>
        <v/>
      </c>
      <c r="DH71" s="620"/>
      <c r="DT71" s="299"/>
      <c r="DU71" s="299"/>
      <c r="DV71" s="299"/>
      <c r="DW71" s="299"/>
      <c r="DX71" s="299"/>
      <c r="DY71" s="299"/>
      <c r="DZ71" s="299"/>
      <c r="EA71" s="299"/>
      <c r="EB71" s="299"/>
      <c r="EC71" s="299"/>
      <c r="ED71" s="299"/>
    </row>
    <row r="72" spans="6:134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2" t="s">
        <v>689</v>
      </c>
      <c r="BK72" s="216" t="b">
        <v>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N72" s="299"/>
      <c r="CS72" s="397" t="str">
        <v/>
      </c>
      <c r="CT72" s="608" t="str">
        <v/>
      </c>
      <c r="CU72" s="608" t="str">
        <v/>
      </c>
      <c r="CV72" s="608" t="str">
        <v/>
      </c>
      <c r="CW72" s="598" t="str">
        <v/>
      </c>
      <c r="CX72" s="401"/>
      <c r="CY72" s="401"/>
      <c r="CZ72" s="206"/>
      <c r="DA72" s="206"/>
      <c r="DB72" s="200" t="str">
        <f t="shared" ref="DB72:DB128" si="14">CS72</f>
        <v/>
      </c>
      <c r="DC72" s="207" t="e">
        <f>USD_CURVES!N72</f>
        <v>#N/A</v>
      </c>
      <c r="DD72" s="207" t="str">
        <f t="shared" ref="DD72:DD128" si="15">CU72</f>
        <v/>
      </c>
      <c r="DE72" s="207" t="str">
        <f>SAR_CURVES!CQ72</f>
        <v/>
      </c>
      <c r="DF72" s="207" t="str">
        <f>ZAR_CURVES!CU72</f>
        <v/>
      </c>
      <c r="DG72" t="str">
        <f>EUR_CURVES!CU72</f>
        <v/>
      </c>
      <c r="DH72" s="620"/>
      <c r="DT72" s="299"/>
      <c r="DU72" s="299"/>
      <c r="DV72" s="299"/>
      <c r="DW72" s="299"/>
      <c r="DX72" s="299"/>
      <c r="DY72" s="299"/>
      <c r="DZ72" s="299"/>
      <c r="EA72" s="299"/>
      <c r="EB72" s="299"/>
      <c r="EC72" s="299"/>
      <c r="ED72" s="299"/>
    </row>
    <row r="73" spans="6:134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22" t="s">
        <v>740</v>
      </c>
      <c r="BK73" s="216" t="b">
        <v>1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N73" s="299"/>
      <c r="CS73" s="397" t="str">
        <v/>
      </c>
      <c r="CT73" s="608" t="str">
        <v/>
      </c>
      <c r="CU73" s="608" t="str">
        <v/>
      </c>
      <c r="CV73" s="608" t="str">
        <v/>
      </c>
      <c r="CW73" s="598" t="str">
        <v/>
      </c>
      <c r="CX73" s="401"/>
      <c r="CY73" s="401"/>
      <c r="CZ73" s="206"/>
      <c r="DA73" s="206"/>
      <c r="DB73" s="200" t="str">
        <f t="shared" si="14"/>
        <v/>
      </c>
      <c r="DC73" s="207" t="e">
        <f>USD_CURVES!N73</f>
        <v>#N/A</v>
      </c>
      <c r="DD73" s="207" t="str">
        <f t="shared" si="15"/>
        <v/>
      </c>
      <c r="DE73" s="207" t="str">
        <f>SAR_CURVES!CQ73</f>
        <v/>
      </c>
      <c r="DF73" s="207" t="str">
        <f>ZAR_CURVES!CU73</f>
        <v/>
      </c>
      <c r="DG73" t="str">
        <f>EUR_CURVES!CU73</f>
        <v/>
      </c>
      <c r="DH73" s="620"/>
      <c r="DT73" s="299"/>
      <c r="DU73" s="299"/>
      <c r="DV73" s="299"/>
      <c r="DW73" s="299"/>
      <c r="DX73" s="299"/>
      <c r="DY73" s="299"/>
      <c r="DZ73" s="299"/>
      <c r="EA73" s="299"/>
      <c r="EB73" s="299"/>
      <c r="EC73" s="299"/>
      <c r="ED73" s="299"/>
    </row>
    <row r="74" spans="6:134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22" t="s">
        <v>813</v>
      </c>
      <c r="BK74" s="216" t="b">
        <v>0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N74" s="299"/>
      <c r="CS74" s="397" t="str">
        <v/>
      </c>
      <c r="CT74" s="608" t="str">
        <v/>
      </c>
      <c r="CU74" s="608" t="str">
        <v/>
      </c>
      <c r="CV74" s="608" t="str">
        <v/>
      </c>
      <c r="CW74" s="598" t="str">
        <v/>
      </c>
      <c r="CX74" s="401"/>
      <c r="CY74" s="401"/>
      <c r="CZ74" s="206"/>
      <c r="DA74" s="206"/>
      <c r="DB74" s="200" t="str">
        <f t="shared" si="14"/>
        <v/>
      </c>
      <c r="DC74" s="207" t="e">
        <f>USD_CURVES!N74</f>
        <v>#N/A</v>
      </c>
      <c r="DD74" s="207" t="str">
        <f t="shared" si="15"/>
        <v/>
      </c>
      <c r="DE74" s="207" t="str">
        <f>SAR_CURVES!CQ74</f>
        <v/>
      </c>
      <c r="DF74" s="207" t="str">
        <f>ZAR_CURVES!CU74</f>
        <v/>
      </c>
      <c r="DG74" t="str">
        <f>EUR_CURVES!CU74</f>
        <v/>
      </c>
      <c r="DH74" s="620"/>
      <c r="DT74" s="299"/>
      <c r="DU74" s="299"/>
      <c r="DV74" s="299"/>
      <c r="DW74" s="299"/>
      <c r="DX74" s="299"/>
      <c r="DY74" s="299"/>
      <c r="DZ74" s="299"/>
      <c r="EA74" s="299"/>
      <c r="EB74" s="299"/>
      <c r="EC74" s="299"/>
      <c r="ED74" s="299"/>
    </row>
    <row r="75" spans="6:134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33"/>
      <c r="BK75" s="246"/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N75" s="299"/>
      <c r="CS75" s="397" t="str">
        <v/>
      </c>
      <c r="CT75" s="608" t="str">
        <v/>
      </c>
      <c r="CU75" s="608" t="str">
        <v/>
      </c>
      <c r="CV75" s="608" t="str">
        <v/>
      </c>
      <c r="CW75" s="598" t="str">
        <v/>
      </c>
      <c r="CX75" s="401"/>
      <c r="CY75" s="401"/>
      <c r="CZ75" s="206"/>
      <c r="DA75" s="206"/>
      <c r="DB75" s="200" t="str">
        <f t="shared" si="14"/>
        <v/>
      </c>
      <c r="DC75" s="207" t="e">
        <f>USD_CURVES!N75</f>
        <v>#N/A</v>
      </c>
      <c r="DD75" s="207" t="str">
        <f t="shared" si="15"/>
        <v/>
      </c>
      <c r="DE75" s="207" t="str">
        <f>SAR_CURVES!CQ75</f>
        <v/>
      </c>
      <c r="DF75" s="207" t="str">
        <f>ZAR_CURVES!CU75</f>
        <v/>
      </c>
      <c r="DG75" t="str">
        <f>EUR_CURVES!CU75</f>
        <v/>
      </c>
      <c r="DH75" s="620"/>
      <c r="DT75" s="299"/>
      <c r="DU75" s="299"/>
      <c r="DV75" s="299"/>
      <c r="DW75" s="299"/>
      <c r="DX75" s="299"/>
      <c r="DY75" s="299"/>
      <c r="DZ75" s="299"/>
      <c r="EA75" s="299"/>
      <c r="EB75" s="299"/>
      <c r="EC75" s="299"/>
      <c r="ED75" s="299"/>
    </row>
    <row r="76" spans="6:134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52"/>
      <c r="BK76" s="253"/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N76" s="299"/>
      <c r="CS76" s="397" t="str">
        <v/>
      </c>
      <c r="CT76" s="608" t="str">
        <v/>
      </c>
      <c r="CU76" s="608" t="str">
        <v/>
      </c>
      <c r="CV76" s="608" t="str">
        <v/>
      </c>
      <c r="CW76" s="598" t="str">
        <v/>
      </c>
      <c r="CX76" s="401"/>
      <c r="CY76" s="401"/>
      <c r="CZ76" s="206"/>
      <c r="DA76" s="206"/>
      <c r="DB76" s="200" t="str">
        <f t="shared" si="14"/>
        <v/>
      </c>
      <c r="DC76" s="207" t="e">
        <f>USD_CURVES!N76</f>
        <v>#N/A</v>
      </c>
      <c r="DD76" s="207" t="str">
        <f t="shared" si="15"/>
        <v/>
      </c>
      <c r="DE76" s="207" t="str">
        <f>SAR_CURVES!CQ76</f>
        <v/>
      </c>
      <c r="DF76" s="207" t="str">
        <f>ZAR_CURVES!CU76</f>
        <v/>
      </c>
      <c r="DG76" t="str">
        <f>EUR_CURVES!CU76</f>
        <v/>
      </c>
      <c r="DH76" s="620"/>
      <c r="DT76" s="299"/>
      <c r="DU76" s="299"/>
      <c r="DV76" s="299"/>
      <c r="DW76" s="299"/>
      <c r="DX76" s="299"/>
      <c r="DY76" s="299"/>
      <c r="DZ76" s="299"/>
      <c r="EA76" s="299"/>
      <c r="EB76" s="299"/>
      <c r="EC76" s="299"/>
      <c r="ED76" s="299"/>
    </row>
    <row r="77" spans="6:134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250"/>
      <c r="BK77" s="254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N77" s="299"/>
      <c r="CS77" s="397" t="str">
        <v/>
      </c>
      <c r="CT77" s="608" t="str">
        <v/>
      </c>
      <c r="CU77" s="608" t="str">
        <v/>
      </c>
      <c r="CV77" s="608" t="str">
        <v/>
      </c>
      <c r="CW77" s="598" t="str">
        <v/>
      </c>
      <c r="CX77" s="401"/>
      <c r="CY77" s="401"/>
      <c r="CZ77" s="206"/>
      <c r="DA77" s="206"/>
      <c r="DB77" s="200" t="str">
        <f t="shared" si="14"/>
        <v/>
      </c>
      <c r="DC77" s="207" t="e">
        <f>USD_CURVES!N77</f>
        <v>#N/A</v>
      </c>
      <c r="DD77" s="207" t="str">
        <f t="shared" si="15"/>
        <v/>
      </c>
      <c r="DE77" s="207" t="str">
        <f>SAR_CURVES!CQ77</f>
        <v/>
      </c>
      <c r="DF77" s="207" t="str">
        <f>ZAR_CURVES!CU77</f>
        <v/>
      </c>
      <c r="DG77" t="str">
        <f>EUR_CURVES!CU77</f>
        <v/>
      </c>
      <c r="DH77" s="620"/>
      <c r="DT77" s="299"/>
      <c r="DU77" s="299"/>
      <c r="DV77" s="299"/>
      <c r="DW77" s="299"/>
      <c r="DX77" s="299"/>
      <c r="DY77" s="299"/>
      <c r="DZ77" s="299"/>
      <c r="EA77" s="299"/>
      <c r="EB77" s="299"/>
      <c r="EC77" s="299"/>
      <c r="ED77" s="299"/>
    </row>
    <row r="78" spans="6:134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N78" s="299"/>
      <c r="CS78" s="397" t="str">
        <v/>
      </c>
      <c r="CT78" s="608" t="str">
        <v/>
      </c>
      <c r="CU78" s="608" t="str">
        <v/>
      </c>
      <c r="CV78" s="608" t="str">
        <v/>
      </c>
      <c r="CW78" s="598" t="str">
        <v/>
      </c>
      <c r="CX78" s="401"/>
      <c r="CY78" s="401"/>
      <c r="CZ78" s="206"/>
      <c r="DA78" s="206"/>
      <c r="DB78" s="200" t="str">
        <f t="shared" si="14"/>
        <v/>
      </c>
      <c r="DC78" s="207" t="e">
        <f>USD_CURVES!N78</f>
        <v>#N/A</v>
      </c>
      <c r="DD78" s="207" t="str">
        <f t="shared" si="15"/>
        <v/>
      </c>
      <c r="DE78" s="207" t="str">
        <f>SAR_CURVES!CQ78</f>
        <v/>
      </c>
      <c r="DF78" s="207" t="str">
        <f>ZAR_CURVES!CU78</f>
        <v/>
      </c>
      <c r="DG78" t="str">
        <f>EUR_CURVES!CU78</f>
        <v/>
      </c>
      <c r="DH78" s="620"/>
      <c r="DT78" s="299"/>
      <c r="DU78" s="299"/>
      <c r="DV78" s="299"/>
      <c r="DW78" s="299"/>
      <c r="DX78" s="299"/>
      <c r="DY78" s="299"/>
      <c r="DZ78" s="299"/>
      <c r="EA78" s="299"/>
      <c r="EB78" s="299"/>
      <c r="EC78" s="299"/>
      <c r="ED78" s="299"/>
    </row>
    <row r="79" spans="6:134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N79" s="299"/>
      <c r="CS79" s="397" t="str">
        <v/>
      </c>
      <c r="CT79" s="608" t="str">
        <v/>
      </c>
      <c r="CU79" s="608" t="str">
        <v/>
      </c>
      <c r="CV79" s="608" t="str">
        <v/>
      </c>
      <c r="CW79" s="598" t="str">
        <v/>
      </c>
      <c r="CX79" s="401"/>
      <c r="CY79" s="401"/>
      <c r="CZ79" s="206"/>
      <c r="DA79" s="206"/>
      <c r="DB79" s="200" t="str">
        <f t="shared" si="14"/>
        <v/>
      </c>
      <c r="DC79" s="207" t="e">
        <f>USD_CURVES!N79</f>
        <v>#N/A</v>
      </c>
      <c r="DD79" s="207" t="str">
        <f t="shared" si="15"/>
        <v/>
      </c>
      <c r="DE79" s="207" t="str">
        <f>SAR_CURVES!CQ79</f>
        <v/>
      </c>
      <c r="DF79" s="207" t="str">
        <f>ZAR_CURVES!CU79</f>
        <v/>
      </c>
      <c r="DG79" t="str">
        <f>EUR_CURVES!CU79</f>
        <v/>
      </c>
      <c r="DH79" s="620"/>
      <c r="DT79" s="299"/>
      <c r="DU79" s="299"/>
      <c r="DV79" s="299"/>
      <c r="DW79" s="299"/>
      <c r="DX79" s="299"/>
      <c r="DY79" s="299"/>
      <c r="DZ79" s="299"/>
      <c r="EA79" s="299"/>
      <c r="EB79" s="299"/>
      <c r="EC79" s="299"/>
      <c r="ED79" s="299"/>
    </row>
    <row r="80" spans="6:134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N80" s="299"/>
      <c r="CS80" s="397" t="str">
        <v/>
      </c>
      <c r="CT80" s="608" t="str">
        <v/>
      </c>
      <c r="CU80" s="608" t="str">
        <v/>
      </c>
      <c r="CV80" s="608" t="str">
        <v/>
      </c>
      <c r="CW80" s="598" t="str">
        <v/>
      </c>
      <c r="CX80" s="401"/>
      <c r="CY80" s="401"/>
      <c r="CZ80" s="206"/>
      <c r="DA80" s="206"/>
      <c r="DB80" s="200" t="str">
        <f t="shared" si="14"/>
        <v/>
      </c>
      <c r="DC80" s="207" t="e">
        <f>USD_CURVES!N80</f>
        <v>#N/A</v>
      </c>
      <c r="DD80" s="207" t="str">
        <f t="shared" si="15"/>
        <v/>
      </c>
      <c r="DE80" s="207" t="str">
        <f>SAR_CURVES!CQ80</f>
        <v/>
      </c>
      <c r="DF80" s="207" t="str">
        <f>ZAR_CURVES!CU80</f>
        <v/>
      </c>
      <c r="DG80" t="str">
        <f>EUR_CURVES!CU80</f>
        <v/>
      </c>
      <c r="DH80" s="620"/>
      <c r="DT80" s="299"/>
      <c r="DU80" s="299"/>
      <c r="DV80" s="299"/>
      <c r="DW80" s="299"/>
      <c r="DX80" s="299"/>
      <c r="DY80" s="299"/>
      <c r="DZ80" s="299"/>
      <c r="EA80" s="299"/>
      <c r="EB80" s="299"/>
      <c r="EC80" s="299"/>
      <c r="ED80" s="299"/>
    </row>
    <row r="81" spans="6:134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N81" s="299"/>
      <c r="CS81" s="397" t="str">
        <v/>
      </c>
      <c r="CT81" s="608" t="str">
        <v/>
      </c>
      <c r="CU81" s="608" t="str">
        <v/>
      </c>
      <c r="CV81" s="608" t="str">
        <v/>
      </c>
      <c r="CW81" s="598" t="str">
        <v/>
      </c>
      <c r="CX81" s="401"/>
      <c r="CY81" s="401"/>
      <c r="CZ81" s="206"/>
      <c r="DA81" s="206"/>
      <c r="DB81" s="200" t="str">
        <f t="shared" si="14"/>
        <v/>
      </c>
      <c r="DC81" s="207" t="e">
        <f>USD_CURVES!N81</f>
        <v>#N/A</v>
      </c>
      <c r="DD81" s="207" t="str">
        <f t="shared" si="15"/>
        <v/>
      </c>
      <c r="DE81" s="207" t="str">
        <f>SAR_CURVES!CQ81</f>
        <v/>
      </c>
      <c r="DF81" s="207" t="str">
        <f>ZAR_CURVES!CU81</f>
        <v/>
      </c>
      <c r="DG81" t="str">
        <f>EUR_CURVES!CU81</f>
        <v/>
      </c>
      <c r="DH81" s="620"/>
      <c r="DT81" s="299"/>
      <c r="DU81" s="299"/>
      <c r="DV81" s="299"/>
      <c r="DW81" s="299"/>
      <c r="DX81" s="299"/>
      <c r="DY81" s="299"/>
      <c r="DZ81" s="299"/>
      <c r="EA81" s="299"/>
      <c r="EB81" s="299"/>
      <c r="EC81" s="299"/>
      <c r="ED81" s="299"/>
    </row>
    <row r="82" spans="6:134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N82" s="299"/>
      <c r="CS82" s="397" t="str">
        <v/>
      </c>
      <c r="CT82" s="608" t="str">
        <v/>
      </c>
      <c r="CU82" s="608" t="str">
        <v/>
      </c>
      <c r="CV82" s="608" t="str">
        <v/>
      </c>
      <c r="CW82" s="598" t="str">
        <v/>
      </c>
      <c r="CX82" s="401"/>
      <c r="CY82" s="401"/>
      <c r="CZ82" s="206"/>
      <c r="DA82" s="206"/>
      <c r="DB82" s="200" t="str">
        <f t="shared" si="14"/>
        <v/>
      </c>
      <c r="DC82" s="207" t="e">
        <f>USD_CURVES!N82</f>
        <v>#N/A</v>
      </c>
      <c r="DD82" s="207" t="str">
        <f t="shared" si="15"/>
        <v/>
      </c>
      <c r="DE82" s="207" t="str">
        <f>SAR_CURVES!CQ82</f>
        <v/>
      </c>
      <c r="DF82" s="207" t="str">
        <f>ZAR_CURVES!CU82</f>
        <v/>
      </c>
      <c r="DG82" t="str">
        <f>EUR_CURVES!CU82</f>
        <v/>
      </c>
      <c r="DH82" s="620"/>
      <c r="DT82" s="299"/>
      <c r="DU82" s="299"/>
      <c r="DV82" s="299"/>
      <c r="DW82" s="299"/>
      <c r="DX82" s="299"/>
      <c r="DY82" s="299"/>
      <c r="DZ82" s="299"/>
      <c r="EA82" s="299"/>
      <c r="EB82" s="299"/>
      <c r="EC82" s="299"/>
      <c r="ED82" s="299"/>
    </row>
    <row r="83" spans="6:134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N83" s="299"/>
      <c r="CS83" s="397" t="str">
        <v/>
      </c>
      <c r="CT83" s="608" t="str">
        <v/>
      </c>
      <c r="CU83" s="608" t="str">
        <v/>
      </c>
      <c r="CV83" s="608" t="str">
        <v/>
      </c>
      <c r="CW83" s="598" t="str">
        <v/>
      </c>
      <c r="CX83" s="401"/>
      <c r="CY83" s="401"/>
      <c r="CZ83" s="206"/>
      <c r="DA83" s="206"/>
      <c r="DB83" s="200" t="str">
        <f t="shared" si="14"/>
        <v/>
      </c>
      <c r="DC83" s="207" t="e">
        <f>USD_CURVES!N83</f>
        <v>#N/A</v>
      </c>
      <c r="DD83" s="207" t="str">
        <f t="shared" si="15"/>
        <v/>
      </c>
      <c r="DE83" s="207" t="str">
        <f>SAR_CURVES!CQ83</f>
        <v/>
      </c>
      <c r="DF83" s="207" t="str">
        <f>ZAR_CURVES!CU83</f>
        <v/>
      </c>
      <c r="DG83" t="str">
        <f>EUR_CURVES!CU83</f>
        <v/>
      </c>
      <c r="DH83" s="620"/>
      <c r="DT83" s="299"/>
      <c r="DU83" s="299"/>
      <c r="DV83" s="299"/>
      <c r="DW83" s="299"/>
      <c r="DX83" s="299"/>
      <c r="DY83" s="299"/>
      <c r="DZ83" s="299"/>
      <c r="EA83" s="299"/>
      <c r="EB83" s="299"/>
      <c r="EC83" s="299"/>
      <c r="ED83" s="299"/>
    </row>
    <row r="84" spans="6:134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N84" s="299"/>
      <c r="CS84" s="397" t="str">
        <v/>
      </c>
      <c r="CT84" s="608" t="str">
        <v/>
      </c>
      <c r="CU84" s="608" t="str">
        <v/>
      </c>
      <c r="CV84" s="608" t="str">
        <v/>
      </c>
      <c r="CW84" s="598" t="str">
        <v/>
      </c>
      <c r="CX84" s="401"/>
      <c r="CY84" s="401"/>
      <c r="CZ84" s="206"/>
      <c r="DA84" s="206"/>
      <c r="DB84" s="200" t="str">
        <f t="shared" si="14"/>
        <v/>
      </c>
      <c r="DC84" s="207" t="e">
        <f>USD_CURVES!N84</f>
        <v>#N/A</v>
      </c>
      <c r="DD84" s="207" t="str">
        <f t="shared" si="15"/>
        <v/>
      </c>
      <c r="DE84" s="207" t="str">
        <f>SAR_CURVES!CQ84</f>
        <v/>
      </c>
      <c r="DF84" s="207" t="str">
        <f>ZAR_CURVES!CU84</f>
        <v/>
      </c>
      <c r="DG84" t="str">
        <f>EUR_CURVES!CU84</f>
        <v/>
      </c>
      <c r="DH84" s="620"/>
      <c r="DT84" s="332"/>
      <c r="DU84" s="332"/>
      <c r="DV84" s="332"/>
      <c r="DW84" s="299"/>
      <c r="DX84" s="299"/>
      <c r="DY84" s="299"/>
      <c r="DZ84" s="299"/>
      <c r="EA84" s="299"/>
      <c r="EB84" s="299"/>
      <c r="EC84" s="299"/>
      <c r="ED84" s="299"/>
    </row>
    <row r="85" spans="6:134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N85" s="299"/>
      <c r="CS85" s="397" t="str">
        <v/>
      </c>
      <c r="CT85" s="608" t="str">
        <v/>
      </c>
      <c r="CU85" s="608" t="str">
        <v/>
      </c>
      <c r="CV85" s="608" t="str">
        <v/>
      </c>
      <c r="CW85" s="598" t="str">
        <v/>
      </c>
      <c r="CX85" s="401"/>
      <c r="CY85" s="401"/>
      <c r="CZ85" s="206"/>
      <c r="DA85" s="206"/>
      <c r="DB85" s="200" t="str">
        <f t="shared" si="14"/>
        <v/>
      </c>
      <c r="DC85" s="207" t="e">
        <f>USD_CURVES!N85</f>
        <v>#N/A</v>
      </c>
      <c r="DD85" s="207" t="str">
        <f t="shared" si="15"/>
        <v/>
      </c>
      <c r="DE85" s="207" t="str">
        <f>SAR_CURVES!CQ85</f>
        <v/>
      </c>
      <c r="DF85" s="207" t="str">
        <f>ZAR_CURVES!CU85</f>
        <v/>
      </c>
      <c r="DG85" t="str">
        <f>EUR_CURVES!CU85</f>
        <v/>
      </c>
      <c r="DH85" s="620"/>
      <c r="DT85" s="332"/>
      <c r="DU85" s="332"/>
      <c r="DV85" s="332"/>
      <c r="DW85" s="299"/>
      <c r="DX85" s="299"/>
      <c r="DY85" s="299"/>
      <c r="DZ85" s="299"/>
      <c r="EA85" s="299"/>
      <c r="EB85" s="299"/>
      <c r="EC85" s="299"/>
      <c r="ED85" s="299"/>
    </row>
    <row r="86" spans="6:134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N86" s="299"/>
      <c r="CS86" s="397" t="str">
        <v/>
      </c>
      <c r="CT86" s="608" t="str">
        <v/>
      </c>
      <c r="CU86" s="608" t="str">
        <v/>
      </c>
      <c r="CV86" s="608" t="str">
        <v/>
      </c>
      <c r="CW86" s="598" t="str">
        <v/>
      </c>
      <c r="CX86" s="401"/>
      <c r="CY86" s="401"/>
      <c r="CZ86" s="206"/>
      <c r="DA86" s="206"/>
      <c r="DB86" s="200" t="str">
        <f t="shared" si="14"/>
        <v/>
      </c>
      <c r="DC86" s="207" t="e">
        <f>USD_CURVES!N86</f>
        <v>#N/A</v>
      </c>
      <c r="DD86" s="207" t="str">
        <f t="shared" si="15"/>
        <v/>
      </c>
      <c r="DE86" s="207" t="str">
        <f>SAR_CURVES!CQ86</f>
        <v/>
      </c>
      <c r="DF86" s="207" t="str">
        <f>ZAR_CURVES!CU86</f>
        <v/>
      </c>
      <c r="DG86" t="str">
        <f>EUR_CURVES!CU86</f>
        <v/>
      </c>
      <c r="DH86" s="620"/>
      <c r="DT86" s="332"/>
      <c r="DU86" s="332"/>
      <c r="DV86" s="332"/>
      <c r="DW86" s="299"/>
      <c r="DX86" s="299"/>
      <c r="DY86" s="299"/>
      <c r="DZ86" s="299"/>
      <c r="EA86" s="299"/>
      <c r="EB86" s="299"/>
      <c r="EC86" s="299"/>
      <c r="ED86" s="299"/>
    </row>
    <row r="87" spans="6:134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N87" s="299"/>
      <c r="CS87" s="397" t="str">
        <v/>
      </c>
      <c r="CT87" s="608" t="str">
        <v/>
      </c>
      <c r="CU87" s="608" t="str">
        <v/>
      </c>
      <c r="CV87" s="608" t="str">
        <v/>
      </c>
      <c r="CW87" s="598" t="str">
        <v/>
      </c>
      <c r="CX87" s="401"/>
      <c r="CY87" s="401"/>
      <c r="CZ87" s="206"/>
      <c r="DA87" s="206"/>
      <c r="DB87" s="200" t="str">
        <f t="shared" si="14"/>
        <v/>
      </c>
      <c r="DC87" s="207" t="e">
        <f>USD_CURVES!N87</f>
        <v>#N/A</v>
      </c>
      <c r="DD87" s="207" t="str">
        <f t="shared" si="15"/>
        <v/>
      </c>
      <c r="DE87" s="207" t="str">
        <f>SAR_CURVES!CQ87</f>
        <v/>
      </c>
      <c r="DF87" s="207" t="str">
        <f>ZAR_CURVES!CU87</f>
        <v/>
      </c>
      <c r="DG87" t="str">
        <f>EUR_CURVES!CU87</f>
        <v/>
      </c>
      <c r="DH87" s="620"/>
      <c r="DT87" s="332"/>
      <c r="DU87" s="332"/>
      <c r="DV87" s="332"/>
      <c r="DW87" s="299"/>
      <c r="DX87" s="299"/>
      <c r="DY87" s="299"/>
      <c r="DZ87" s="299"/>
      <c r="EA87" s="299"/>
      <c r="EB87" s="299"/>
      <c r="EC87" s="299"/>
      <c r="ED87" s="299"/>
    </row>
    <row r="88" spans="6:134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N88" s="299"/>
      <c r="CS88" s="397" t="str">
        <v/>
      </c>
      <c r="CT88" s="608" t="str">
        <v/>
      </c>
      <c r="CU88" s="608" t="str">
        <v/>
      </c>
      <c r="CV88" s="608" t="str">
        <v/>
      </c>
      <c r="CW88" s="598" t="str">
        <v/>
      </c>
      <c r="CX88" s="401"/>
      <c r="CY88" s="401"/>
      <c r="CZ88" s="206"/>
      <c r="DA88" s="206"/>
      <c r="DB88" s="200" t="str">
        <f t="shared" si="14"/>
        <v/>
      </c>
      <c r="DC88" s="207">
        <f>USD_CURVES!N88</f>
        <v>0</v>
      </c>
      <c r="DD88" s="207" t="str">
        <f t="shared" si="15"/>
        <v/>
      </c>
      <c r="DE88" s="207" t="str">
        <f>SAR_CURVES!CQ88</f>
        <v/>
      </c>
      <c r="DF88" s="207" t="str">
        <f>ZAR_CURVES!CU88</f>
        <v/>
      </c>
      <c r="DG88" t="str">
        <f>EUR_CURVES!CU88</f>
        <v/>
      </c>
      <c r="DH88" s="620"/>
      <c r="DT88" s="332"/>
      <c r="DU88" s="332"/>
      <c r="DV88" s="332"/>
      <c r="DW88" s="299"/>
      <c r="DX88" s="299"/>
      <c r="DY88" s="299"/>
      <c r="DZ88" s="299"/>
      <c r="EA88" s="299"/>
      <c r="EB88" s="299"/>
      <c r="EC88" s="299"/>
      <c r="ED88" s="299"/>
    </row>
    <row r="89" spans="6:134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N89" s="299"/>
      <c r="CS89" s="397" t="str">
        <v/>
      </c>
      <c r="CT89" s="608" t="str">
        <v/>
      </c>
      <c r="CU89" s="608" t="str">
        <v/>
      </c>
      <c r="CV89" s="608" t="str">
        <v/>
      </c>
      <c r="CW89" s="598" t="str">
        <v/>
      </c>
      <c r="CX89" s="401"/>
      <c r="CY89" s="401"/>
      <c r="CZ89" s="206"/>
      <c r="DA89" s="206"/>
      <c r="DB89" s="200" t="str">
        <f t="shared" si="14"/>
        <v/>
      </c>
      <c r="DC89" s="207">
        <f>USD_CURVES!N89</f>
        <v>0</v>
      </c>
      <c r="DD89" s="207" t="str">
        <f t="shared" si="15"/>
        <v/>
      </c>
      <c r="DE89" s="207" t="str">
        <f>SAR_CURVES!CQ89</f>
        <v/>
      </c>
      <c r="DF89" s="207" t="str">
        <f>ZAR_CURVES!CU89</f>
        <v/>
      </c>
      <c r="DG89" t="str">
        <f>EUR_CURVES!CU89</f>
        <v/>
      </c>
      <c r="DH89" s="620"/>
      <c r="DT89" s="332"/>
      <c r="DU89" s="332"/>
      <c r="DV89" s="332"/>
      <c r="DW89" s="299"/>
      <c r="DX89" s="299"/>
      <c r="DY89" s="299"/>
      <c r="DZ89" s="299"/>
      <c r="EA89" s="299"/>
      <c r="EB89" s="299"/>
      <c r="EC89" s="299"/>
      <c r="ED89" s="299"/>
    </row>
    <row r="90" spans="6:134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N90" s="299"/>
      <c r="CS90" s="397" t="str">
        <v/>
      </c>
      <c r="CT90" s="608" t="str">
        <v/>
      </c>
      <c r="CU90" s="608" t="str">
        <v/>
      </c>
      <c r="CV90" s="608" t="str">
        <v/>
      </c>
      <c r="CW90" s="598" t="str">
        <v/>
      </c>
      <c r="CX90" s="401"/>
      <c r="CY90" s="401"/>
      <c r="CZ90" s="206"/>
      <c r="DA90" s="206"/>
      <c r="DB90" s="200" t="str">
        <f t="shared" si="14"/>
        <v/>
      </c>
      <c r="DC90" s="207">
        <f>USD_CURVES!N90</f>
        <v>0</v>
      </c>
      <c r="DD90" s="207" t="str">
        <f t="shared" si="15"/>
        <v/>
      </c>
      <c r="DE90" s="207" t="str">
        <f>SAR_CURVES!CQ90</f>
        <v/>
      </c>
      <c r="DF90" s="207" t="str">
        <f>ZAR_CURVES!CU90</f>
        <v/>
      </c>
      <c r="DG90" t="str">
        <f>EUR_CURVES!CU90</f>
        <v/>
      </c>
      <c r="DH90" s="620"/>
      <c r="DT90" s="332"/>
      <c r="DU90" s="332"/>
      <c r="DV90" s="332"/>
      <c r="DW90" s="299"/>
      <c r="DX90" s="299"/>
      <c r="DY90" s="299"/>
      <c r="DZ90" s="299"/>
      <c r="EA90" s="299"/>
      <c r="EB90" s="299"/>
      <c r="EC90" s="299"/>
      <c r="ED90" s="299"/>
    </row>
    <row r="91" spans="6:134" x14ac:dyDescent="0.25">
      <c r="F91" s="75"/>
      <c r="G91" s="76"/>
      <c r="H91" s="76"/>
      <c r="I91" s="77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N91" s="299"/>
      <c r="CS91" s="397" t="str">
        <v/>
      </c>
      <c r="CT91" s="608" t="str">
        <v/>
      </c>
      <c r="CU91" s="608" t="str">
        <v/>
      </c>
      <c r="CV91" s="608" t="str">
        <v/>
      </c>
      <c r="CW91" s="598" t="str">
        <v/>
      </c>
      <c r="CX91" s="401"/>
      <c r="CY91" s="401"/>
      <c r="CZ91" s="206"/>
      <c r="DA91" s="206"/>
      <c r="DB91" s="200" t="str">
        <f t="shared" si="14"/>
        <v/>
      </c>
      <c r="DC91" s="207">
        <f>USD_CURVES!N91</f>
        <v>0</v>
      </c>
      <c r="DD91" s="207" t="str">
        <f t="shared" si="15"/>
        <v/>
      </c>
      <c r="DE91" s="207" t="str">
        <f>SAR_CURVES!CQ91</f>
        <v/>
      </c>
      <c r="DF91" s="207" t="str">
        <f>ZAR_CURVES!CU91</f>
        <v/>
      </c>
      <c r="DG91" t="str">
        <f>EUR_CURVES!CU91</f>
        <v/>
      </c>
      <c r="DH91" s="620"/>
      <c r="DT91" s="332"/>
      <c r="DU91" s="332"/>
      <c r="DV91" s="332"/>
      <c r="DW91" s="299"/>
      <c r="DX91" s="299"/>
      <c r="DY91" s="299"/>
      <c r="DZ91" s="299"/>
      <c r="EA91" s="299"/>
      <c r="EB91" s="299"/>
      <c r="EC91" s="299"/>
      <c r="ED91" s="299"/>
    </row>
    <row r="92" spans="6:134" x14ac:dyDescent="0.25"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N92" s="299"/>
      <c r="CS92" s="397" t="str">
        <v/>
      </c>
      <c r="CT92" s="608" t="str">
        <v/>
      </c>
      <c r="CU92" s="608" t="str">
        <v/>
      </c>
      <c r="CV92" s="608" t="str">
        <v/>
      </c>
      <c r="CW92" s="598" t="str">
        <v/>
      </c>
      <c r="CX92" s="401"/>
      <c r="CY92" s="401"/>
      <c r="CZ92" s="206"/>
      <c r="DA92" s="206"/>
      <c r="DB92" s="200" t="str">
        <f t="shared" si="14"/>
        <v/>
      </c>
      <c r="DC92" s="207">
        <f>USD_CURVES!N92</f>
        <v>0</v>
      </c>
      <c r="DD92" s="207" t="str">
        <f t="shared" si="15"/>
        <v/>
      </c>
      <c r="DE92" s="207" t="str">
        <f>SAR_CURVES!CQ92</f>
        <v/>
      </c>
      <c r="DF92" s="207" t="str">
        <f>ZAR_CURVES!CU92</f>
        <v/>
      </c>
      <c r="DG92" t="str">
        <f>EUR_CURVES!CU92</f>
        <v/>
      </c>
      <c r="DH92" s="620"/>
      <c r="DT92" s="299"/>
      <c r="DU92" s="299"/>
      <c r="DV92" s="299"/>
      <c r="DW92" s="299"/>
      <c r="DX92" s="299"/>
      <c r="DY92" s="299"/>
      <c r="DZ92" s="299"/>
      <c r="EA92" s="299"/>
      <c r="EB92" s="299"/>
      <c r="EC92" s="299"/>
      <c r="ED92" s="299"/>
    </row>
    <row r="93" spans="6:134" x14ac:dyDescent="0.25"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N93" s="299"/>
      <c r="CS93" s="397" t="str">
        <v/>
      </c>
      <c r="CT93" s="608" t="str">
        <v/>
      </c>
      <c r="CU93" s="608" t="str">
        <v/>
      </c>
      <c r="CV93" s="608" t="str">
        <v/>
      </c>
      <c r="CW93" s="598" t="str">
        <v/>
      </c>
      <c r="CX93" s="401"/>
      <c r="CY93" s="401"/>
      <c r="CZ93" s="206"/>
      <c r="DA93" s="206"/>
      <c r="DB93" s="200" t="str">
        <f t="shared" si="14"/>
        <v/>
      </c>
      <c r="DC93" s="207">
        <f>USD_CURVES!N93</f>
        <v>0</v>
      </c>
      <c r="DD93" s="207" t="str">
        <f t="shared" si="15"/>
        <v/>
      </c>
      <c r="DE93" s="207" t="str">
        <f>SAR_CURVES!CQ93</f>
        <v/>
      </c>
      <c r="DF93" s="207" t="str">
        <f>ZAR_CURVES!CU93</f>
        <v/>
      </c>
      <c r="DG93" t="str">
        <f>EUR_CURVES!CU93</f>
        <v/>
      </c>
      <c r="DH93" s="620"/>
      <c r="DT93" s="299"/>
      <c r="DU93" s="299"/>
      <c r="DV93" s="299"/>
      <c r="DW93" s="299"/>
      <c r="DX93" s="299"/>
      <c r="DY93" s="299"/>
      <c r="DZ93" s="299"/>
      <c r="EA93" s="299"/>
      <c r="EB93" s="299"/>
      <c r="EC93" s="299"/>
      <c r="ED93" s="299"/>
    </row>
    <row r="94" spans="6:134" x14ac:dyDescent="0.25"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N94" s="298"/>
      <c r="CS94" s="399" t="str">
        <v/>
      </c>
      <c r="CT94" s="609" t="str">
        <v/>
      </c>
      <c r="CU94" s="609" t="str">
        <v/>
      </c>
      <c r="CV94" s="609" t="str">
        <v/>
      </c>
      <c r="CW94" s="616" t="str">
        <v/>
      </c>
      <c r="CX94" s="401"/>
      <c r="CY94" s="401"/>
      <c r="CZ94" s="206"/>
      <c r="DA94" s="206"/>
      <c r="DB94" s="200" t="str">
        <f t="shared" si="14"/>
        <v/>
      </c>
      <c r="DC94" s="207">
        <f>USD_CURVES!N94</f>
        <v>0</v>
      </c>
      <c r="DD94" s="207" t="str">
        <f t="shared" si="15"/>
        <v/>
      </c>
      <c r="DE94" s="207" t="str">
        <f>SAR_CURVES!CQ94</f>
        <v/>
      </c>
      <c r="DF94" s="207" t="str">
        <f>ZAR_CURVES!CU94</f>
        <v/>
      </c>
      <c r="DG94" t="str">
        <f>EUR_CURVES!CU94</f>
        <v/>
      </c>
      <c r="DH94" s="620"/>
      <c r="DT94" s="299"/>
      <c r="DU94" s="299"/>
      <c r="DV94" s="299"/>
      <c r="DW94" s="298"/>
      <c r="DX94" s="298"/>
      <c r="DY94" s="298"/>
      <c r="DZ94" s="298"/>
      <c r="EA94" s="298"/>
      <c r="EB94" s="298"/>
      <c r="EC94" s="298"/>
      <c r="ED94" s="298"/>
    </row>
    <row r="95" spans="6:134" x14ac:dyDescent="0.25"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N95" s="206"/>
      <c r="CS95" s="400" t="str">
        <v/>
      </c>
      <c r="CT95" s="610" t="str">
        <v/>
      </c>
      <c r="CU95" s="610" t="str">
        <v/>
      </c>
      <c r="CV95" s="610" t="str">
        <v/>
      </c>
      <c r="CW95" s="610" t="str">
        <v/>
      </c>
      <c r="CX95" s="401"/>
      <c r="CY95" s="401"/>
      <c r="CZ95" s="206"/>
      <c r="DA95" s="206"/>
      <c r="DB95" s="200" t="str">
        <f t="shared" si="14"/>
        <v/>
      </c>
      <c r="DC95" s="207">
        <f>USD_CURVES!N95</f>
        <v>0</v>
      </c>
      <c r="DD95" s="207" t="str">
        <f t="shared" si="15"/>
        <v/>
      </c>
      <c r="DE95" s="207" t="str">
        <f>SAR_CURVES!CQ95</f>
        <v/>
      </c>
      <c r="DF95" s="207" t="str">
        <f>ZAR_CURVES!CU95</f>
        <v/>
      </c>
      <c r="DG95" t="str">
        <f>EUR_CURVES!CU95</f>
        <v/>
      </c>
      <c r="DH95" s="620"/>
      <c r="DT95" s="299"/>
      <c r="DU95" s="299"/>
      <c r="DV95" s="299"/>
      <c r="DW95" s="206"/>
      <c r="DX95" s="206"/>
      <c r="DY95" s="206"/>
      <c r="DZ95" s="206"/>
      <c r="EA95" s="206"/>
      <c r="EB95" s="206"/>
      <c r="EC95" s="206"/>
      <c r="ED95" s="206"/>
    </row>
    <row r="96" spans="6:134" x14ac:dyDescent="0.25"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N96" s="206"/>
      <c r="CS96" s="400" t="str">
        <v/>
      </c>
      <c r="CT96" s="610" t="str">
        <v/>
      </c>
      <c r="CU96" s="610" t="str">
        <v/>
      </c>
      <c r="CV96" s="610" t="str">
        <v/>
      </c>
      <c r="CW96" s="610" t="str">
        <v/>
      </c>
      <c r="CX96" s="401"/>
      <c r="CY96" s="401"/>
      <c r="CZ96" s="206"/>
      <c r="DA96" s="206"/>
      <c r="DB96" s="200" t="str">
        <f t="shared" si="14"/>
        <v/>
      </c>
      <c r="DC96" s="207">
        <f>USD_CURVES!N96</f>
        <v>0</v>
      </c>
      <c r="DD96" s="207" t="str">
        <f t="shared" si="15"/>
        <v/>
      </c>
      <c r="DE96" s="207" t="str">
        <f>SAR_CURVES!CQ96</f>
        <v/>
      </c>
      <c r="DF96" s="207" t="str">
        <f>ZAR_CURVES!CU96</f>
        <v/>
      </c>
      <c r="DG96" t="str">
        <f>EUR_CURVES!CU96</f>
        <v/>
      </c>
      <c r="DH96" s="620"/>
      <c r="DT96" s="299"/>
      <c r="DU96" s="299"/>
      <c r="DV96" s="299"/>
      <c r="DW96" s="206"/>
      <c r="DX96" s="206"/>
      <c r="DY96" s="206"/>
      <c r="DZ96" s="206"/>
      <c r="EA96" s="206"/>
      <c r="EB96" s="206"/>
      <c r="EC96" s="206"/>
      <c r="ED96" s="206"/>
    </row>
    <row r="97" spans="28:126" x14ac:dyDescent="0.25"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S97" s="360" t="str">
        <v/>
      </c>
      <c r="CT97" s="600" t="str">
        <v/>
      </c>
      <c r="CU97" s="600" t="str">
        <v/>
      </c>
      <c r="CV97" s="600" t="str">
        <v/>
      </c>
      <c r="CW97" s="600" t="str">
        <v/>
      </c>
      <c r="CX97" s="401"/>
      <c r="DB97" s="200" t="str">
        <f t="shared" si="14"/>
        <v/>
      </c>
      <c r="DC97" s="207">
        <f>USD_CURVES!N97</f>
        <v>0</v>
      </c>
      <c r="DD97" s="207" t="str">
        <f t="shared" si="15"/>
        <v/>
      </c>
      <c r="DE97" s="207" t="str">
        <f>SAR_CURVES!CQ97</f>
        <v/>
      </c>
      <c r="DF97" s="207" t="str">
        <f>ZAR_CURVES!CU97</f>
        <v/>
      </c>
      <c r="DG97" t="str">
        <f>EUR_CURVES!CU97</f>
        <v/>
      </c>
      <c r="DH97" s="620"/>
      <c r="DT97" s="299"/>
      <c r="DU97" s="299"/>
      <c r="DV97" s="299"/>
    </row>
    <row r="98" spans="28:126" x14ac:dyDescent="0.25"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S98" s="360" t="str">
        <v/>
      </c>
      <c r="CT98" s="600" t="str">
        <v/>
      </c>
      <c r="CU98" s="600" t="str">
        <v/>
      </c>
      <c r="CV98" s="600" t="str">
        <v/>
      </c>
      <c r="CW98" s="600" t="str">
        <v/>
      </c>
      <c r="CX98" s="401"/>
      <c r="DB98" s="200" t="str">
        <f t="shared" si="14"/>
        <v/>
      </c>
      <c r="DC98" s="207">
        <f>USD_CURVES!N98</f>
        <v>0</v>
      </c>
      <c r="DD98" s="207" t="str">
        <f t="shared" si="15"/>
        <v/>
      </c>
      <c r="DE98" s="207" t="str">
        <f>SAR_CURVES!CQ98</f>
        <v/>
      </c>
      <c r="DF98" s="207" t="str">
        <f>ZAR_CURVES!CU98</f>
        <v/>
      </c>
      <c r="DG98" t="str">
        <f>EUR_CURVES!CU98</f>
        <v/>
      </c>
      <c r="DH98" s="620"/>
      <c r="DT98" s="299"/>
      <c r="DU98" s="299"/>
      <c r="DV98" s="299"/>
    </row>
    <row r="99" spans="28:126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S99" s="360" t="str">
        <v/>
      </c>
      <c r="CT99" s="600" t="str">
        <v/>
      </c>
      <c r="CU99" s="600" t="str">
        <v/>
      </c>
      <c r="CV99" s="600" t="str">
        <v/>
      </c>
      <c r="CW99" s="600" t="str">
        <v/>
      </c>
      <c r="CX99" s="401"/>
      <c r="DB99" s="200" t="str">
        <f t="shared" si="14"/>
        <v/>
      </c>
      <c r="DC99" s="207">
        <f>USD_CURVES!N99</f>
        <v>0</v>
      </c>
      <c r="DD99" s="207" t="str">
        <f t="shared" si="15"/>
        <v/>
      </c>
      <c r="DE99" s="207" t="str">
        <f>SAR_CURVES!CQ99</f>
        <v/>
      </c>
      <c r="DF99" s="207" t="str">
        <f>ZAR_CURVES!CU99</f>
        <v/>
      </c>
      <c r="DG99" t="str">
        <f>EUR_CURVES!CU99</f>
        <v/>
      </c>
      <c r="DH99" s="620"/>
      <c r="DI99" s="206"/>
      <c r="DT99" s="299"/>
      <c r="DU99" s="299"/>
      <c r="DV99" s="299"/>
    </row>
    <row r="100" spans="28:126" x14ac:dyDescent="0.25">
      <c r="BT100" s="206"/>
      <c r="BU100" s="206"/>
      <c r="BV100" s="206"/>
      <c r="BW100" s="206"/>
      <c r="BY100" s="299"/>
      <c r="BZ100" s="299"/>
      <c r="CA100" s="299"/>
      <c r="CB100" s="299"/>
      <c r="CS100" s="360" t="str">
        <v/>
      </c>
      <c r="CT100" s="600" t="str">
        <v/>
      </c>
      <c r="CU100" s="600" t="str">
        <v/>
      </c>
      <c r="CV100" s="600" t="str">
        <v/>
      </c>
      <c r="CW100" s="600" t="str">
        <v/>
      </c>
      <c r="CX100" s="401"/>
      <c r="DB100" s="200" t="str">
        <f t="shared" si="14"/>
        <v/>
      </c>
      <c r="DC100" s="207">
        <f>USD_CURVES!N100</f>
        <v>0</v>
      </c>
      <c r="DD100" s="207" t="str">
        <f t="shared" si="15"/>
        <v/>
      </c>
      <c r="DE100" s="207" t="str">
        <f>SAR_CURVES!CQ100</f>
        <v/>
      </c>
      <c r="DF100" s="207" t="str">
        <f>ZAR_CURVES!CU100</f>
        <v/>
      </c>
      <c r="DG100" t="str">
        <f>EUR_CURVES!CU100</f>
        <v/>
      </c>
      <c r="DH100" s="620"/>
      <c r="DI100" s="206"/>
      <c r="DT100" s="299"/>
      <c r="DU100" s="299"/>
      <c r="DV100" s="299"/>
    </row>
    <row r="101" spans="28:126" x14ac:dyDescent="0.25">
      <c r="BT101" s="206"/>
      <c r="BU101" s="206"/>
      <c r="BV101" s="206"/>
      <c r="BW101" s="206"/>
      <c r="BY101" s="299"/>
      <c r="BZ101" s="299"/>
      <c r="CA101" s="299"/>
      <c r="CB101" s="299"/>
      <c r="CS101" s="360" t="str">
        <v/>
      </c>
      <c r="CT101" s="600" t="str">
        <v/>
      </c>
      <c r="CU101" s="600" t="str">
        <v/>
      </c>
      <c r="CV101" s="600" t="str">
        <v/>
      </c>
      <c r="CW101" s="600" t="str">
        <v/>
      </c>
      <c r="CX101" s="401"/>
      <c r="DB101" s="200" t="str">
        <f t="shared" si="14"/>
        <v/>
      </c>
      <c r="DC101" s="207">
        <f>USD_CURVES!N101</f>
        <v>0</v>
      </c>
      <c r="DD101" s="207" t="str">
        <f t="shared" si="15"/>
        <v/>
      </c>
      <c r="DE101" s="207" t="str">
        <f>SAR_CURVES!CQ101</f>
        <v/>
      </c>
      <c r="DF101" s="207" t="str">
        <f>ZAR_CURVES!CU101</f>
        <v/>
      </c>
      <c r="DG101" t="str">
        <f>EUR_CURVES!CU101</f>
        <v/>
      </c>
      <c r="DH101" s="620"/>
      <c r="DI101" s="206"/>
      <c r="DT101" s="299"/>
      <c r="DU101" s="299"/>
      <c r="DV101" s="299"/>
    </row>
    <row r="102" spans="28:126" x14ac:dyDescent="0.25">
      <c r="BT102" s="206"/>
      <c r="BU102" s="206"/>
      <c r="BV102" s="206"/>
      <c r="BW102" s="206"/>
      <c r="BY102" s="299"/>
      <c r="BZ102" s="299"/>
      <c r="CA102" s="299"/>
      <c r="CB102" s="299"/>
      <c r="CS102" s="360" t="str">
        <v/>
      </c>
      <c r="CT102" s="600" t="str">
        <v/>
      </c>
      <c r="CU102" s="600" t="str">
        <v/>
      </c>
      <c r="CV102" s="600" t="str">
        <v/>
      </c>
      <c r="CW102" s="600" t="str">
        <v/>
      </c>
      <c r="CX102" s="401"/>
      <c r="DB102" s="200" t="str">
        <f t="shared" si="14"/>
        <v/>
      </c>
      <c r="DC102" s="207">
        <f>USD_CURVES!N102</f>
        <v>0</v>
      </c>
      <c r="DD102" s="207" t="str">
        <f t="shared" si="15"/>
        <v/>
      </c>
      <c r="DE102" s="207" t="str">
        <f>SAR_CURVES!CQ102</f>
        <v/>
      </c>
      <c r="DF102" s="207" t="str">
        <f>ZAR_CURVES!CU102</f>
        <v/>
      </c>
      <c r="DG102" t="str">
        <f>EUR_CURVES!CU102</f>
        <v/>
      </c>
      <c r="DH102" s="620"/>
      <c r="DI102" s="206"/>
      <c r="DT102" s="299"/>
      <c r="DU102" s="299"/>
      <c r="DV102" s="299"/>
    </row>
    <row r="103" spans="28:126" x14ac:dyDescent="0.25">
      <c r="BT103" s="206"/>
      <c r="BU103" s="206"/>
      <c r="BV103" s="206"/>
      <c r="BW103" s="206"/>
      <c r="BY103" s="299"/>
      <c r="BZ103" s="299"/>
      <c r="CA103" s="299"/>
      <c r="CB103" s="299"/>
      <c r="CS103" s="360" t="str">
        <v/>
      </c>
      <c r="CT103" s="600" t="str">
        <v/>
      </c>
      <c r="CU103" s="600" t="str">
        <v/>
      </c>
      <c r="CV103" s="600" t="str">
        <v/>
      </c>
      <c r="CW103" s="600" t="str">
        <v/>
      </c>
      <c r="CX103" s="401"/>
      <c r="DB103" s="200" t="str">
        <f t="shared" si="14"/>
        <v/>
      </c>
      <c r="DC103" s="207">
        <f>USD_CURVES!N103</f>
        <v>0</v>
      </c>
      <c r="DD103" s="207" t="str">
        <f t="shared" si="15"/>
        <v/>
      </c>
      <c r="DE103" s="207" t="str">
        <f>SAR_CURVES!CQ103</f>
        <v/>
      </c>
      <c r="DF103" s="207" t="str">
        <f>ZAR_CURVES!CU103</f>
        <v/>
      </c>
      <c r="DG103" t="str">
        <f>EUR_CURVES!CU103</f>
        <v/>
      </c>
      <c r="DH103" s="620"/>
      <c r="DI103" s="206"/>
      <c r="DT103" s="299"/>
      <c r="DU103" s="299"/>
      <c r="DV103" s="299"/>
    </row>
    <row r="104" spans="28:126" x14ac:dyDescent="0.25">
      <c r="BT104" s="206"/>
      <c r="BU104" s="206"/>
      <c r="BV104" s="206"/>
      <c r="BW104" s="206"/>
      <c r="BY104" s="299"/>
      <c r="BZ104" s="299"/>
      <c r="CA104" s="299"/>
      <c r="CB104" s="299"/>
      <c r="CS104" s="360" t="str">
        <v/>
      </c>
      <c r="CT104" s="600" t="str">
        <v/>
      </c>
      <c r="CU104" s="600" t="str">
        <v/>
      </c>
      <c r="CV104" s="600" t="str">
        <v/>
      </c>
      <c r="CW104" s="600" t="str">
        <v/>
      </c>
      <c r="CX104" s="401"/>
      <c r="DB104" s="200" t="str">
        <f t="shared" si="14"/>
        <v/>
      </c>
      <c r="DC104" s="207">
        <f>USD_CURVES!N104</f>
        <v>0</v>
      </c>
      <c r="DD104" s="207" t="str">
        <f t="shared" si="15"/>
        <v/>
      </c>
      <c r="DE104" s="207">
        <f>SAR_CURVES!CQ104</f>
        <v>0</v>
      </c>
      <c r="DF104" s="207">
        <f>ZAR_CURVES!CU104</f>
        <v>0</v>
      </c>
      <c r="DG104" t="str">
        <f>EUR_CURVES!CU104</f>
        <v/>
      </c>
      <c r="DH104" s="620"/>
      <c r="DI104" s="206"/>
      <c r="DT104" s="299"/>
      <c r="DU104" s="299"/>
      <c r="DV104" s="299"/>
    </row>
    <row r="105" spans="28:126" x14ac:dyDescent="0.25">
      <c r="BT105" s="206"/>
      <c r="BU105" s="206"/>
      <c r="BV105" s="206"/>
      <c r="BW105" s="206"/>
      <c r="BY105" s="299"/>
      <c r="BZ105" s="299"/>
      <c r="CA105" s="299"/>
      <c r="CB105" s="299"/>
      <c r="CS105" s="360" t="str">
        <v/>
      </c>
      <c r="CT105" s="600" t="str">
        <v/>
      </c>
      <c r="CU105" s="600" t="str">
        <v/>
      </c>
      <c r="CV105" s="600" t="str">
        <v/>
      </c>
      <c r="CW105" s="600" t="str">
        <v/>
      </c>
      <c r="CX105" s="401"/>
      <c r="DB105" s="200" t="str">
        <f t="shared" si="14"/>
        <v/>
      </c>
      <c r="DC105" s="207">
        <f>USD_CURVES!N105</f>
        <v>0</v>
      </c>
      <c r="DD105" s="207" t="str">
        <f t="shared" si="15"/>
        <v/>
      </c>
      <c r="DE105" s="207">
        <f>SAR_CURVES!CQ105</f>
        <v>0</v>
      </c>
      <c r="DF105" s="207">
        <f>ZAR_CURVES!CU105</f>
        <v>0</v>
      </c>
      <c r="DG105" t="str">
        <f>EUR_CURVES!CU105</f>
        <v/>
      </c>
      <c r="DH105" s="620"/>
      <c r="DI105" s="206"/>
      <c r="DT105" s="299"/>
      <c r="DU105" s="299"/>
      <c r="DV105" s="299"/>
    </row>
    <row r="106" spans="28:126" x14ac:dyDescent="0.25">
      <c r="BN106" s="484"/>
      <c r="BO106" s="485"/>
      <c r="BT106" s="206"/>
      <c r="BU106" s="206"/>
      <c r="BV106" s="206"/>
      <c r="BW106" s="206"/>
      <c r="BY106" s="299"/>
      <c r="BZ106" s="299"/>
      <c r="CA106" s="299"/>
      <c r="CB106" s="299"/>
      <c r="CS106" s="360" t="str">
        <v/>
      </c>
      <c r="CT106" s="600" t="str">
        <v/>
      </c>
      <c r="CU106" s="600" t="str">
        <v/>
      </c>
      <c r="CV106" s="600" t="str">
        <v/>
      </c>
      <c r="CW106" s="600" t="str">
        <v/>
      </c>
      <c r="CX106" s="401"/>
      <c r="DB106" s="200" t="str">
        <f t="shared" si="14"/>
        <v/>
      </c>
      <c r="DC106" s="207">
        <f>USD_CURVES!N106</f>
        <v>0</v>
      </c>
      <c r="DD106" s="207" t="str">
        <f t="shared" si="15"/>
        <v/>
      </c>
      <c r="DE106" s="207">
        <f>SAR_CURVES!CQ106</f>
        <v>0</v>
      </c>
      <c r="DF106" s="207">
        <f>ZAR_CURVES!CU106</f>
        <v>0</v>
      </c>
      <c r="DG106" t="str">
        <f>EUR_CURVES!CU106</f>
        <v/>
      </c>
      <c r="DH106" s="620"/>
      <c r="DI106" s="206"/>
      <c r="DT106" s="299"/>
      <c r="DU106" s="299"/>
      <c r="DV106" s="299"/>
    </row>
    <row r="107" spans="28:126" x14ac:dyDescent="0.25">
      <c r="BN107" s="290"/>
      <c r="BO107" s="485"/>
      <c r="BT107" s="206"/>
      <c r="BU107" s="206"/>
      <c r="BV107" s="206"/>
      <c r="BW107" s="206"/>
      <c r="BY107" s="299"/>
      <c r="BZ107" s="299"/>
      <c r="CA107" s="299"/>
      <c r="CB107" s="299"/>
      <c r="CS107" s="360" t="str">
        <v/>
      </c>
      <c r="CT107" s="600" t="str">
        <v/>
      </c>
      <c r="CU107" s="600" t="str">
        <v/>
      </c>
      <c r="CV107" s="600" t="str">
        <v/>
      </c>
      <c r="CW107" s="600" t="str">
        <v/>
      </c>
      <c r="CX107" s="401"/>
      <c r="DB107" s="200" t="str">
        <f t="shared" si="14"/>
        <v/>
      </c>
      <c r="DC107" s="207">
        <f>USD_CURVES!N107</f>
        <v>0</v>
      </c>
      <c r="DD107" s="207" t="str">
        <f t="shared" si="15"/>
        <v/>
      </c>
      <c r="DE107" s="207">
        <f>SAR_CURVES!CQ107</f>
        <v>0</v>
      </c>
      <c r="DF107" s="207">
        <f>ZAR_CURVES!CU107</f>
        <v>0</v>
      </c>
      <c r="DG107" t="str">
        <f>EUR_CURVES!CU107</f>
        <v/>
      </c>
      <c r="DH107" s="620"/>
      <c r="DI107" s="206"/>
      <c r="DT107" s="299"/>
      <c r="DU107" s="299"/>
      <c r="DV107" s="299"/>
    </row>
    <row r="108" spans="28:126" x14ac:dyDescent="0.25">
      <c r="BN108" s="290"/>
      <c r="BO108" s="485"/>
      <c r="BT108" s="206"/>
      <c r="BU108" s="206"/>
      <c r="BV108" s="206"/>
      <c r="BW108" s="206"/>
      <c r="BY108" s="299"/>
      <c r="BZ108" s="299"/>
      <c r="CA108" s="299"/>
      <c r="CB108" s="299"/>
      <c r="CS108" s="360" t="str">
        <v/>
      </c>
      <c r="CT108" s="600" t="str">
        <v/>
      </c>
      <c r="CU108" s="600" t="str">
        <v/>
      </c>
      <c r="CV108" s="600" t="str">
        <v/>
      </c>
      <c r="CW108" s="600" t="str">
        <v/>
      </c>
      <c r="CX108" s="401"/>
      <c r="DB108" s="200" t="str">
        <f t="shared" si="14"/>
        <v/>
      </c>
      <c r="DC108" s="207">
        <f>USD_CURVES!N108</f>
        <v>0</v>
      </c>
      <c r="DD108" s="207" t="str">
        <f t="shared" si="15"/>
        <v/>
      </c>
      <c r="DE108" s="207">
        <f>SAR_CURVES!CQ108</f>
        <v>0</v>
      </c>
      <c r="DF108" s="207">
        <f>ZAR_CURVES!CU108</f>
        <v>0</v>
      </c>
      <c r="DG108" t="str">
        <f>EUR_CURVES!CU108</f>
        <v/>
      </c>
      <c r="DH108" s="620"/>
      <c r="DI108" s="206"/>
      <c r="DT108" s="299"/>
      <c r="DU108" s="299"/>
      <c r="DV108" s="299"/>
    </row>
    <row r="109" spans="28:126" x14ac:dyDescent="0.25">
      <c r="BT109" s="206"/>
      <c r="BU109" s="206"/>
      <c r="BV109" s="206"/>
      <c r="BW109" s="206"/>
      <c r="BY109" s="299"/>
      <c r="BZ109" s="299"/>
      <c r="CA109" s="299"/>
      <c r="CB109" s="299"/>
      <c r="CS109" s="360" t="str">
        <v/>
      </c>
      <c r="CT109" s="600" t="str">
        <v/>
      </c>
      <c r="CU109" s="600" t="str">
        <v/>
      </c>
      <c r="CV109" s="600" t="str">
        <v/>
      </c>
      <c r="CW109" s="600" t="str">
        <v/>
      </c>
      <c r="CX109" s="401"/>
      <c r="DB109" s="200" t="str">
        <f t="shared" si="14"/>
        <v/>
      </c>
      <c r="DC109" s="207">
        <f>USD_CURVES!N109</f>
        <v>0</v>
      </c>
      <c r="DD109" s="207" t="str">
        <f t="shared" si="15"/>
        <v/>
      </c>
      <c r="DE109" s="207">
        <f>SAR_CURVES!CQ109</f>
        <v>0</v>
      </c>
      <c r="DF109" s="207">
        <f>ZAR_CURVES!CU109</f>
        <v>0</v>
      </c>
      <c r="DG109" t="str">
        <f>EUR_CURVES!CU109</f>
        <v/>
      </c>
      <c r="DH109" s="620"/>
      <c r="DI109" s="206"/>
      <c r="DT109" s="299"/>
      <c r="DU109" s="299"/>
      <c r="DV109" s="299"/>
    </row>
    <row r="110" spans="28:126" x14ac:dyDescent="0.25">
      <c r="BT110" s="206"/>
      <c r="BU110" s="206"/>
      <c r="BV110" s="206"/>
      <c r="BW110" s="206"/>
      <c r="BY110" s="299"/>
      <c r="BZ110" s="299"/>
      <c r="CA110" s="299"/>
      <c r="CB110" s="299"/>
      <c r="CS110" s="360" t="str">
        <v/>
      </c>
      <c r="CT110" s="600" t="str">
        <v/>
      </c>
      <c r="CU110" s="600" t="str">
        <v/>
      </c>
      <c r="CV110" s="600" t="str">
        <v/>
      </c>
      <c r="CW110" s="600" t="str">
        <v/>
      </c>
      <c r="CX110" s="401"/>
      <c r="DB110" s="200" t="str">
        <f t="shared" si="14"/>
        <v/>
      </c>
      <c r="DC110" s="207">
        <f>USD_CURVES!N110</f>
        <v>0</v>
      </c>
      <c r="DD110" s="207" t="str">
        <f t="shared" si="15"/>
        <v/>
      </c>
      <c r="DE110" s="207">
        <f>SAR_CURVES!CQ110</f>
        <v>0</v>
      </c>
      <c r="DF110" s="207">
        <f>ZAR_CURVES!CU110</f>
        <v>0</v>
      </c>
      <c r="DG110" t="str">
        <f>EUR_CURVES!CU110</f>
        <v/>
      </c>
      <c r="DH110" s="620"/>
      <c r="DI110" s="206"/>
      <c r="DT110" s="299"/>
      <c r="DU110" s="299"/>
      <c r="DV110" s="299"/>
    </row>
    <row r="111" spans="28:126" x14ac:dyDescent="0.25">
      <c r="BT111" s="206"/>
      <c r="BU111" s="206"/>
      <c r="BV111" s="206"/>
      <c r="BW111" s="206"/>
      <c r="BY111" s="299"/>
      <c r="BZ111" s="299"/>
      <c r="CA111" s="299"/>
      <c r="CB111" s="299"/>
      <c r="CS111" s="360" t="str">
        <v/>
      </c>
      <c r="CT111" s="600" t="str">
        <v/>
      </c>
      <c r="CU111" s="600" t="str">
        <v/>
      </c>
      <c r="CV111" s="600" t="str">
        <v/>
      </c>
      <c r="CW111" s="600" t="str">
        <v/>
      </c>
      <c r="CX111" s="401"/>
      <c r="DB111" s="200" t="str">
        <f t="shared" si="14"/>
        <v/>
      </c>
      <c r="DC111" s="207">
        <f>USD_CURVES!N111</f>
        <v>0</v>
      </c>
      <c r="DD111" s="207" t="str">
        <f t="shared" si="15"/>
        <v/>
      </c>
      <c r="DE111" s="207">
        <f>SAR_CURVES!CQ111</f>
        <v>0</v>
      </c>
      <c r="DF111" s="207">
        <f>ZAR_CURVES!CU111</f>
        <v>0</v>
      </c>
      <c r="DG111" t="str">
        <f>EUR_CURVES!CU111</f>
        <v/>
      </c>
      <c r="DH111" s="620"/>
      <c r="DI111" s="206"/>
      <c r="DT111" s="299"/>
      <c r="DU111" s="299"/>
      <c r="DV111" s="299"/>
    </row>
    <row r="112" spans="28:126" x14ac:dyDescent="0.25">
      <c r="BT112" s="206"/>
      <c r="BU112" s="206"/>
      <c r="BV112" s="206"/>
      <c r="BW112" s="206"/>
      <c r="BY112" s="299"/>
      <c r="BZ112" s="299"/>
      <c r="CA112" s="299"/>
      <c r="CB112" s="299"/>
      <c r="CS112" s="360" t="str">
        <v/>
      </c>
      <c r="CT112" s="600" t="str">
        <v/>
      </c>
      <c r="CU112" s="600" t="str">
        <v/>
      </c>
      <c r="CV112" s="600" t="str">
        <v/>
      </c>
      <c r="CW112" s="600" t="str">
        <v/>
      </c>
      <c r="CX112" s="401"/>
      <c r="DB112" s="200" t="str">
        <f t="shared" si="14"/>
        <v/>
      </c>
      <c r="DC112" s="207">
        <f>USD_CURVES!N112</f>
        <v>0</v>
      </c>
      <c r="DD112" s="207" t="str">
        <f t="shared" si="15"/>
        <v/>
      </c>
      <c r="DE112" s="207">
        <f>SAR_CURVES!CQ112</f>
        <v>0</v>
      </c>
      <c r="DF112" s="207">
        <f>ZAR_CURVES!CU112</f>
        <v>0</v>
      </c>
      <c r="DG112" t="str">
        <f>EUR_CURVES!CU112</f>
        <v/>
      </c>
      <c r="DH112" s="620"/>
      <c r="DI112" s="206"/>
      <c r="DT112" s="299"/>
      <c r="DU112" s="299"/>
      <c r="DV112" s="299"/>
    </row>
    <row r="113" spans="70:126" x14ac:dyDescent="0.25">
      <c r="BT113" s="206"/>
      <c r="BU113" s="206"/>
      <c r="BV113" s="206"/>
      <c r="BW113" s="206"/>
      <c r="BY113" s="299"/>
      <c r="BZ113" s="299"/>
      <c r="CA113" s="299"/>
      <c r="CB113" s="299"/>
      <c r="CS113" s="360" t="str">
        <v/>
      </c>
      <c r="CT113" s="600" t="str">
        <v/>
      </c>
      <c r="CU113" s="600" t="str">
        <v/>
      </c>
      <c r="CV113" s="600" t="str">
        <v/>
      </c>
      <c r="CW113" s="600" t="str">
        <v/>
      </c>
      <c r="CX113" s="401"/>
      <c r="DB113" s="200" t="str">
        <f t="shared" si="14"/>
        <v/>
      </c>
      <c r="DC113" s="207">
        <f>USD_CURVES!N113</f>
        <v>0</v>
      </c>
      <c r="DD113" s="207" t="str">
        <f t="shared" si="15"/>
        <v/>
      </c>
      <c r="DE113" s="207">
        <f>SAR_CURVES!CQ113</f>
        <v>0</v>
      </c>
      <c r="DF113" s="207">
        <f>ZAR_CURVES!CU113</f>
        <v>0</v>
      </c>
      <c r="DG113" t="str">
        <f>EUR_CURVES!CU113</f>
        <v/>
      </c>
      <c r="DH113" s="620"/>
      <c r="DI113" s="206"/>
      <c r="DT113" s="299"/>
      <c r="DU113" s="299"/>
      <c r="DV113" s="299"/>
    </row>
    <row r="114" spans="70:126" x14ac:dyDescent="0.25">
      <c r="BT114" s="206"/>
      <c r="BU114" s="206"/>
      <c r="BV114" s="206"/>
      <c r="BW114" s="206"/>
      <c r="BY114" s="299"/>
      <c r="BZ114" s="299"/>
      <c r="CA114" s="299"/>
      <c r="CB114" s="299"/>
      <c r="CS114" s="360" t="str">
        <v/>
      </c>
      <c r="CT114" s="600" t="str">
        <v/>
      </c>
      <c r="CU114" s="600" t="str">
        <v/>
      </c>
      <c r="CV114" s="600" t="str">
        <v/>
      </c>
      <c r="CW114" s="600" t="str">
        <v/>
      </c>
      <c r="CX114" s="401"/>
      <c r="DB114" s="200" t="str">
        <f t="shared" si="14"/>
        <v/>
      </c>
      <c r="DC114" s="207">
        <f>USD_CURVES!N114</f>
        <v>0</v>
      </c>
      <c r="DD114" s="207" t="str">
        <f t="shared" si="15"/>
        <v/>
      </c>
      <c r="DE114" s="207">
        <f>SAR_CURVES!CQ114</f>
        <v>0</v>
      </c>
      <c r="DF114" s="207">
        <f>ZAR_CURVES!CU114</f>
        <v>0</v>
      </c>
      <c r="DG114" t="str">
        <f>EUR_CURVES!CU114</f>
        <v/>
      </c>
      <c r="DH114" s="620"/>
      <c r="DI114" s="206"/>
      <c r="DT114" s="299"/>
      <c r="DU114" s="299"/>
      <c r="DV114" s="299"/>
    </row>
    <row r="115" spans="70:126" x14ac:dyDescent="0.25">
      <c r="BT115" s="206"/>
      <c r="BU115" s="206"/>
      <c r="BV115" s="206"/>
      <c r="BW115" s="206"/>
      <c r="BY115" s="299"/>
      <c r="BZ115" s="299"/>
      <c r="CA115" s="299"/>
      <c r="CB115" s="299"/>
      <c r="CS115" s="360" t="str">
        <v/>
      </c>
      <c r="CT115" s="600" t="str">
        <v/>
      </c>
      <c r="CU115" s="600" t="str">
        <v/>
      </c>
      <c r="CV115" s="600" t="str">
        <v/>
      </c>
      <c r="CW115" s="600" t="str">
        <v/>
      </c>
      <c r="CX115" s="401"/>
      <c r="DB115" s="200" t="str">
        <f t="shared" si="14"/>
        <v/>
      </c>
      <c r="DC115" s="207">
        <f>USD_CURVES!N115</f>
        <v>0</v>
      </c>
      <c r="DD115" s="207" t="str">
        <f t="shared" si="15"/>
        <v/>
      </c>
      <c r="DE115" s="207">
        <f>SAR_CURVES!CQ115</f>
        <v>0</v>
      </c>
      <c r="DF115" s="207">
        <f>ZAR_CURVES!CU115</f>
        <v>0</v>
      </c>
      <c r="DG115" t="str">
        <f>EUR_CURVES!CU115</f>
        <v/>
      </c>
      <c r="DH115" s="620"/>
      <c r="DI115" s="206"/>
      <c r="DT115" s="299"/>
      <c r="DU115" s="299"/>
      <c r="DV115" s="299"/>
    </row>
    <row r="116" spans="70:126" x14ac:dyDescent="0.25">
      <c r="BT116" s="206"/>
      <c r="BU116" s="206"/>
      <c r="BV116" s="206"/>
      <c r="BW116" s="206"/>
      <c r="BY116" s="299"/>
      <c r="BZ116" s="299"/>
      <c r="CA116" s="299"/>
      <c r="CB116" s="299"/>
      <c r="CS116" s="360" t="str">
        <v/>
      </c>
      <c r="CT116" s="600" t="str">
        <v/>
      </c>
      <c r="CU116" s="600" t="str">
        <v/>
      </c>
      <c r="CV116" s="600" t="str">
        <v/>
      </c>
      <c r="CW116" s="600" t="str">
        <v/>
      </c>
      <c r="CX116" s="401"/>
      <c r="DB116" s="200" t="str">
        <f t="shared" si="14"/>
        <v/>
      </c>
      <c r="DC116" s="207">
        <f>USD_CURVES!N116</f>
        <v>0</v>
      </c>
      <c r="DD116" s="207" t="str">
        <f t="shared" si="15"/>
        <v/>
      </c>
      <c r="DE116" s="207">
        <f>SAR_CURVES!CQ116</f>
        <v>0</v>
      </c>
      <c r="DF116" s="207">
        <f>ZAR_CURVES!CU116</f>
        <v>0</v>
      </c>
      <c r="DG116" t="str">
        <f>EUR_CURVES!CU116</f>
        <v/>
      </c>
      <c r="DH116" s="620"/>
      <c r="DI116" s="206"/>
      <c r="DT116" s="299"/>
      <c r="DU116" s="299"/>
      <c r="DV116" s="299"/>
    </row>
    <row r="117" spans="70:126" x14ac:dyDescent="0.25">
      <c r="BT117" s="206"/>
      <c r="BU117" s="206"/>
      <c r="BV117" s="206"/>
      <c r="BW117" s="206"/>
      <c r="BY117" s="299"/>
      <c r="BZ117" s="299"/>
      <c r="CA117" s="299"/>
      <c r="CB117" s="299"/>
      <c r="CS117" s="360" t="str">
        <v/>
      </c>
      <c r="CT117" s="600" t="str">
        <v/>
      </c>
      <c r="CU117" s="600" t="str">
        <v/>
      </c>
      <c r="CV117" s="600" t="str">
        <v/>
      </c>
      <c r="CW117" s="600" t="str">
        <v/>
      </c>
      <c r="CX117" s="401"/>
      <c r="DB117" s="200" t="str">
        <f t="shared" si="14"/>
        <v/>
      </c>
      <c r="DC117" s="207">
        <f>USD_CURVES!N117</f>
        <v>0</v>
      </c>
      <c r="DD117" s="207" t="str">
        <f t="shared" si="15"/>
        <v/>
      </c>
      <c r="DE117" s="207">
        <f>SAR_CURVES!CQ117</f>
        <v>0</v>
      </c>
      <c r="DF117" s="207">
        <f>ZAR_CURVES!CU117</f>
        <v>0</v>
      </c>
      <c r="DG117" t="str">
        <f>EUR_CURVES!CU117</f>
        <v/>
      </c>
      <c r="DH117" s="620"/>
      <c r="DI117" s="206"/>
      <c r="DT117" s="299"/>
      <c r="DU117" s="299"/>
      <c r="DV117" s="299"/>
    </row>
    <row r="118" spans="70:126" x14ac:dyDescent="0.25">
      <c r="BT118" s="206"/>
      <c r="BU118" s="206"/>
      <c r="BV118" s="206"/>
      <c r="BW118" s="206"/>
      <c r="BY118" s="299"/>
      <c r="BZ118" s="299"/>
      <c r="CA118" s="299"/>
      <c r="CB118" s="299"/>
      <c r="CS118" s="360" t="str">
        <v/>
      </c>
      <c r="CT118" s="600" t="str">
        <v/>
      </c>
      <c r="CU118" s="600" t="str">
        <v/>
      </c>
      <c r="CV118" s="600" t="str">
        <v/>
      </c>
      <c r="CW118" s="600" t="str">
        <v/>
      </c>
      <c r="CX118" s="401"/>
      <c r="DB118" s="200" t="str">
        <f t="shared" si="14"/>
        <v/>
      </c>
      <c r="DC118" s="207">
        <f>USD_CURVES!N118</f>
        <v>0</v>
      </c>
      <c r="DD118" s="207" t="str">
        <f t="shared" si="15"/>
        <v/>
      </c>
      <c r="DE118" s="207">
        <f>SAR_CURVES!CQ118</f>
        <v>0</v>
      </c>
      <c r="DF118" s="207">
        <f>ZAR_CURVES!CU118</f>
        <v>0</v>
      </c>
      <c r="DG118" t="str">
        <f>EUR_CURVES!CU118</f>
        <v/>
      </c>
      <c r="DH118" s="620"/>
      <c r="DI118" s="206"/>
      <c r="DT118" s="299"/>
      <c r="DU118" s="299"/>
      <c r="DV118" s="299"/>
    </row>
    <row r="119" spans="70:126" x14ac:dyDescent="0.25">
      <c r="BR119" s="290"/>
      <c r="BT119" s="206"/>
      <c r="BU119" s="206"/>
      <c r="BV119" s="206"/>
      <c r="BW119" s="206"/>
      <c r="BY119" s="299"/>
      <c r="BZ119" s="299"/>
      <c r="CA119" s="299"/>
      <c r="CB119" s="299"/>
      <c r="CS119" s="360" t="str">
        <v/>
      </c>
      <c r="CT119" s="600" t="str">
        <v/>
      </c>
      <c r="CU119" s="600" t="str">
        <v/>
      </c>
      <c r="CV119" s="600" t="str">
        <v/>
      </c>
      <c r="CW119" s="600" t="str">
        <v/>
      </c>
      <c r="CX119" s="401"/>
      <c r="DB119" s="200" t="str">
        <f t="shared" si="14"/>
        <v/>
      </c>
      <c r="DC119" s="207">
        <f>USD_CURVES!N119</f>
        <v>0</v>
      </c>
      <c r="DD119" s="207" t="str">
        <f t="shared" si="15"/>
        <v/>
      </c>
      <c r="DE119" s="207">
        <f>SAR_CURVES!CQ119</f>
        <v>0</v>
      </c>
      <c r="DF119" s="207">
        <f>ZAR_CURVES!CU119</f>
        <v>0</v>
      </c>
      <c r="DG119" t="str">
        <f>EUR_CURVES!CU119</f>
        <v/>
      </c>
      <c r="DH119" s="620"/>
      <c r="DI119" s="206"/>
      <c r="DT119" s="299"/>
      <c r="DU119" s="299"/>
      <c r="DV119" s="299"/>
    </row>
    <row r="120" spans="70:126" x14ac:dyDescent="0.25">
      <c r="BR120" s="290"/>
      <c r="BT120" s="206"/>
      <c r="BU120" s="206"/>
      <c r="BV120" s="206"/>
      <c r="BW120" s="206"/>
      <c r="BY120" s="299"/>
      <c r="BZ120" s="299"/>
      <c r="CA120" s="299"/>
      <c r="CB120" s="299"/>
      <c r="CS120" s="360" t="str">
        <v/>
      </c>
      <c r="CT120" s="600" t="str">
        <v/>
      </c>
      <c r="CU120" s="600" t="str">
        <v/>
      </c>
      <c r="CV120" s="600" t="str">
        <v/>
      </c>
      <c r="CW120" s="600" t="str">
        <v/>
      </c>
      <c r="CX120" s="401"/>
      <c r="DB120" s="200" t="str">
        <f t="shared" si="14"/>
        <v/>
      </c>
      <c r="DC120" s="207">
        <f>USD_CURVES!N120</f>
        <v>0</v>
      </c>
      <c r="DD120" s="207" t="str">
        <f t="shared" si="15"/>
        <v/>
      </c>
      <c r="DE120" s="207">
        <f>SAR_CURVES!CQ120</f>
        <v>0</v>
      </c>
      <c r="DF120" s="207">
        <f>ZAR_CURVES!CU120</f>
        <v>0</v>
      </c>
      <c r="DG120" t="str">
        <f>EUR_CURVES!CU120</f>
        <v/>
      </c>
      <c r="DH120" s="620"/>
      <c r="DI120" s="206"/>
      <c r="DT120" s="299"/>
      <c r="DU120" s="299"/>
      <c r="DV120" s="299"/>
    </row>
    <row r="121" spans="70:126" x14ac:dyDescent="0.25">
      <c r="BR121" s="290"/>
      <c r="BT121" s="206"/>
      <c r="BU121" s="206"/>
      <c r="BV121" s="206"/>
      <c r="BW121" s="206"/>
      <c r="BY121" s="299"/>
      <c r="BZ121" s="299"/>
      <c r="CA121" s="299"/>
      <c r="CB121" s="299"/>
      <c r="CS121" s="360" t="str">
        <v/>
      </c>
      <c r="CT121" s="600" t="str">
        <v/>
      </c>
      <c r="CU121" s="600" t="str">
        <v/>
      </c>
      <c r="CV121" s="600" t="str">
        <v/>
      </c>
      <c r="CW121" s="600" t="str">
        <v/>
      </c>
      <c r="CX121" s="401"/>
      <c r="DB121" s="200" t="str">
        <f t="shared" si="14"/>
        <v/>
      </c>
      <c r="DC121" s="207">
        <f>USD_CURVES!N121</f>
        <v>0</v>
      </c>
      <c r="DD121" s="207" t="str">
        <f t="shared" si="15"/>
        <v/>
      </c>
      <c r="DE121" s="207">
        <f>SAR_CURVES!CQ121</f>
        <v>0</v>
      </c>
      <c r="DF121" s="207">
        <f>ZAR_CURVES!CU121</f>
        <v>0</v>
      </c>
      <c r="DG121" t="str">
        <f>EUR_CURVES!CU121</f>
        <v/>
      </c>
      <c r="DH121" s="620"/>
      <c r="DI121" s="206"/>
      <c r="DT121" s="299"/>
      <c r="DU121" s="299"/>
      <c r="DV121" s="299"/>
    </row>
    <row r="122" spans="70:126" x14ac:dyDescent="0.25">
      <c r="BR122" s="290"/>
      <c r="BT122" s="206"/>
      <c r="BU122" s="206"/>
      <c r="BV122" s="206"/>
      <c r="BW122" s="206"/>
      <c r="BY122" s="299"/>
      <c r="BZ122" s="299"/>
      <c r="CA122" s="299"/>
      <c r="CB122" s="299"/>
      <c r="CS122" s="360" t="str">
        <v/>
      </c>
      <c r="CT122" s="600" t="str">
        <v/>
      </c>
      <c r="CU122" s="600" t="str">
        <v/>
      </c>
      <c r="CV122" s="600" t="str">
        <v/>
      </c>
      <c r="CW122" s="600" t="str">
        <v/>
      </c>
      <c r="CX122" s="401"/>
      <c r="DB122" s="200" t="str">
        <f t="shared" si="14"/>
        <v/>
      </c>
      <c r="DC122" s="207">
        <f>USD_CURVES!N122</f>
        <v>0</v>
      </c>
      <c r="DD122" s="207" t="str">
        <f t="shared" si="15"/>
        <v/>
      </c>
      <c r="DE122" s="207">
        <f>SAR_CURVES!CQ122</f>
        <v>0</v>
      </c>
      <c r="DF122" s="207">
        <f>ZAR_CURVES!CU122</f>
        <v>0</v>
      </c>
      <c r="DG122" t="str">
        <f>EUR_CURVES!CU122</f>
        <v/>
      </c>
      <c r="DH122" s="620"/>
      <c r="DI122" s="206"/>
      <c r="DT122" s="299"/>
      <c r="DU122" s="299"/>
      <c r="DV122" s="299"/>
    </row>
    <row r="123" spans="70:126" x14ac:dyDescent="0.25">
      <c r="BR123" s="290"/>
      <c r="BT123" s="206"/>
      <c r="BU123" s="206"/>
      <c r="BV123" s="206"/>
      <c r="BW123" s="206"/>
      <c r="BY123" s="299"/>
      <c r="BZ123" s="299"/>
      <c r="CA123" s="299"/>
      <c r="CB123" s="299"/>
      <c r="CS123" s="360" t="str">
        <v/>
      </c>
      <c r="CT123" s="600" t="str">
        <v/>
      </c>
      <c r="CU123" s="600" t="str">
        <v/>
      </c>
      <c r="CV123" s="600" t="str">
        <v/>
      </c>
      <c r="CW123" s="600" t="str">
        <v/>
      </c>
      <c r="CX123" s="401"/>
      <c r="DB123" s="200" t="str">
        <f t="shared" si="14"/>
        <v/>
      </c>
      <c r="DC123" s="207">
        <f>USD_CURVES!N123</f>
        <v>0</v>
      </c>
      <c r="DD123" s="207" t="str">
        <f t="shared" si="15"/>
        <v/>
      </c>
      <c r="DE123" s="207">
        <f>SAR_CURVES!CQ123</f>
        <v>0</v>
      </c>
      <c r="DF123" s="207">
        <f>ZAR_CURVES!CU123</f>
        <v>0</v>
      </c>
      <c r="DG123" t="str">
        <f>EUR_CURVES!CU123</f>
        <v/>
      </c>
      <c r="DH123" s="620"/>
      <c r="DI123" s="206"/>
      <c r="DT123" s="299"/>
      <c r="DU123" s="299"/>
      <c r="DV123" s="299"/>
    </row>
    <row r="124" spans="70:126" x14ac:dyDescent="0.25">
      <c r="BR124" s="290"/>
      <c r="BT124" s="206"/>
      <c r="BU124" s="206"/>
      <c r="BV124" s="206"/>
      <c r="BW124" s="206"/>
      <c r="BY124" s="299"/>
      <c r="BZ124" s="299"/>
      <c r="CA124" s="299"/>
      <c r="CB124" s="299"/>
      <c r="CS124" s="360" t="str">
        <v/>
      </c>
      <c r="CT124" s="600" t="str">
        <v/>
      </c>
      <c r="CU124" s="600" t="str">
        <v/>
      </c>
      <c r="CV124" s="600" t="str">
        <v/>
      </c>
      <c r="CW124" s="600" t="str">
        <v/>
      </c>
      <c r="CX124" s="401"/>
      <c r="DB124" s="200" t="str">
        <f t="shared" si="14"/>
        <v/>
      </c>
      <c r="DC124" s="207">
        <f>USD_CURVES!N124</f>
        <v>0</v>
      </c>
      <c r="DD124" s="207" t="str">
        <f t="shared" si="15"/>
        <v/>
      </c>
      <c r="DE124" s="207">
        <f>SAR_CURVES!CQ124</f>
        <v>0</v>
      </c>
      <c r="DF124" s="207">
        <f>ZAR_CURVES!CU124</f>
        <v>0</v>
      </c>
      <c r="DG124" t="str">
        <f>EUR_CURVES!CU124</f>
        <v/>
      </c>
      <c r="DH124" s="620"/>
      <c r="DI124" s="206"/>
      <c r="DT124" s="299"/>
      <c r="DU124" s="299"/>
      <c r="DV124" s="299"/>
    </row>
    <row r="125" spans="70:126" x14ac:dyDescent="0.25">
      <c r="BR125" s="290"/>
      <c r="BT125" s="206"/>
      <c r="BU125" s="206"/>
      <c r="BV125" s="206"/>
      <c r="BW125" s="206"/>
      <c r="BY125" s="298"/>
      <c r="BZ125" s="298"/>
      <c r="CA125" s="298"/>
      <c r="CB125" s="298"/>
      <c r="CS125" s="360" t="str">
        <v/>
      </c>
      <c r="CT125" s="600" t="str">
        <v/>
      </c>
      <c r="CU125" s="600" t="str">
        <v/>
      </c>
      <c r="CV125" s="600" t="str">
        <v/>
      </c>
      <c r="CW125" s="600" t="str">
        <v/>
      </c>
      <c r="CX125" s="401"/>
      <c r="DB125" s="200" t="str">
        <f t="shared" si="14"/>
        <v/>
      </c>
      <c r="DC125" s="207">
        <f>USD_CURVES!N125</f>
        <v>0</v>
      </c>
      <c r="DD125" s="207" t="str">
        <f t="shared" si="15"/>
        <v/>
      </c>
      <c r="DE125" s="207">
        <f>SAR_CURVES!CQ125</f>
        <v>0</v>
      </c>
      <c r="DF125" s="207">
        <f>ZAR_CURVES!CU125</f>
        <v>0</v>
      </c>
      <c r="DG125" t="str">
        <f>EUR_CURVES!CU125</f>
        <v/>
      </c>
      <c r="DH125" s="620"/>
      <c r="DI125" s="206"/>
      <c r="DT125" s="298"/>
      <c r="DU125" s="298"/>
      <c r="DV125" s="298"/>
    </row>
    <row r="126" spans="70:126" x14ac:dyDescent="0.25">
      <c r="BR126" s="290"/>
      <c r="BT126" s="206"/>
      <c r="BU126" s="206"/>
      <c r="BV126" s="206"/>
      <c r="BW126" s="206"/>
      <c r="BY126" s="206"/>
      <c r="BZ126" s="206"/>
      <c r="CA126" s="206"/>
      <c r="CB126" s="206"/>
      <c r="CS126" s="360" t="str">
        <v/>
      </c>
      <c r="CT126" s="600" t="str">
        <v/>
      </c>
      <c r="CU126" s="600" t="str">
        <v/>
      </c>
      <c r="CV126" s="600" t="str">
        <v/>
      </c>
      <c r="CW126" s="600" t="str">
        <v/>
      </c>
      <c r="CX126" s="401"/>
      <c r="DB126" s="200" t="str">
        <f t="shared" si="14"/>
        <v/>
      </c>
      <c r="DC126" s="207">
        <f>USD_CURVES!N126</f>
        <v>0</v>
      </c>
      <c r="DD126" s="207" t="str">
        <f t="shared" si="15"/>
        <v/>
      </c>
      <c r="DE126" s="207">
        <f>SAR_CURVES!CQ126</f>
        <v>0</v>
      </c>
      <c r="DF126" s="207">
        <f>ZAR_CURVES!CU126</f>
        <v>0</v>
      </c>
      <c r="DG126" t="str">
        <f>EUR_CURVES!CU126</f>
        <v/>
      </c>
      <c r="DH126" s="620"/>
      <c r="DI126" s="206"/>
      <c r="DT126" s="206"/>
      <c r="DU126" s="206"/>
      <c r="DV126" s="206"/>
    </row>
    <row r="127" spans="70:126" x14ac:dyDescent="0.25">
      <c r="BR127" s="290"/>
      <c r="BT127" s="206"/>
      <c r="BU127" s="206"/>
      <c r="BV127" s="206"/>
      <c r="BW127" s="206"/>
      <c r="BY127" s="206"/>
      <c r="BZ127" s="206"/>
      <c r="CA127" s="206"/>
      <c r="CB127" s="206"/>
      <c r="CS127" s="360" t="str">
        <v/>
      </c>
      <c r="CT127" s="600" t="str">
        <v/>
      </c>
      <c r="CU127" s="600" t="str">
        <v/>
      </c>
      <c r="CV127" s="600" t="str">
        <v/>
      </c>
      <c r="CW127" s="600" t="str">
        <v/>
      </c>
      <c r="CX127" s="401"/>
      <c r="DB127" s="200" t="str">
        <f t="shared" si="14"/>
        <v/>
      </c>
      <c r="DC127" s="207">
        <f>USD_CURVES!N127</f>
        <v>0</v>
      </c>
      <c r="DD127" s="207" t="str">
        <f t="shared" si="15"/>
        <v/>
      </c>
      <c r="DE127" s="207">
        <f>SAR_CURVES!CQ127</f>
        <v>0</v>
      </c>
      <c r="DF127" s="207">
        <f>ZAR_CURVES!CU127</f>
        <v>0</v>
      </c>
      <c r="DG127" t="str">
        <f>EUR_CURVES!CU127</f>
        <v/>
      </c>
      <c r="DH127" s="620"/>
      <c r="DI127" s="206"/>
      <c r="DT127" s="206"/>
      <c r="DU127" s="206"/>
      <c r="DV127" s="206"/>
    </row>
    <row r="128" spans="70:126" x14ac:dyDescent="0.25">
      <c r="CS128" s="360" t="str">
        <v/>
      </c>
      <c r="CT128" s="600" t="str">
        <v/>
      </c>
      <c r="CU128" s="600" t="str">
        <v/>
      </c>
      <c r="CV128" s="600" t="str">
        <v/>
      </c>
      <c r="CW128" s="600" t="str">
        <v/>
      </c>
      <c r="CX128" s="401"/>
      <c r="DB128" s="200" t="str">
        <f t="shared" si="14"/>
        <v/>
      </c>
      <c r="DC128" s="207">
        <f>USD_CURVES!N128</f>
        <v>0</v>
      </c>
      <c r="DD128" s="207" t="str">
        <f t="shared" si="15"/>
        <v/>
      </c>
      <c r="DE128" s="207">
        <f>SAR_CURVES!CQ128</f>
        <v>0</v>
      </c>
      <c r="DF128" s="207">
        <f>ZAR_CURVES!CU128</f>
        <v>0</v>
      </c>
      <c r="DG128" t="str">
        <f>EUR_CURVES!CU128</f>
        <v/>
      </c>
      <c r="DH128" s="620"/>
    </row>
    <row r="129" spans="97:102" x14ac:dyDescent="0.25">
      <c r="CS129" s="379" t="str">
        <v/>
      </c>
      <c r="CT129" s="600" t="str">
        <v/>
      </c>
      <c r="CU129" s="600" t="str">
        <v/>
      </c>
      <c r="CV129" s="600" t="str">
        <v/>
      </c>
      <c r="CW129" s="600" t="str">
        <v/>
      </c>
      <c r="CX129" s="401"/>
    </row>
    <row r="130" spans="97:102" x14ac:dyDescent="0.25">
      <c r="CS130" s="379" t="str">
        <v/>
      </c>
      <c r="CT130" s="600" t="str">
        <v/>
      </c>
      <c r="CU130" s="600" t="str">
        <v/>
      </c>
      <c r="CV130" s="600" t="str">
        <v/>
      </c>
      <c r="CW130" s="600" t="str">
        <v/>
      </c>
      <c r="CX130" s="401"/>
    </row>
    <row r="131" spans="97:102" x14ac:dyDescent="0.25">
      <c r="CS131" s="379" t="str">
        <v/>
      </c>
      <c r="CT131" s="600" t="str">
        <v/>
      </c>
      <c r="CU131" s="600" t="str">
        <v/>
      </c>
      <c r="CV131" s="600" t="str">
        <v/>
      </c>
      <c r="CW131" s="600" t="str">
        <v/>
      </c>
      <c r="CX131" s="401"/>
    </row>
    <row r="132" spans="97:102" x14ac:dyDescent="0.25">
      <c r="CS132" s="379" t="str">
        <v/>
      </c>
      <c r="CT132" s="600" t="str">
        <v/>
      </c>
      <c r="CU132" s="600" t="str">
        <v/>
      </c>
      <c r="CV132" s="600" t="str">
        <v/>
      </c>
      <c r="CW132" s="600" t="str">
        <v/>
      </c>
      <c r="CX132" s="401"/>
    </row>
    <row r="133" spans="97:102" x14ac:dyDescent="0.25">
      <c r="CS133" s="379" t="str">
        <v/>
      </c>
      <c r="CT133" s="600" t="str">
        <v/>
      </c>
      <c r="CU133" s="600" t="str">
        <v/>
      </c>
      <c r="CV133" s="600" t="str">
        <v/>
      </c>
      <c r="CW133" s="600" t="str">
        <v/>
      </c>
      <c r="CX133" s="401"/>
    </row>
    <row r="134" spans="97:102" x14ac:dyDescent="0.25">
      <c r="CS134" s="379" t="str">
        <v/>
      </c>
      <c r="CT134" s="600" t="str">
        <v/>
      </c>
      <c r="CU134" s="600" t="str">
        <v/>
      </c>
      <c r="CV134" s="600" t="str">
        <v/>
      </c>
      <c r="CW134" s="600" t="str">
        <v/>
      </c>
      <c r="CX134" s="401"/>
    </row>
    <row r="135" spans="97:102" x14ac:dyDescent="0.25">
      <c r="CS135" s="379" t="str">
        <v/>
      </c>
      <c r="CT135" s="600" t="str">
        <v/>
      </c>
      <c r="CU135" s="600" t="str">
        <v/>
      </c>
      <c r="CV135" s="600" t="str">
        <v/>
      </c>
      <c r="CW135" s="600" t="str">
        <v/>
      </c>
      <c r="CX135" s="401"/>
    </row>
    <row r="136" spans="97:102" x14ac:dyDescent="0.25">
      <c r="CS136" s="379" t="str">
        <v/>
      </c>
      <c r="CT136" s="600" t="str">
        <v/>
      </c>
      <c r="CU136" s="600" t="str">
        <v/>
      </c>
      <c r="CV136" s="600" t="str">
        <v/>
      </c>
      <c r="CW136" s="600" t="str">
        <v/>
      </c>
      <c r="CX136" s="401"/>
    </row>
    <row r="137" spans="97:102" x14ac:dyDescent="0.25">
      <c r="CS137" s="379" t="str">
        <v/>
      </c>
      <c r="CT137" s="600" t="str">
        <v/>
      </c>
      <c r="CU137" s="600" t="str">
        <v/>
      </c>
      <c r="CV137" s="600" t="str">
        <v/>
      </c>
      <c r="CW137" s="600" t="str">
        <v/>
      </c>
      <c r="CX137" s="401"/>
    </row>
    <row r="138" spans="97:102" x14ac:dyDescent="0.25">
      <c r="CS138" s="379" t="str">
        <v/>
      </c>
      <c r="CT138" s="600" t="str">
        <v/>
      </c>
      <c r="CU138" s="600" t="str">
        <v/>
      </c>
      <c r="CV138" s="600" t="str">
        <v/>
      </c>
      <c r="CW138" s="600" t="str">
        <v/>
      </c>
      <c r="CX138" s="401"/>
    </row>
    <row r="139" spans="97:102" x14ac:dyDescent="0.25">
      <c r="CS139" s="379" t="str">
        <v/>
      </c>
      <c r="CT139" s="600" t="str">
        <v/>
      </c>
      <c r="CU139" s="600" t="str">
        <v/>
      </c>
      <c r="CV139" s="600" t="str">
        <v/>
      </c>
      <c r="CW139" s="600" t="str">
        <v/>
      </c>
      <c r="CX139" s="401"/>
    </row>
    <row r="140" spans="97:102" x14ac:dyDescent="0.25">
      <c r="CS140" s="379" t="str">
        <v/>
      </c>
      <c r="CT140" s="600" t="str">
        <v/>
      </c>
      <c r="CU140" s="600" t="str">
        <v/>
      </c>
      <c r="CV140" s="600" t="str">
        <v/>
      </c>
      <c r="CW140" s="600" t="str">
        <v/>
      </c>
      <c r="CX140" s="401"/>
    </row>
    <row r="141" spans="97:102" x14ac:dyDescent="0.25">
      <c r="CS141" s="379" t="str">
        <v/>
      </c>
      <c r="CT141" s="600" t="str">
        <v/>
      </c>
      <c r="CU141" s="600" t="str">
        <v/>
      </c>
      <c r="CV141" s="600" t="str">
        <v/>
      </c>
      <c r="CW141" s="600" t="str">
        <v/>
      </c>
      <c r="CX141" s="401"/>
    </row>
    <row r="142" spans="97:102" x14ac:dyDescent="0.25">
      <c r="CS142" s="379" t="str">
        <v/>
      </c>
      <c r="CT142" s="600" t="str">
        <v/>
      </c>
      <c r="CU142" s="600" t="str">
        <v/>
      </c>
      <c r="CV142" s="600" t="str">
        <v/>
      </c>
      <c r="CW142" s="600" t="str">
        <v/>
      </c>
      <c r="CX142" s="401"/>
    </row>
    <row r="143" spans="97:102" x14ac:dyDescent="0.25">
      <c r="CS143" s="379" t="str">
        <v/>
      </c>
      <c r="CT143" s="600" t="str">
        <v/>
      </c>
      <c r="CU143" s="600" t="str">
        <v/>
      </c>
      <c r="CV143" s="600" t="str">
        <v/>
      </c>
      <c r="CW143" s="600" t="str">
        <v/>
      </c>
      <c r="CX143" s="401"/>
    </row>
    <row r="144" spans="97:102" x14ac:dyDescent="0.25">
      <c r="CS144" s="379" t="str">
        <v/>
      </c>
      <c r="CT144" s="600" t="str">
        <v/>
      </c>
      <c r="CU144" s="600" t="str">
        <v/>
      </c>
      <c r="CV144" s="600" t="str">
        <v/>
      </c>
      <c r="CW144" s="600" t="str">
        <v/>
      </c>
      <c r="CX144" s="401"/>
    </row>
    <row r="145" spans="97:102" x14ac:dyDescent="0.25">
      <c r="CS145" s="379" t="str">
        <v/>
      </c>
      <c r="CT145" s="600" t="str">
        <v/>
      </c>
      <c r="CU145" s="600" t="str">
        <v/>
      </c>
      <c r="CV145" s="600" t="str">
        <v/>
      </c>
      <c r="CW145" s="600" t="str">
        <v/>
      </c>
      <c r="CX145" s="401"/>
    </row>
  </sheetData>
  <dataValidations count="3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Q6 CK6">
      <formula1>"TRUE,FALSE"</formula1>
    </dataValidation>
    <dataValidation type="list" allowBlank="1" showInputMessage="1" showErrorMessage="1" sqref="BO106">
      <formula1>"FXSPOTS,FXFWDS,XCCYSWAPS"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DA128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13.85546875" customWidth="1"/>
    <col min="23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25.7109375" bestFit="1" customWidth="1"/>
    <col min="34" max="34" width="13.7109375" customWidth="1"/>
    <col min="35" max="37" width="10.7109375" customWidth="1"/>
    <col min="39" max="39" width="9.140625" customWidth="1" outlineLevel="2"/>
    <col min="40" max="40" width="30.7109375" customWidth="1" outlineLevel="2"/>
    <col min="41" max="41" width="40.7109375" customWidth="1" outlineLevel="2"/>
    <col min="42" max="42" width="9.140625" customWidth="1" outlineLevel="2"/>
    <col min="43" max="43" width="11" customWidth="1" outlineLevel="2"/>
    <col min="44" max="44" width="25.7109375" bestFit="1" customWidth="1" outlineLevel="2"/>
    <col min="45" max="45" width="19.7109375" customWidth="1" outlineLevel="2"/>
    <col min="46" max="48" width="10.7109375" customWidth="1" outlineLevel="2"/>
    <col min="50" max="50" width="9.140625" hidden="1" customWidth="1" outlineLevel="2"/>
    <col min="51" max="51" width="30.7109375" hidden="1" customWidth="1" outlineLevel="2"/>
    <col min="52" max="52" width="40.7109375" hidden="1" customWidth="1" outlineLevel="2"/>
    <col min="53" max="53" width="9.140625" hidden="1" customWidth="1" outlineLevel="2"/>
    <col min="54" max="54" width="0" hidden="1" customWidth="1" outlineLevel="2"/>
    <col min="55" max="55" width="14.28515625" hidden="1" customWidth="1" outlineLevel="2"/>
    <col min="56" max="59" width="10.7109375" hidden="1" customWidth="1" outlineLevel="2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25.7109375" bestFit="1" customWidth="1"/>
    <col min="67" max="67" width="27.140625" customWidth="1"/>
    <col min="68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13.5703125" bestFit="1" customWidth="1"/>
    <col min="82" max="82" width="29.7109375" bestFit="1" customWidth="1"/>
    <col min="83" max="83" width="34.28515625" bestFit="1" customWidth="1"/>
    <col min="84" max="84" width="9.140625" customWidth="1"/>
    <col min="85" max="85" width="9.5703125" customWidth="1" outlineLevel="1"/>
    <col min="86" max="86" width="15.42578125" customWidth="1" outlineLevel="1"/>
    <col min="87" max="87" width="13.5703125" bestFit="1" customWidth="1"/>
    <col min="88" max="88" width="29.7109375" bestFit="1" customWidth="1"/>
    <col min="89" max="89" width="34.28515625" bestFit="1" customWidth="1"/>
    <col min="90" max="90" width="9.140625" customWidth="1"/>
    <col min="91" max="91" width="18.28515625" customWidth="1" outlineLevel="1"/>
    <col min="92" max="92" width="20.7109375" customWidth="1"/>
    <col min="93" max="93" width="22.5703125" style="379" customWidth="1"/>
    <col min="94" max="94" width="7.42578125" style="406" bestFit="1" customWidth="1"/>
    <col min="95" max="96" width="8.140625" style="406" bestFit="1" customWidth="1"/>
    <col min="97" max="97" width="15.140625" style="406" bestFit="1" customWidth="1"/>
  </cols>
  <sheetData>
    <row r="1" spans="1:98" x14ac:dyDescent="0.25">
      <c r="A1" s="2" t="s">
        <v>246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G1" s="206"/>
      <c r="CH1" s="299"/>
      <c r="CM1" s="206"/>
      <c r="CN1" s="206"/>
      <c r="CO1" s="390" t="s">
        <v>1033</v>
      </c>
      <c r="CP1" s="410"/>
      <c r="CQ1" s="410"/>
      <c r="CR1" s="410"/>
      <c r="CS1" s="420"/>
      <c r="CT1" s="206"/>
    </row>
    <row r="2" spans="1:98" x14ac:dyDescent="0.25">
      <c r="F2" s="237" t="s">
        <v>712</v>
      </c>
      <c r="K2" s="2" t="str">
        <f>A1&amp;"_OIS"</f>
        <v>SAR_OIS</v>
      </c>
      <c r="L2" s="5"/>
      <c r="M2" s="5"/>
      <c r="N2" s="5"/>
      <c r="O2" s="5"/>
      <c r="Q2" s="237"/>
      <c r="V2" s="2" t="str">
        <f>A1&amp;"_SWAP_3M"</f>
        <v>SAR_SWAP_3M</v>
      </c>
      <c r="W2" s="5"/>
      <c r="X2" s="5"/>
      <c r="Z2" s="5"/>
      <c r="AB2" s="237"/>
      <c r="AG2" s="2" t="str">
        <f>A1&amp;"_SWAP_6M"</f>
        <v>SAR_SWAP_6M</v>
      </c>
      <c r="AH2" s="5"/>
      <c r="AI2" s="5"/>
      <c r="AJ2" s="5"/>
      <c r="AK2" s="5"/>
      <c r="AR2" t="str">
        <f>A1&amp;"_BASIS_1M"</f>
        <v>SAR_BASIS_1M</v>
      </c>
      <c r="BC2" t="str">
        <f>A1&amp;"_BASIS_1M"</f>
        <v>SAR_BASIS_1M</v>
      </c>
      <c r="BN2" s="2" t="str">
        <f>A1&amp;"_XCCYBASIS"</f>
        <v>SAR_XCCYBASIS</v>
      </c>
      <c r="BO2" s="5"/>
      <c r="BP2" s="5"/>
      <c r="BQ2" s="5"/>
      <c r="BR2" s="5"/>
      <c r="CG2" s="307"/>
      <c r="CH2" s="299"/>
      <c r="CM2" s="308"/>
      <c r="CN2" s="308"/>
      <c r="CO2" s="393" t="s">
        <v>1034</v>
      </c>
      <c r="CP2" s="421"/>
      <c r="CQ2" s="421"/>
      <c r="CR2" s="421"/>
      <c r="CS2" s="420"/>
      <c r="CT2" s="206"/>
    </row>
    <row r="3" spans="1:98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G3" s="286"/>
      <c r="CH3" s="299"/>
      <c r="CI3" s="45"/>
      <c r="CJ3" s="48"/>
      <c r="CK3" s="48"/>
      <c r="CL3" s="49"/>
      <c r="CM3" s="285"/>
      <c r="CN3" s="286"/>
      <c r="CO3" s="394" t="s">
        <v>939</v>
      </c>
      <c r="CP3" s="422"/>
      <c r="CQ3" s="422"/>
      <c r="CR3" s="423"/>
      <c r="CS3" s="420"/>
      <c r="CT3" s="206"/>
    </row>
    <row r="4" spans="1:98" x14ac:dyDescent="0.25">
      <c r="F4" s="50"/>
      <c r="G4" s="81"/>
      <c r="H4" s="228"/>
      <c r="I4" s="53"/>
      <c r="L4" s="5"/>
      <c r="M4" s="5"/>
      <c r="N4" s="5">
        <v>1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U4">
        <v>0</v>
      </c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G4" s="317"/>
      <c r="CH4" s="299"/>
      <c r="CI4" s="50"/>
      <c r="CJ4" s="81"/>
      <c r="CK4" s="228"/>
      <c r="CL4" s="53"/>
      <c r="CM4" s="285"/>
      <c r="CN4" s="286"/>
      <c r="CO4" s="394" t="s">
        <v>1037</v>
      </c>
      <c r="CP4" s="422"/>
      <c r="CQ4" s="422"/>
      <c r="CR4" s="423"/>
      <c r="CS4" s="420"/>
      <c r="CT4" s="206"/>
    </row>
    <row r="5" spans="1:98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1614</v>
      </c>
      <c r="CE5" s="228"/>
      <c r="CF5" s="53"/>
      <c r="CG5" s="322"/>
      <c r="CH5" s="299"/>
      <c r="CI5" s="50"/>
      <c r="CJ5" s="54" t="s">
        <v>1615</v>
      </c>
      <c r="CK5" s="228"/>
      <c r="CL5" s="53"/>
      <c r="CM5" s="285"/>
      <c r="CN5" s="286"/>
      <c r="CO5" s="394"/>
      <c r="CP5" s="422"/>
      <c r="CQ5" s="422"/>
      <c r="CR5" s="423"/>
      <c r="CS5" s="420"/>
      <c r="CT5" s="206"/>
    </row>
    <row r="6" spans="1:98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G6" s="317"/>
      <c r="CH6" s="299"/>
      <c r="CI6" s="50"/>
      <c r="CJ6" s="51" t="s">
        <v>743</v>
      </c>
      <c r="CK6" s="210" t="b">
        <v>1</v>
      </c>
      <c r="CL6" s="53"/>
      <c r="CM6" s="285"/>
      <c r="CN6" s="286"/>
      <c r="CO6" s="394"/>
      <c r="CP6" s="422"/>
      <c r="CQ6" s="422"/>
      <c r="CR6" s="423"/>
      <c r="CS6" s="420"/>
      <c r="CT6" s="206"/>
    </row>
    <row r="7" spans="1:98" x14ac:dyDescent="0.25">
      <c r="F7" s="50"/>
      <c r="G7" s="59" t="s">
        <v>711</v>
      </c>
      <c r="H7" s="211" t="str">
        <f>$A$1&amp;"_OIS"</f>
        <v>SAR_OIS</v>
      </c>
      <c r="I7" s="53"/>
      <c r="K7" t="s">
        <v>298</v>
      </c>
      <c r="L7" s="358">
        <f>Z7</f>
        <v>8.8999999999999999E-3</v>
      </c>
      <c r="M7" s="5" t="b">
        <v>1</v>
      </c>
      <c r="N7" s="5">
        <f>$N$4</f>
        <v>1</v>
      </c>
      <c r="O7" s="5" t="s">
        <v>668</v>
      </c>
      <c r="Q7" s="50"/>
      <c r="R7" s="59" t="s">
        <v>711</v>
      </c>
      <c r="S7" s="211" t="str">
        <f>$A$1&amp;"_SWAP_"&amp;"3M"</f>
        <v>SAR_SWAP_3M</v>
      </c>
      <c r="T7" s="53"/>
      <c r="V7" t="s">
        <v>298</v>
      </c>
      <c r="W7" s="367">
        <f t="shared" ref="W7:W24" si="0">Z7+Y7/10000</f>
        <v>8.8999999999999999E-3</v>
      </c>
      <c r="X7" s="5" t="b">
        <v>1</v>
      </c>
      <c r="Y7" s="5">
        <v>0</v>
      </c>
      <c r="Z7" s="368">
        <f>Z8</f>
        <v>8.8999999999999999E-3</v>
      </c>
      <c r="AA7" s="203"/>
      <c r="AB7" s="50"/>
      <c r="AC7" s="59" t="s">
        <v>711</v>
      </c>
      <c r="AD7" s="211" t="str">
        <f>$A$1&amp;"_BASIS_3M6M"</f>
        <v>SAR_BASIS_3M6M</v>
      </c>
      <c r="AE7" s="53"/>
      <c r="AG7" t="s">
        <v>298</v>
      </c>
      <c r="AH7" s="358">
        <f t="shared" ref="AH7:AH10" si="1">AK7+AJ7/10000</f>
        <v>5.7125000000000006E-3</v>
      </c>
      <c r="AI7" s="5" t="b">
        <v>1</v>
      </c>
      <c r="AJ7" s="5">
        <v>0</v>
      </c>
      <c r="AK7" s="358">
        <f>SAR_DATA!Z7</f>
        <v>5.7125000000000006E-3</v>
      </c>
      <c r="AL7" s="207"/>
      <c r="AM7" s="50"/>
      <c r="AN7" s="59" t="s">
        <v>711</v>
      </c>
      <c r="AO7" s="211" t="str">
        <f>A1&amp;"_BASIS_1M3M"</f>
        <v>SAR_BASIS_1M3M</v>
      </c>
      <c r="AP7" s="53"/>
      <c r="AR7" t="str">
        <f>AG7</f>
        <v>ON</v>
      </c>
      <c r="AS7" s="342">
        <f>AV7+AU7/10000</f>
        <v>5.7125000000000006E-3</v>
      </c>
      <c r="AT7" t="b">
        <v>1</v>
      </c>
      <c r="AV7" s="203">
        <f>SAR_DATA!AE7</f>
        <v>5.7125000000000006E-3</v>
      </c>
      <c r="AX7" s="50"/>
      <c r="AY7" s="59" t="s">
        <v>711</v>
      </c>
      <c r="AZ7" s="211" t="str">
        <f>A1&amp;"_BASIS_1X3"</f>
        <v>SAR_BASIS_1X3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SAR_XCCY</v>
      </c>
      <c r="BL7" s="53"/>
      <c r="BN7" t="s">
        <v>2</v>
      </c>
      <c r="BO7" s="5" t="str">
        <f>$A$1</f>
        <v>SAR</v>
      </c>
      <c r="BP7" s="5">
        <f>FX!S2</f>
        <v>3.7509000000000001</v>
      </c>
      <c r="BQ7" s="5"/>
      <c r="BR7" s="357"/>
      <c r="BT7" s="50"/>
      <c r="BU7" s="270" t="s">
        <v>830</v>
      </c>
      <c r="BV7" s="271" t="str">
        <f>"FX_CURVE_"&amp;"USD"&amp;$A$1</f>
        <v>FX_CURVE_USDSAR</v>
      </c>
      <c r="BW7" s="52"/>
      <c r="BX7" s="299"/>
      <c r="BY7" t="s">
        <v>836</v>
      </c>
      <c r="BZ7" s="296">
        <f>SAR_DATA!AW7</f>
        <v>3.7507999999999999</v>
      </c>
      <c r="CA7" s="296">
        <f>SAR_DATA!AX7</f>
        <v>3.7509999999999999</v>
      </c>
      <c r="CC7" s="50"/>
      <c r="CD7" s="59" t="s">
        <v>711</v>
      </c>
      <c r="CE7" s="211" t="str">
        <f>$A$1&amp;"_EURCSA"</f>
        <v>SAR_EURCSA</v>
      </c>
      <c r="CF7" s="53"/>
      <c r="CG7" s="317"/>
      <c r="CH7" s="299"/>
      <c r="CI7" s="50"/>
      <c r="CJ7" s="59" t="s">
        <v>711</v>
      </c>
      <c r="CK7" s="211" t="str">
        <f>$A$1&amp;"_JPYCSA"</f>
        <v>SAR_JPYCSA</v>
      </c>
      <c r="CL7" s="53"/>
      <c r="CM7" s="285"/>
      <c r="CN7" s="286"/>
      <c r="CO7" s="394" t="str">
        <f t="array" ref="CO7:CS103">_xll.meUtilityResize(_xll.meLWOCurveForwardRatesTable(CO1,CO2:CO5,,,,,,"QUARTERLY"),144,5)</f>
        <v>Fixing Dates</v>
      </c>
      <c r="CP7" s="422" t="str">
        <v>SAROIS</v>
      </c>
      <c r="CQ7" s="422" t="str">
        <v>SAR3M</v>
      </c>
      <c r="CR7" s="423" t="str">
        <v>SARDF_USDCSA</v>
      </c>
      <c r="CS7" s="420" t="str">
        <v/>
      </c>
      <c r="CT7" s="206"/>
    </row>
    <row r="8" spans="1:98" x14ac:dyDescent="0.25">
      <c r="F8" s="50"/>
      <c r="G8" s="72" t="s">
        <v>670</v>
      </c>
      <c r="H8" s="35" t="str">
        <f>IF(H$6,_xll.meLWOCurveGeneratorCreate(H$7,"CURVEPROPERTIES",G12:H18,"OIS",G23:H37),"Disabled")</f>
        <v>SAR_OIS@341:6</v>
      </c>
      <c r="I8" s="53" t="s">
        <v>424</v>
      </c>
      <c r="K8" t="s">
        <v>305</v>
      </c>
      <c r="L8" s="358">
        <f t="shared" ref="L8:L24" si="2">Z8</f>
        <v>8.8999999999999999E-3</v>
      </c>
      <c r="M8" s="5" t="b">
        <v>1</v>
      </c>
      <c r="N8" s="5">
        <f t="shared" ref="N8:N26" si="3">$N$4</f>
        <v>1</v>
      </c>
      <c r="O8" s="5" t="s">
        <v>668</v>
      </c>
      <c r="Q8" s="50"/>
      <c r="R8" s="72" t="s">
        <v>670</v>
      </c>
      <c r="S8" s="35" t="str">
        <f>IF(S$6,_xll.meLWOCurveGeneratorCreate(S$7,"CURVEPROPERTIES",R12:S25,"MONEYMARKET",R28:S30,"LIBORFIXINGS",R33:S37,"FRAS",R40:S45,"SWAPS",R48:S61),"Disabled")</f>
        <v>SAR_SWAP_3M@340:6</v>
      </c>
      <c r="T8" s="53" t="s">
        <v>424</v>
      </c>
      <c r="V8" t="s">
        <v>300</v>
      </c>
      <c r="W8" s="367">
        <f t="shared" si="0"/>
        <v>8.8999999999999999E-3</v>
      </c>
      <c r="X8" s="5" t="b">
        <v>1</v>
      </c>
      <c r="Y8" s="5">
        <f t="shared" ref="Y8:Y24" si="4">$Y$4</f>
        <v>0</v>
      </c>
      <c r="Z8" s="368">
        <f>Z9</f>
        <v>8.8999999999999999E-3</v>
      </c>
      <c r="AA8" s="203"/>
      <c r="AB8" s="50"/>
      <c r="AC8" s="72" t="s">
        <v>670</v>
      </c>
      <c r="AD8" s="35" t="str">
        <f>IF(AD$6,_xll.meLWOCurveGeneratorCreate(AD$7,"CURVEPROPERTIES",AC12:AD21,"MONEYMARKET",AC26:AD28,"LIBORFIXINGS",AC31:AD35,"BASISSWAPS",AC38:AD78),"Disabled")</f>
        <v>SAR_BASIS_3M6M@337:6</v>
      </c>
      <c r="AE8" s="53" t="s">
        <v>424</v>
      </c>
      <c r="AG8" t="s">
        <v>300</v>
      </c>
      <c r="AH8" s="358">
        <f t="shared" si="1"/>
        <v>7.2499999999999995E-3</v>
      </c>
      <c r="AI8" s="5" t="b">
        <v>1</v>
      </c>
      <c r="AJ8" s="5">
        <f t="shared" ref="AJ8:AJ10" si="5">$AJ$4</f>
        <v>0</v>
      </c>
      <c r="AK8" s="358">
        <f>SAR_DATA!Z8</f>
        <v>7.2499999999999995E-3</v>
      </c>
      <c r="AL8" s="207"/>
      <c r="AM8" s="50"/>
      <c r="AN8" s="72" t="s">
        <v>670</v>
      </c>
      <c r="AO8" s="35" t="str">
        <f>IF(AO$6,_xll.meLWOCurveGeneratorCreate(AO$7,"CURVEPROPERTIES",AN12:AO21,"MONEYMARKET",AN26:AO28,"LIBORFIXINGS",AN31:AO35,"BASISSWAPS",AN39:AO80),"Disabled")</f>
        <v>SAR_BASIS_1M3M@343:6</v>
      </c>
      <c r="AP8" s="53" t="s">
        <v>424</v>
      </c>
      <c r="AR8" t="str">
        <f>AG8</f>
        <v>1M</v>
      </c>
      <c r="AS8" s="342">
        <f t="shared" ref="AS8:AS18" si="6">AV8+AU8/10000</f>
        <v>7.2499999999999995E-3</v>
      </c>
      <c r="AT8" t="b">
        <v>1</v>
      </c>
      <c r="AV8" s="203">
        <f>SAR_DATA!AE8</f>
        <v>7.2499999999999995E-3</v>
      </c>
      <c r="AX8" s="50"/>
      <c r="AY8" s="72" t="s">
        <v>670</v>
      </c>
      <c r="AZ8" s="35" t="str">
        <f>IF(AZ$6,_xll.meLWOCurveGeneratorCreate(AZ$7,AY11,AY12:AZ21,AY26,AY27:AZ68),"Disabled")</f>
        <v>#Error: Invalid Data: Data Contains Errors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IF(BK$6,_xll.meLWOCurveGeneratorCreate(BK$7,"CURVEPROPERTIES",BJ12:BK23,"FXFWDS",BJ26:BK34,"XCCYSWAPS",BJ37:BK74),"Disabled")</f>
        <v>SAR_XCCY@336:6</v>
      </c>
      <c r="BL8" s="53" t="s">
        <v>424</v>
      </c>
      <c r="BN8" t="s">
        <v>298</v>
      </c>
      <c r="BO8" s="362">
        <f>BR8+BQ8</f>
        <v>0</v>
      </c>
      <c r="BP8" s="5" t="b">
        <v>1</v>
      </c>
      <c r="BQ8" s="5">
        <f>$BQ$4</f>
        <v>0</v>
      </c>
      <c r="BR8" s="362">
        <f>SAR_DATA!AZ8</f>
        <v>0</v>
      </c>
      <c r="BT8" s="50"/>
      <c r="BU8" t="s">
        <v>670</v>
      </c>
      <c r="BV8" s="263" t="str">
        <f>IF(BV6,_xll.meLWOCurveGeneratorCreate(BV7,"CURVEPROPERTIES",BU12:BV15,"FXFWDS",BU20:BV25),"DISABLED")</f>
        <v>FX_CURVE_USDSAR@342:6</v>
      </c>
      <c r="BW8" s="52"/>
      <c r="BX8" s="299"/>
      <c r="BY8" t="s">
        <v>298</v>
      </c>
      <c r="BZ8" s="297">
        <f>SAR_DATA!AW8</f>
        <v>-0.4</v>
      </c>
      <c r="CA8" s="297">
        <f>SAR_DATA!AX8</f>
        <v>0.4</v>
      </c>
      <c r="CC8" s="50"/>
      <c r="CD8" s="72" t="s">
        <v>670</v>
      </c>
      <c r="CE8" s="35" t="str">
        <f>IF(CE$6,_xll.meLWOCurveGeneratorCreate(CE$7,"CURVEPROPERTIES",CD12:CE20,"FWDFXCONST",CD27:CE31),"Disabled")</f>
        <v>SAR_EURCSA@338:6</v>
      </c>
      <c r="CF8" s="53" t="s">
        <v>424</v>
      </c>
      <c r="CG8" s="317"/>
      <c r="CH8" s="303"/>
      <c r="CI8" s="50"/>
      <c r="CJ8" s="72" t="s">
        <v>670</v>
      </c>
      <c r="CK8" s="35" t="str">
        <f>IF(CK$6,_xll.meLWOCurveGeneratorCreate(CK$7,"CURVEPROPERTIES",CJ12:CK20,"FWDFXCONST",CJ27:CK31),"Disabled")</f>
        <v>SAR_JPYCSA@339:6</v>
      </c>
      <c r="CL8" s="53" t="s">
        <v>424</v>
      </c>
      <c r="CM8" s="285"/>
      <c r="CN8" s="286"/>
      <c r="CO8" s="395">
        <v>44083</v>
      </c>
      <c r="CP8" s="422">
        <v>8.9000000000183394E-3</v>
      </c>
      <c r="CQ8" s="422">
        <v>8.8870967741934304E-3</v>
      </c>
      <c r="CR8" s="423">
        <v>2.0412574644697902E-3</v>
      </c>
      <c r="CS8" s="420" t="str">
        <v/>
      </c>
      <c r="CT8" s="405" t="e">
        <f>100*(CQ8-CS8)</f>
        <v>#VALUE!</v>
      </c>
    </row>
    <row r="9" spans="1:98" x14ac:dyDescent="0.25">
      <c r="F9" s="50"/>
      <c r="G9" s="289"/>
      <c r="H9" s="289"/>
      <c r="I9" s="53" t="s">
        <v>424</v>
      </c>
      <c r="K9" t="s">
        <v>313</v>
      </c>
      <c r="L9" s="358">
        <f t="shared" si="2"/>
        <v>8.8999999999999999E-3</v>
      </c>
      <c r="M9" s="5" t="b">
        <v>1</v>
      </c>
      <c r="N9" s="5">
        <f t="shared" si="3"/>
        <v>1</v>
      </c>
      <c r="O9" s="5" t="s">
        <v>668</v>
      </c>
      <c r="Q9" s="50"/>
      <c r="R9" s="52"/>
      <c r="S9" s="52"/>
      <c r="T9" s="53"/>
      <c r="V9" t="s">
        <v>49</v>
      </c>
      <c r="W9" s="367">
        <f t="shared" si="0"/>
        <v>8.8999999999999999E-3</v>
      </c>
      <c r="X9" s="5" t="b">
        <v>1</v>
      </c>
      <c r="Y9" s="5">
        <f t="shared" si="4"/>
        <v>0</v>
      </c>
      <c r="Z9" s="368">
        <f>SAR_DATA!U9</f>
        <v>8.8999999999999999E-3</v>
      </c>
      <c r="AA9" s="203"/>
      <c r="AB9" s="50"/>
      <c r="AC9" s="52"/>
      <c r="AD9" s="52"/>
      <c r="AE9" s="53"/>
      <c r="AG9" t="s">
        <v>49</v>
      </c>
      <c r="AH9" s="358">
        <f t="shared" si="1"/>
        <v>8.8999999999999999E-3</v>
      </c>
      <c r="AI9" s="5" t="b">
        <v>1</v>
      </c>
      <c r="AJ9" s="5">
        <f t="shared" si="5"/>
        <v>0</v>
      </c>
      <c r="AK9" s="358">
        <f>SAR_DATA!Z9</f>
        <v>8.8999999999999999E-3</v>
      </c>
      <c r="AL9" s="207"/>
      <c r="AM9" s="50"/>
      <c r="AN9" s="52"/>
      <c r="AO9" s="52"/>
      <c r="AP9" s="53"/>
      <c r="AR9" t="s">
        <v>49</v>
      </c>
      <c r="AS9" s="342">
        <f t="shared" si="6"/>
        <v>1.6999999999999999E-3</v>
      </c>
      <c r="AT9" t="b">
        <v>1</v>
      </c>
      <c r="AU9">
        <f>$AU$4</f>
        <v>0</v>
      </c>
      <c r="AV9" s="203">
        <f>SAR_DATA!AE9</f>
        <v>1.6999999999999999E-3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362">
        <f t="shared" ref="BO9:BO21" si="7">BR9+BQ9</f>
        <v>0.1</v>
      </c>
      <c r="BP9" s="5" t="b">
        <v>1</v>
      </c>
      <c r="BQ9" s="5">
        <f t="shared" ref="BQ9:BQ23" si="8">$BQ$4</f>
        <v>0</v>
      </c>
      <c r="BR9" s="362">
        <f>SAR_DATA!AZ9</f>
        <v>0.1</v>
      </c>
      <c r="BT9" s="50"/>
      <c r="BU9" s="57"/>
      <c r="BV9" s="57"/>
      <c r="BW9" s="52"/>
      <c r="BX9" s="299"/>
      <c r="BY9" t="s">
        <v>506</v>
      </c>
      <c r="BZ9" s="297">
        <f>SAR_DATA!AW9</f>
        <v>-0.3</v>
      </c>
      <c r="CA9" s="297">
        <f>SAR_DATA!AX9</f>
        <v>0.5</v>
      </c>
      <c r="CC9" s="50"/>
      <c r="CD9" s="52"/>
      <c r="CE9" s="52"/>
      <c r="CF9" s="53"/>
      <c r="CG9" s="317"/>
      <c r="CH9" s="299"/>
      <c r="CI9" s="50"/>
      <c r="CJ9" s="52"/>
      <c r="CK9" s="52"/>
      <c r="CL9" s="53"/>
      <c r="CM9" s="285"/>
      <c r="CN9" s="286"/>
      <c r="CO9" s="395">
        <v>44174</v>
      </c>
      <c r="CP9" s="422">
        <v>1.12758862486384E-2</v>
      </c>
      <c r="CQ9" s="422">
        <v>9.7666666666669007E-3</v>
      </c>
      <c r="CR9" s="423">
        <v>2.2886414548928301E-3</v>
      </c>
      <c r="CS9" s="420" t="str">
        <v/>
      </c>
      <c r="CT9" s="405" t="e">
        <f t="shared" ref="CT9:CT55" si="9">100*(CQ9-CS9)</f>
        <v>#VALUE!</v>
      </c>
    </row>
    <row r="10" spans="1:98" x14ac:dyDescent="0.25">
      <c r="F10" s="50"/>
      <c r="G10" s="289"/>
      <c r="H10" s="289"/>
      <c r="I10" s="53"/>
      <c r="K10" t="s">
        <v>320</v>
      </c>
      <c r="L10" s="358">
        <f t="shared" si="2"/>
        <v>9.3999999999999986E-3</v>
      </c>
      <c r="M10" s="5" t="b">
        <v>1</v>
      </c>
      <c r="N10" s="5">
        <f t="shared" si="3"/>
        <v>1</v>
      </c>
      <c r="O10" s="5" t="s">
        <v>668</v>
      </c>
      <c r="Q10" s="50"/>
      <c r="R10" s="52"/>
      <c r="S10" s="52"/>
      <c r="T10" s="53"/>
      <c r="V10" t="s">
        <v>46</v>
      </c>
      <c r="W10" s="367">
        <f t="shared" si="0"/>
        <v>9.3999999999999986E-3</v>
      </c>
      <c r="X10" s="5" t="b">
        <v>0</v>
      </c>
      <c r="Y10" s="5">
        <f t="shared" si="4"/>
        <v>0</v>
      </c>
      <c r="Z10" s="368">
        <f>SAR_DATA!U10</f>
        <v>9.3999999999999986E-3</v>
      </c>
      <c r="AA10" s="203"/>
      <c r="AB10" s="50"/>
      <c r="AC10" s="52"/>
      <c r="AD10" s="52"/>
      <c r="AE10" s="53"/>
      <c r="AG10" t="s">
        <v>46</v>
      </c>
      <c r="AH10" s="358">
        <f t="shared" si="1"/>
        <v>9.3999999999999986E-3</v>
      </c>
      <c r="AI10" s="5" t="b">
        <v>1</v>
      </c>
      <c r="AJ10" s="5">
        <f t="shared" si="5"/>
        <v>0</v>
      </c>
      <c r="AK10" s="358">
        <f>SAR_DATA!Z10</f>
        <v>9.3999999999999986E-3</v>
      </c>
      <c r="AL10" s="207"/>
      <c r="AM10" s="50"/>
      <c r="AN10" s="52"/>
      <c r="AO10" s="52"/>
      <c r="AP10" s="53"/>
      <c r="AR10" t="s">
        <v>46</v>
      </c>
      <c r="AS10" s="342">
        <f t="shared" si="6"/>
        <v>1.8E-3</v>
      </c>
      <c r="AT10" t="b">
        <v>1</v>
      </c>
      <c r="AU10">
        <f t="shared" ref="AU10:AU18" si="10">$AU$4</f>
        <v>0</v>
      </c>
      <c r="AV10" s="203">
        <f>SAR_DATA!AE10</f>
        <v>1.8E-3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362">
        <f t="shared" si="7"/>
        <v>0.5</v>
      </c>
      <c r="BP10" s="5" t="b">
        <v>1</v>
      </c>
      <c r="BQ10" s="5">
        <f t="shared" si="8"/>
        <v>0</v>
      </c>
      <c r="BR10" s="362">
        <f>SAR_DATA!AZ10</f>
        <v>0.5</v>
      </c>
      <c r="BT10" s="50"/>
      <c r="BU10" s="57"/>
      <c r="BV10" s="57"/>
      <c r="BW10" s="52"/>
      <c r="BX10" s="299"/>
      <c r="BY10" t="s">
        <v>305</v>
      </c>
      <c r="BZ10" s="297">
        <f>SAR_DATA!AW10</f>
        <v>0</v>
      </c>
      <c r="CA10" s="297">
        <f>SAR_DATA!AX10</f>
        <v>1</v>
      </c>
      <c r="CC10" s="50"/>
      <c r="CD10" s="52"/>
      <c r="CE10" s="52"/>
      <c r="CF10" s="53"/>
      <c r="CG10" s="317"/>
      <c r="CH10" s="299"/>
      <c r="CI10" s="50"/>
      <c r="CJ10" s="52"/>
      <c r="CK10" s="52"/>
      <c r="CL10" s="53"/>
      <c r="CM10" s="285"/>
      <c r="CN10" s="286"/>
      <c r="CO10" s="395">
        <v>44264</v>
      </c>
      <c r="CP10" s="422">
        <v>9.0249121208252694E-3</v>
      </c>
      <c r="CQ10" s="422">
        <v>9.2133333333336495E-3</v>
      </c>
      <c r="CR10" s="423">
        <v>2.5251685296819801E-3</v>
      </c>
      <c r="CS10" s="420" t="str">
        <v/>
      </c>
      <c r="CT10" s="405" t="e">
        <f t="shared" si="9"/>
        <v>#VALUE!</v>
      </c>
    </row>
    <row r="11" spans="1:98" x14ac:dyDescent="0.25">
      <c r="F11" s="50"/>
      <c r="G11" s="54" t="s">
        <v>671</v>
      </c>
      <c r="H11" s="52"/>
      <c r="I11" s="53"/>
      <c r="K11" t="s">
        <v>300</v>
      </c>
      <c r="L11" s="358">
        <f t="shared" si="2"/>
        <v>9.9375000000000002E-3</v>
      </c>
      <c r="M11" s="5" t="b">
        <v>1</v>
      </c>
      <c r="N11" s="5">
        <f t="shared" si="3"/>
        <v>1</v>
      </c>
      <c r="O11" s="5" t="s">
        <v>668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9.9375000000000002E-3</v>
      </c>
      <c r="X11" s="5" t="b">
        <v>0</v>
      </c>
      <c r="Y11" s="5">
        <f t="shared" si="4"/>
        <v>0</v>
      </c>
      <c r="Z11" s="368">
        <f>SAR_DATA!U11</f>
        <v>9.9375000000000002E-3</v>
      </c>
      <c r="AA11" s="203"/>
      <c r="AB11" s="50"/>
      <c r="AC11" s="54" t="s">
        <v>671</v>
      </c>
      <c r="AD11" s="85" t="s">
        <v>713</v>
      </c>
      <c r="AE11" s="53"/>
      <c r="AG11" t="s">
        <v>47</v>
      </c>
      <c r="AH11" s="358">
        <f>AK11+AJ11/10000</f>
        <v>1.1000000000000001E-3</v>
      </c>
      <c r="AI11" s="5" t="b">
        <v>1</v>
      </c>
      <c r="AJ11" s="5">
        <f>$AJ$4</f>
        <v>0</v>
      </c>
      <c r="AK11" s="357">
        <f>SAR_DATA!Z11</f>
        <v>1.1000000000000001E-3</v>
      </c>
      <c r="AL11" s="207"/>
      <c r="AM11" s="50"/>
      <c r="AN11" s="54" t="s">
        <v>671</v>
      </c>
      <c r="AO11" s="85" t="s">
        <v>713</v>
      </c>
      <c r="AP11" s="53"/>
      <c r="AR11" t="s">
        <v>376</v>
      </c>
      <c r="AS11" s="342">
        <f t="shared" si="6"/>
        <v>1.65E-3</v>
      </c>
      <c r="AT11" t="b">
        <v>1</v>
      </c>
      <c r="AU11">
        <f t="shared" si="10"/>
        <v>0</v>
      </c>
      <c r="AV11" s="203">
        <f>SAR_DATA!AE11</f>
        <v>1.65E-3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300</v>
      </c>
      <c r="BO11" s="362">
        <f t="shared" si="7"/>
        <v>3</v>
      </c>
      <c r="BP11" s="5" t="b">
        <v>1</v>
      </c>
      <c r="BQ11" s="5">
        <f t="shared" si="8"/>
        <v>0</v>
      </c>
      <c r="BR11" s="362">
        <f>SAR_DATA!AZ11</f>
        <v>3</v>
      </c>
      <c r="BT11" s="50"/>
      <c r="BU11" s="56" t="s">
        <v>671</v>
      </c>
      <c r="BV11" s="272" t="s">
        <v>825</v>
      </c>
      <c r="BW11" s="52"/>
      <c r="BX11" s="299"/>
      <c r="BY11" t="s">
        <v>300</v>
      </c>
      <c r="BZ11" s="297">
        <f>SAR_DATA!AW11</f>
        <v>-0.5</v>
      </c>
      <c r="CA11" s="297">
        <f>SAR_DATA!AX11</f>
        <v>5.5</v>
      </c>
      <c r="CC11" s="50"/>
      <c r="CD11" s="54" t="s">
        <v>671</v>
      </c>
      <c r="CE11" s="85"/>
      <c r="CF11" s="53"/>
      <c r="CG11" s="317"/>
      <c r="CH11" s="299"/>
      <c r="CI11" s="50"/>
      <c r="CJ11" s="54" t="s">
        <v>671</v>
      </c>
      <c r="CK11" s="85"/>
      <c r="CL11" s="53"/>
      <c r="CM11" s="285"/>
      <c r="CN11" s="286"/>
      <c r="CO11" s="395">
        <v>44356</v>
      </c>
      <c r="CP11" s="422">
        <v>1.2265360487022699E-2</v>
      </c>
      <c r="CQ11" s="422">
        <v>9.0581087582186394E-3</v>
      </c>
      <c r="CR11" s="423">
        <v>2.95235002899683E-3</v>
      </c>
      <c r="CS11" s="420" t="str">
        <v/>
      </c>
      <c r="CT11" s="405" t="e">
        <f t="shared" si="9"/>
        <v>#VALUE!</v>
      </c>
    </row>
    <row r="12" spans="1:98" x14ac:dyDescent="0.25">
      <c r="F12" s="50"/>
      <c r="G12" s="212" t="s">
        <v>435</v>
      </c>
      <c r="H12" s="213" t="s">
        <v>426</v>
      </c>
      <c r="I12" s="53"/>
      <c r="K12" t="s">
        <v>335</v>
      </c>
      <c r="L12" s="358">
        <f t="shared" si="2"/>
        <v>9.1000000000000004E-3</v>
      </c>
      <c r="M12" s="5" t="b">
        <v>1</v>
      </c>
      <c r="N12" s="5">
        <f t="shared" si="3"/>
        <v>1</v>
      </c>
      <c r="O12" s="5" t="s">
        <v>668</v>
      </c>
      <c r="Q12" s="50"/>
      <c r="R12" s="220" t="s">
        <v>435</v>
      </c>
      <c r="S12" s="221" t="s">
        <v>463</v>
      </c>
      <c r="T12" s="53"/>
      <c r="V12" t="s">
        <v>1206</v>
      </c>
      <c r="W12" s="367">
        <f t="shared" si="0"/>
        <v>9.1000000000000004E-3</v>
      </c>
      <c r="X12" s="5" t="b">
        <v>1</v>
      </c>
      <c r="Y12" s="5">
        <f t="shared" si="4"/>
        <v>0</v>
      </c>
      <c r="Z12" s="368">
        <f>SAR_DATA!U12</f>
        <v>9.1000000000000004E-3</v>
      </c>
      <c r="AA12" s="203"/>
      <c r="AB12" s="50"/>
      <c r="AC12" s="220" t="s">
        <v>434</v>
      </c>
      <c r="AD12" s="238" t="str">
        <f>$A$1</f>
        <v>SAR</v>
      </c>
      <c r="AE12" s="53"/>
      <c r="AG12" t="s">
        <v>308</v>
      </c>
      <c r="AH12" s="358">
        <f t="shared" ref="AH12:AH17" si="11">AK12+AJ12/10000</f>
        <v>1.1999999999999999E-3</v>
      </c>
      <c r="AI12" s="5" t="b">
        <v>1</v>
      </c>
      <c r="AJ12" s="5">
        <f t="shared" ref="AJ12:AJ17" si="12">$AJ$4</f>
        <v>0</v>
      </c>
      <c r="AK12" s="357">
        <f>SAR_DATA!Z12</f>
        <v>1.1999999999999999E-3</v>
      </c>
      <c r="AL12" s="207"/>
      <c r="AM12" s="50"/>
      <c r="AN12" s="220" t="s">
        <v>434</v>
      </c>
      <c r="AO12" s="238" t="str">
        <f>$A$1</f>
        <v>SAR</v>
      </c>
      <c r="AP12" s="53"/>
      <c r="AR12" t="s">
        <v>47</v>
      </c>
      <c r="AS12" s="342">
        <f t="shared" si="6"/>
        <v>1.5499999999999999E-3</v>
      </c>
      <c r="AT12" t="b">
        <v>1</v>
      </c>
      <c r="AU12">
        <f t="shared" si="10"/>
        <v>0</v>
      </c>
      <c r="AV12" s="203">
        <f>SAR_DATA!AE12</f>
        <v>1.5499999999999999E-3</v>
      </c>
      <c r="AX12" s="50"/>
      <c r="AY12" s="220" t="s">
        <v>434</v>
      </c>
      <c r="AZ12" s="238" t="str">
        <f>$A$1</f>
        <v>SAR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335</v>
      </c>
      <c r="BO12" s="362">
        <f t="shared" si="7"/>
        <v>7</v>
      </c>
      <c r="BP12" s="5" t="b">
        <v>1</v>
      </c>
      <c r="BQ12" s="5">
        <f t="shared" si="8"/>
        <v>0</v>
      </c>
      <c r="BR12" s="362">
        <f>SAR_DATA!AZ12</f>
        <v>7</v>
      </c>
      <c r="BT12" s="50"/>
      <c r="BU12" s="238" t="s">
        <v>434</v>
      </c>
      <c r="BV12" s="238" t="s">
        <v>949</v>
      </c>
      <c r="BW12" s="52"/>
      <c r="BX12" s="299"/>
      <c r="BY12" t="s">
        <v>335</v>
      </c>
      <c r="BZ12" s="297">
        <f>SAR_DATA!AW12</f>
        <v>2.5</v>
      </c>
      <c r="CA12" s="297">
        <f>SAR_DATA!AX12</f>
        <v>10.5</v>
      </c>
      <c r="CC12" s="50"/>
      <c r="CD12" s="220" t="s">
        <v>435</v>
      </c>
      <c r="CE12" s="238" t="s">
        <v>1084</v>
      </c>
      <c r="CF12" s="53"/>
      <c r="CG12" s="317"/>
      <c r="CH12" s="303"/>
      <c r="CI12" s="50"/>
      <c r="CJ12" s="220" t="s">
        <v>435</v>
      </c>
      <c r="CK12" s="238" t="s">
        <v>1084</v>
      </c>
      <c r="CL12" s="53"/>
      <c r="CM12" s="285"/>
      <c r="CN12" s="286"/>
      <c r="CO12" s="395">
        <v>44448</v>
      </c>
      <c r="CP12" s="422">
        <v>1.6612049776325601E-2</v>
      </c>
      <c r="CQ12" s="422">
        <v>1.12198334640687E-2</v>
      </c>
      <c r="CR12" s="423">
        <v>3.2530311714074902E-3</v>
      </c>
      <c r="CS12" s="420" t="str">
        <v/>
      </c>
      <c r="CT12" s="405" t="e">
        <f t="shared" si="9"/>
        <v>#VALUE!</v>
      </c>
    </row>
    <row r="13" spans="1:98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49</v>
      </c>
      <c r="L13" s="358">
        <f t="shared" si="2"/>
        <v>9.300000000000001E-3</v>
      </c>
      <c r="M13" s="5" t="b">
        <v>1</v>
      </c>
      <c r="N13" s="5">
        <f t="shared" si="3"/>
        <v>1</v>
      </c>
      <c r="O13" s="5" t="s">
        <v>668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1207</v>
      </c>
      <c r="W13" s="367">
        <f t="shared" si="0"/>
        <v>9.300000000000001E-3</v>
      </c>
      <c r="X13" s="5" t="b">
        <v>1</v>
      </c>
      <c r="Y13" s="5">
        <f t="shared" si="4"/>
        <v>0</v>
      </c>
      <c r="Z13" s="368">
        <f>SAR_DATA!U13</f>
        <v>9.300000000000001E-3</v>
      </c>
      <c r="AA13" s="203"/>
      <c r="AB13" s="50"/>
      <c r="AC13" s="222" t="s">
        <v>435</v>
      </c>
      <c r="AD13" s="216" t="s">
        <v>468</v>
      </c>
      <c r="AE13" s="53"/>
      <c r="AG13" t="s">
        <v>316</v>
      </c>
      <c r="AH13" s="358">
        <f t="shared" si="11"/>
        <v>1.2999999999999999E-3</v>
      </c>
      <c r="AI13" s="5" t="b">
        <v>1</v>
      </c>
      <c r="AJ13" s="5">
        <f t="shared" si="12"/>
        <v>0</v>
      </c>
      <c r="AK13" s="357">
        <f>SAR_DATA!Z13</f>
        <v>1.2999999999999999E-3</v>
      </c>
      <c r="AL13" s="207"/>
      <c r="AM13" s="50"/>
      <c r="AN13" s="222" t="s">
        <v>435</v>
      </c>
      <c r="AO13" s="216" t="s">
        <v>468</v>
      </c>
      <c r="AP13" s="53"/>
      <c r="AR13" t="s">
        <v>308</v>
      </c>
      <c r="AS13" s="342">
        <f t="shared" si="6"/>
        <v>1.3500000000000001E-3</v>
      </c>
      <c r="AT13" t="b">
        <v>1</v>
      </c>
      <c r="AU13">
        <f t="shared" si="10"/>
        <v>0</v>
      </c>
      <c r="AV13" s="203">
        <f>SAR_DATA!AE13</f>
        <v>1.3500000000000001E-3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">
        <v>458</v>
      </c>
      <c r="BL13" s="53"/>
      <c r="BN13" t="s">
        <v>49</v>
      </c>
      <c r="BO13" s="362">
        <f t="shared" si="7"/>
        <v>12</v>
      </c>
      <c r="BP13" s="5" t="b">
        <v>1</v>
      </c>
      <c r="BQ13" s="5">
        <f t="shared" si="8"/>
        <v>0</v>
      </c>
      <c r="BR13" s="362">
        <f>SAR_DATA!AZ13</f>
        <v>12</v>
      </c>
      <c r="BT13" s="50"/>
      <c r="BU13" s="216" t="s">
        <v>724</v>
      </c>
      <c r="BV13" s="216" t="s">
        <v>1588</v>
      </c>
      <c r="BW13" s="52"/>
      <c r="BX13" s="299"/>
      <c r="BY13" t="s">
        <v>49</v>
      </c>
      <c r="BZ13" s="297">
        <f>SAR_DATA!AW13</f>
        <v>8</v>
      </c>
      <c r="CA13" s="297">
        <f>SAR_DATA!AX13</f>
        <v>16</v>
      </c>
      <c r="CC13" s="50"/>
      <c r="CD13" s="222" t="s">
        <v>438</v>
      </c>
      <c r="CE13" s="216" t="s">
        <v>439</v>
      </c>
      <c r="CF13" s="53"/>
      <c r="CG13" s="317"/>
      <c r="CH13" s="313"/>
      <c r="CI13" s="50"/>
      <c r="CJ13" s="222" t="s">
        <v>438</v>
      </c>
      <c r="CK13" s="216" t="s">
        <v>439</v>
      </c>
      <c r="CL13" s="53"/>
      <c r="CM13" s="285"/>
      <c r="CN13" s="286"/>
      <c r="CO13" s="395">
        <v>44539</v>
      </c>
      <c r="CP13" s="422">
        <v>1.4874657023540299E-2</v>
      </c>
      <c r="CQ13" s="422">
        <v>1.1967377046582E-2</v>
      </c>
      <c r="CR13" s="423">
        <v>3.6117135112858599E-3</v>
      </c>
      <c r="CS13" s="420" t="str">
        <v/>
      </c>
      <c r="CT13" s="405" t="e">
        <f t="shared" si="9"/>
        <v>#VALUE!</v>
      </c>
    </row>
    <row r="14" spans="1:98" x14ac:dyDescent="0.25">
      <c r="F14" s="50"/>
      <c r="G14" s="214" t="s">
        <v>672</v>
      </c>
      <c r="H14" s="215" t="s">
        <v>426</v>
      </c>
      <c r="I14" s="53"/>
      <c r="K14" t="s">
        <v>351</v>
      </c>
      <c r="L14" s="358">
        <f t="shared" si="2"/>
        <v>9.7999999999999997E-3</v>
      </c>
      <c r="M14" s="5" t="b">
        <v>1</v>
      </c>
      <c r="N14" s="5">
        <f t="shared" si="3"/>
        <v>1</v>
      </c>
      <c r="O14" s="5" t="s">
        <v>668</v>
      </c>
      <c r="Q14" s="50"/>
      <c r="R14" s="222" t="s">
        <v>672</v>
      </c>
      <c r="S14" s="223" t="s">
        <v>714</v>
      </c>
      <c r="T14" s="53"/>
      <c r="V14" t="s">
        <v>1208</v>
      </c>
      <c r="W14" s="367">
        <f t="shared" si="0"/>
        <v>9.7999999999999997E-3</v>
      </c>
      <c r="X14" s="5" t="b">
        <v>1</v>
      </c>
      <c r="Y14" s="5">
        <f t="shared" si="4"/>
        <v>0</v>
      </c>
      <c r="Z14" s="368">
        <f>SAR_DATA!U14</f>
        <v>9.7999999999999997E-3</v>
      </c>
      <c r="AA14" s="203"/>
      <c r="AB14" s="50"/>
      <c r="AC14" s="222" t="s">
        <v>438</v>
      </c>
      <c r="AD14" s="216" t="s">
        <v>459</v>
      </c>
      <c r="AE14" s="53"/>
      <c r="AG14" t="s">
        <v>324</v>
      </c>
      <c r="AH14" s="358">
        <f t="shared" si="11"/>
        <v>1.4E-3</v>
      </c>
      <c r="AI14" s="5" t="b">
        <v>1</v>
      </c>
      <c r="AJ14" s="5">
        <f t="shared" si="12"/>
        <v>0</v>
      </c>
      <c r="AK14" s="357">
        <f>SAR_DATA!Z14</f>
        <v>1.4E-3</v>
      </c>
      <c r="AL14" s="207"/>
      <c r="AM14" s="50"/>
      <c r="AN14" s="222" t="s">
        <v>438</v>
      </c>
      <c r="AO14" s="216" t="s">
        <v>794</v>
      </c>
      <c r="AP14" s="53"/>
      <c r="AR14" t="s">
        <v>316</v>
      </c>
      <c r="AS14" s="342">
        <f t="shared" si="6"/>
        <v>1.25E-3</v>
      </c>
      <c r="AT14" t="b">
        <v>1</v>
      </c>
      <c r="AU14">
        <f t="shared" si="10"/>
        <v>0</v>
      </c>
      <c r="AV14" s="203">
        <f>SAR_DATA!AE14</f>
        <v>1.25E-3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46</v>
      </c>
      <c r="BO14" s="362">
        <f t="shared" si="7"/>
        <v>28</v>
      </c>
      <c r="BP14" s="5" t="b">
        <v>1</v>
      </c>
      <c r="BQ14" s="5">
        <f t="shared" si="8"/>
        <v>0</v>
      </c>
      <c r="BR14" s="362">
        <f>SAR_DATA!AZ14</f>
        <v>28</v>
      </c>
      <c r="BT14" s="50"/>
      <c r="BU14" s="216" t="s">
        <v>435</v>
      </c>
      <c r="BV14" s="216" t="s">
        <v>820</v>
      </c>
      <c r="BW14" s="52"/>
      <c r="BX14" s="299"/>
      <c r="BY14" t="s">
        <v>46</v>
      </c>
      <c r="BZ14" s="297">
        <f>SAR_DATA!AW14</f>
        <v>23</v>
      </c>
      <c r="CA14" s="297">
        <f>SAR_DATA!AX14</f>
        <v>33</v>
      </c>
      <c r="CC14" s="50"/>
      <c r="CD14" s="222" t="s">
        <v>672</v>
      </c>
      <c r="CE14" s="216" t="s">
        <v>1092</v>
      </c>
      <c r="CF14" s="53"/>
      <c r="CG14" s="317"/>
      <c r="CH14" s="299"/>
      <c r="CI14" s="50"/>
      <c r="CJ14" s="222" t="s">
        <v>672</v>
      </c>
      <c r="CK14" s="216" t="s">
        <v>1127</v>
      </c>
      <c r="CL14" s="53"/>
      <c r="CM14" s="285"/>
      <c r="CN14" s="286"/>
      <c r="CO14" s="395">
        <v>44629</v>
      </c>
      <c r="CP14" s="422">
        <v>1.4101003625795E-2</v>
      </c>
      <c r="CQ14" s="422">
        <v>1.26201637517739E-2</v>
      </c>
      <c r="CR14" s="423">
        <v>4.1041800871754498E-3</v>
      </c>
      <c r="CS14" s="420" t="str">
        <v/>
      </c>
      <c r="CT14" s="405" t="e">
        <f t="shared" si="9"/>
        <v>#VALUE!</v>
      </c>
    </row>
    <row r="15" spans="1:98" x14ac:dyDescent="0.25">
      <c r="F15" s="50"/>
      <c r="G15" s="235" t="s">
        <v>673</v>
      </c>
      <c r="H15" s="236" t="str">
        <f>H14&amp;":"&amp;$A$1&amp;H12</f>
        <v>OIS:SAROIS</v>
      </c>
      <c r="I15" s="53" t="s">
        <v>424</v>
      </c>
      <c r="K15" t="s">
        <v>360</v>
      </c>
      <c r="L15" s="358">
        <f t="shared" si="2"/>
        <v>9.1999999999999998E-3</v>
      </c>
      <c r="M15" s="5" t="b">
        <v>1</v>
      </c>
      <c r="N15" s="5">
        <f t="shared" si="3"/>
        <v>1</v>
      </c>
      <c r="O15" s="5" t="s">
        <v>668</v>
      </c>
      <c r="Q15" s="50"/>
      <c r="R15" s="233" t="s">
        <v>673</v>
      </c>
      <c r="S15" s="230" t="str">
        <f>"STD:"&amp;$A$1&amp;"3M"</f>
        <v>STD:SAR3M</v>
      </c>
      <c r="T15" s="53"/>
      <c r="V15" t="s">
        <v>1209</v>
      </c>
      <c r="W15" s="367">
        <f t="shared" si="0"/>
        <v>9.1999999999999998E-3</v>
      </c>
      <c r="X15" s="5" t="b">
        <v>1</v>
      </c>
      <c r="Y15" s="5">
        <f t="shared" si="4"/>
        <v>0</v>
      </c>
      <c r="Z15" s="368">
        <f>SAR_DATA!U15</f>
        <v>9.1999999999999998E-3</v>
      </c>
      <c r="AA15" s="203"/>
      <c r="AB15" s="50"/>
      <c r="AC15" s="222" t="s">
        <v>672</v>
      </c>
      <c r="AD15" s="216" t="s">
        <v>745</v>
      </c>
      <c r="AE15" s="53"/>
      <c r="AG15" t="s">
        <v>331</v>
      </c>
      <c r="AH15" s="358">
        <f t="shared" si="11"/>
        <v>1.5E-3</v>
      </c>
      <c r="AI15" s="5" t="b">
        <v>1</v>
      </c>
      <c r="AJ15" s="5">
        <f t="shared" si="12"/>
        <v>0</v>
      </c>
      <c r="AK15" s="357">
        <f>SAR_DATA!Z15</f>
        <v>1.5E-3</v>
      </c>
      <c r="AL15" s="207"/>
      <c r="AM15" s="50"/>
      <c r="AN15" s="222" t="s">
        <v>672</v>
      </c>
      <c r="AO15" s="216" t="s">
        <v>795</v>
      </c>
      <c r="AP15" s="53"/>
      <c r="AR15" t="s">
        <v>324</v>
      </c>
      <c r="AS15" s="342">
        <f t="shared" si="6"/>
        <v>1.25E-3</v>
      </c>
      <c r="AT15" t="b">
        <v>1</v>
      </c>
      <c r="AU15">
        <f t="shared" si="10"/>
        <v>0</v>
      </c>
      <c r="AV15" s="203">
        <f>SAR_DATA!AE15</f>
        <v>1.25E-3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933</v>
      </c>
      <c r="BL15" s="53"/>
      <c r="BN15" t="s">
        <v>376</v>
      </c>
      <c r="BO15" s="362">
        <f t="shared" si="7"/>
        <v>48</v>
      </c>
      <c r="BP15" s="5" t="b">
        <v>1</v>
      </c>
      <c r="BQ15" s="5">
        <f t="shared" si="8"/>
        <v>0</v>
      </c>
      <c r="BR15" s="362">
        <f>SAR_DATA!AZ15</f>
        <v>48</v>
      </c>
      <c r="BT15" s="50"/>
      <c r="BU15" s="219" t="s">
        <v>826</v>
      </c>
      <c r="BV15" s="219" t="s">
        <v>828</v>
      </c>
      <c r="BW15" s="52"/>
      <c r="BX15" s="299"/>
      <c r="BY15" t="s">
        <v>376</v>
      </c>
      <c r="BZ15" s="297">
        <f>SAR_DATA!AW15</f>
        <v>42</v>
      </c>
      <c r="CA15" s="297">
        <f>SAR_DATA!AX15</f>
        <v>54</v>
      </c>
      <c r="CC15" s="50"/>
      <c r="CD15" s="222" t="s">
        <v>673</v>
      </c>
      <c r="CE15" s="216" t="s">
        <v>1200</v>
      </c>
      <c r="CF15" s="53"/>
      <c r="CG15" s="317"/>
      <c r="CH15" s="299"/>
      <c r="CI15" s="50"/>
      <c r="CJ15" s="222" t="s">
        <v>673</v>
      </c>
      <c r="CK15" s="216" t="s">
        <v>1203</v>
      </c>
      <c r="CL15" s="53"/>
      <c r="CM15" s="285"/>
      <c r="CN15" s="286"/>
      <c r="CO15" s="395">
        <v>44721</v>
      </c>
      <c r="CP15" s="422">
        <v>1.43061241888898E-2</v>
      </c>
      <c r="CQ15" s="422">
        <v>1.36268977243021E-2</v>
      </c>
      <c r="CR15" s="423">
        <v>4.7357676231288897E-3</v>
      </c>
      <c r="CS15" s="420" t="str">
        <v/>
      </c>
      <c r="CT15" s="405" t="e">
        <f t="shared" si="9"/>
        <v>#VALUE!</v>
      </c>
    </row>
    <row r="16" spans="1:98" x14ac:dyDescent="0.25">
      <c r="F16" s="50"/>
      <c r="G16" s="214" t="s">
        <v>434</v>
      </c>
      <c r="H16" s="216" t="str">
        <f>$A$1</f>
        <v>SAR</v>
      </c>
      <c r="I16" s="53"/>
      <c r="K16" t="s">
        <v>46</v>
      </c>
      <c r="L16" s="358">
        <f t="shared" si="2"/>
        <v>9.1000000000000004E-3</v>
      </c>
      <c r="M16" s="5" t="b">
        <v>1</v>
      </c>
      <c r="N16" s="5">
        <f t="shared" si="3"/>
        <v>1</v>
      </c>
      <c r="O16" s="5" t="s">
        <v>668</v>
      </c>
      <c r="Q16" s="50"/>
      <c r="R16" s="222" t="s">
        <v>434</v>
      </c>
      <c r="S16" s="223" t="str">
        <f>$A$1</f>
        <v>SAR</v>
      </c>
      <c r="T16" s="53"/>
      <c r="V16" t="s">
        <v>1076</v>
      </c>
      <c r="W16" s="367">
        <f t="shared" si="0"/>
        <v>9.1000000000000004E-3</v>
      </c>
      <c r="X16" s="5" t="b">
        <v>1</v>
      </c>
      <c r="Y16" s="5">
        <f t="shared" si="4"/>
        <v>0</v>
      </c>
      <c r="Z16" s="368">
        <f>SAR_DATA!U16</f>
        <v>9.1000000000000004E-3</v>
      </c>
      <c r="AA16" s="203"/>
      <c r="AB16" s="50"/>
      <c r="AC16" s="233" t="s">
        <v>673</v>
      </c>
      <c r="AD16" s="230" t="s">
        <v>941</v>
      </c>
      <c r="AE16" s="53"/>
      <c r="AG16" t="s">
        <v>342</v>
      </c>
      <c r="AH16" s="358">
        <f t="shared" si="11"/>
        <v>1.5E-3</v>
      </c>
      <c r="AI16" s="5" t="b">
        <v>1</v>
      </c>
      <c r="AJ16" s="5">
        <f t="shared" si="12"/>
        <v>0</v>
      </c>
      <c r="AK16" s="357">
        <f>SAR_DATA!Z16</f>
        <v>1.5E-3</v>
      </c>
      <c r="AL16" s="207"/>
      <c r="AM16" s="50"/>
      <c r="AN16" s="233" t="s">
        <v>673</v>
      </c>
      <c r="AO16" s="230" t="str">
        <f>"1M3MBasis:"&amp;$A$1&amp;"1M"</f>
        <v>1M3MBasis:SAR1M</v>
      </c>
      <c r="AP16" s="53"/>
      <c r="AR16" t="s">
        <v>331</v>
      </c>
      <c r="AS16" s="342">
        <f t="shared" si="6"/>
        <v>1.1999999999999999E-3</v>
      </c>
      <c r="AT16" t="b">
        <v>1</v>
      </c>
      <c r="AU16">
        <f t="shared" si="10"/>
        <v>0</v>
      </c>
      <c r="AV16" s="203">
        <f>SAR_DATA!AE16</f>
        <v>1.1999999999999999E-3</v>
      </c>
      <c r="AX16" s="50"/>
      <c r="AY16" s="233" t="s">
        <v>673</v>
      </c>
      <c r="AZ16" s="230" t="str">
        <f>"1M3MBasis:"&amp;A1&amp;"3M"</f>
        <v>1M3MBasis:SAR3M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SAR</v>
      </c>
      <c r="BL16" s="53"/>
      <c r="BN16" t="s">
        <v>322</v>
      </c>
      <c r="BO16" s="362">
        <f t="shared" si="7"/>
        <v>74</v>
      </c>
      <c r="BP16" s="5" t="b">
        <v>1</v>
      </c>
      <c r="BQ16" s="5">
        <f t="shared" si="8"/>
        <v>0</v>
      </c>
      <c r="BR16" s="362">
        <f>SAR_DATA!AZ16</f>
        <v>74</v>
      </c>
      <c r="BT16" s="50"/>
      <c r="BU16" s="57"/>
      <c r="BV16" s="57"/>
      <c r="BW16" s="52"/>
      <c r="BX16" s="299"/>
      <c r="BY16" t="s">
        <v>322</v>
      </c>
      <c r="BZ16" s="297">
        <f>SAR_DATA!AW16</f>
        <v>66</v>
      </c>
      <c r="CA16" s="297">
        <f>SAR_DATA!AX16</f>
        <v>82</v>
      </c>
      <c r="CC16" s="50"/>
      <c r="CD16" s="233" t="s">
        <v>434</v>
      </c>
      <c r="CE16" s="230" t="s">
        <v>246</v>
      </c>
      <c r="CF16" s="53"/>
      <c r="CG16" s="317"/>
      <c r="CH16" s="299"/>
      <c r="CI16" s="50"/>
      <c r="CJ16" s="233" t="s">
        <v>434</v>
      </c>
      <c r="CK16" s="230" t="s">
        <v>246</v>
      </c>
      <c r="CL16" s="53"/>
      <c r="CM16" s="285"/>
      <c r="CN16" s="286"/>
      <c r="CO16" s="395">
        <v>44813</v>
      </c>
      <c r="CP16" s="422">
        <v>1.55527090881691E-2</v>
      </c>
      <c r="CQ16" s="422">
        <v>1.49268335360546E-2</v>
      </c>
      <c r="CR16" s="423">
        <v>5.4551453870561196E-3</v>
      </c>
      <c r="CS16" s="420" t="str">
        <v/>
      </c>
      <c r="CT16" s="405" t="e">
        <f t="shared" si="9"/>
        <v>#VALUE!</v>
      </c>
    </row>
    <row r="17" spans="6:98" x14ac:dyDescent="0.25">
      <c r="F17" s="50"/>
      <c r="G17" s="217" t="s">
        <v>674</v>
      </c>
      <c r="H17" s="216" t="s">
        <v>675</v>
      </c>
      <c r="I17" s="53"/>
      <c r="K17" t="s">
        <v>376</v>
      </c>
      <c r="L17" s="358">
        <f t="shared" si="2"/>
        <v>9.2800000000000001E-3</v>
      </c>
      <c r="M17" s="5" t="b">
        <v>1</v>
      </c>
      <c r="N17" s="5">
        <f t="shared" si="3"/>
        <v>1</v>
      </c>
      <c r="O17" s="5" t="s">
        <v>668</v>
      </c>
      <c r="Q17" s="50"/>
      <c r="R17" s="222" t="s">
        <v>674</v>
      </c>
      <c r="S17" s="223" t="s">
        <v>715</v>
      </c>
      <c r="T17" s="53"/>
      <c r="V17" t="s">
        <v>47</v>
      </c>
      <c r="W17" s="367">
        <f t="shared" si="0"/>
        <v>9.2800000000000001E-3</v>
      </c>
      <c r="X17" s="5" t="b">
        <v>1</v>
      </c>
      <c r="Y17" s="5">
        <f t="shared" si="4"/>
        <v>0</v>
      </c>
      <c r="Z17" s="368">
        <f>SAR_DATA!U17</f>
        <v>9.2800000000000001E-3</v>
      </c>
      <c r="AA17" s="203"/>
      <c r="AB17" s="50"/>
      <c r="AC17" s="222" t="s">
        <v>674</v>
      </c>
      <c r="AD17" s="216" t="s">
        <v>675</v>
      </c>
      <c r="AE17" s="53"/>
      <c r="AG17" t="s">
        <v>349</v>
      </c>
      <c r="AH17" s="358">
        <f t="shared" si="11"/>
        <v>1.6999999999999999E-3</v>
      </c>
      <c r="AI17" s="5" t="b">
        <v>1</v>
      </c>
      <c r="AJ17" s="5">
        <f t="shared" si="12"/>
        <v>0</v>
      </c>
      <c r="AK17" s="357">
        <f>SAR_DATA!Z17</f>
        <v>1.6999999999999999E-3</v>
      </c>
      <c r="AL17" s="207"/>
      <c r="AM17" s="50"/>
      <c r="AN17" s="222" t="s">
        <v>674</v>
      </c>
      <c r="AO17" s="216" t="s">
        <v>675</v>
      </c>
      <c r="AP17" s="53"/>
      <c r="AR17" t="s">
        <v>342</v>
      </c>
      <c r="AS17" s="342">
        <f t="shared" si="6"/>
        <v>1.1999999999999999E-3</v>
      </c>
      <c r="AT17" t="b">
        <v>1</v>
      </c>
      <c r="AU17">
        <f t="shared" si="10"/>
        <v>0</v>
      </c>
      <c r="AV17" s="203">
        <f>SAR_DATA!AE17</f>
        <v>1.1999999999999999E-3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N17" t="s">
        <v>308</v>
      </c>
      <c r="BO17" s="362">
        <f t="shared" si="7"/>
        <v>215</v>
      </c>
      <c r="BP17" s="5" t="b">
        <v>1</v>
      </c>
      <c r="BQ17" s="5">
        <f t="shared" si="8"/>
        <v>0</v>
      </c>
      <c r="BR17" s="362">
        <f>SAR_DATA!AZ17</f>
        <v>215</v>
      </c>
      <c r="BT17" s="50"/>
      <c r="BU17" s="57"/>
      <c r="BV17" s="57"/>
      <c r="BW17" s="52"/>
      <c r="BX17" s="299"/>
      <c r="BY17" t="s">
        <v>308</v>
      </c>
      <c r="BZ17" s="297">
        <f>SAR_DATA!AW17</f>
        <v>195</v>
      </c>
      <c r="CA17" s="297">
        <f>SAR_DATA!AX17</f>
        <v>235</v>
      </c>
      <c r="CC17" s="50"/>
      <c r="CD17" s="222" t="s">
        <v>674</v>
      </c>
      <c r="CE17" s="216" t="s">
        <v>675</v>
      </c>
      <c r="CF17" s="53"/>
      <c r="CG17" s="317"/>
      <c r="CH17" s="299"/>
      <c r="CI17" s="50"/>
      <c r="CJ17" s="222" t="s">
        <v>674</v>
      </c>
      <c r="CK17" s="216" t="s">
        <v>675</v>
      </c>
      <c r="CL17" s="53"/>
      <c r="CM17" s="285"/>
      <c r="CN17" s="286"/>
      <c r="CO17" s="395">
        <v>44904</v>
      </c>
      <c r="CP17" s="422">
        <v>1.7189222654989698E-2</v>
      </c>
      <c r="CQ17" s="422">
        <v>1.61466252132377E-2</v>
      </c>
      <c r="CR17" s="423">
        <v>6.0707589323660801E-3</v>
      </c>
      <c r="CS17" s="420" t="str">
        <v/>
      </c>
      <c r="CT17" s="405" t="e">
        <f t="shared" si="9"/>
        <v>#VALUE!</v>
      </c>
    </row>
    <row r="18" spans="6:98" x14ac:dyDescent="0.25">
      <c r="F18" s="50"/>
      <c r="G18" s="214" t="s">
        <v>676</v>
      </c>
      <c r="H18" s="216" t="s">
        <v>675</v>
      </c>
      <c r="I18" s="53"/>
      <c r="K18" t="s">
        <v>47</v>
      </c>
      <c r="L18" s="358">
        <f t="shared" si="2"/>
        <v>1.0860000000000002E-2</v>
      </c>
      <c r="M18" s="5" t="b">
        <v>1</v>
      </c>
      <c r="N18" s="5">
        <f t="shared" si="3"/>
        <v>1</v>
      </c>
      <c r="O18" s="5" t="s">
        <v>668</v>
      </c>
      <c r="Q18" s="50"/>
      <c r="R18" s="222" t="s">
        <v>676</v>
      </c>
      <c r="S18" s="223" t="s">
        <v>715</v>
      </c>
      <c r="T18" s="53"/>
      <c r="V18" t="s">
        <v>308</v>
      </c>
      <c r="W18" s="367">
        <f t="shared" si="0"/>
        <v>1.0860000000000002E-2</v>
      </c>
      <c r="X18" s="5" t="b">
        <v>1</v>
      </c>
      <c r="Y18" s="5">
        <f t="shared" si="4"/>
        <v>0</v>
      </c>
      <c r="Z18" s="368">
        <f>SAR_DATA!U18</f>
        <v>1.0860000000000002E-2</v>
      </c>
      <c r="AA18" s="203"/>
      <c r="AB18" s="50"/>
      <c r="AC18" s="222" t="s">
        <v>676</v>
      </c>
      <c r="AD18" s="216" t="s">
        <v>675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349</v>
      </c>
      <c r="AS18" s="342">
        <f t="shared" si="6"/>
        <v>1.1999999999999999E-3</v>
      </c>
      <c r="AT18" t="b">
        <v>1</v>
      </c>
      <c r="AU18">
        <f t="shared" si="10"/>
        <v>0</v>
      </c>
      <c r="AV18" s="203">
        <f>SAR_DATA!AE18</f>
        <v>1.1999999999999999E-3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s="339" t="s">
        <v>316</v>
      </c>
      <c r="BO18" s="362">
        <f t="shared" si="7"/>
        <v>435</v>
      </c>
      <c r="BP18" s="364" t="b">
        <v>1</v>
      </c>
      <c r="BQ18" s="5">
        <f t="shared" si="8"/>
        <v>0</v>
      </c>
      <c r="BR18" s="362">
        <f>SAR_DATA!AZ18</f>
        <v>435</v>
      </c>
      <c r="BT18" s="50"/>
      <c r="BU18" s="57"/>
      <c r="BV18" s="57"/>
      <c r="BW18" s="52"/>
      <c r="BX18" s="299"/>
      <c r="BY18" s="339" t="s">
        <v>316</v>
      </c>
      <c r="BZ18" s="297">
        <f>SAR_DATA!AW18</f>
        <v>395</v>
      </c>
      <c r="CA18" s="297">
        <f>SAR_DATA!AX18</f>
        <v>475</v>
      </c>
      <c r="CC18" s="50"/>
      <c r="CD18" s="222" t="s">
        <v>676</v>
      </c>
      <c r="CE18" s="216" t="s">
        <v>675</v>
      </c>
      <c r="CF18" s="53"/>
      <c r="CG18" s="317"/>
      <c r="CH18" s="299"/>
      <c r="CI18" s="50"/>
      <c r="CJ18" s="222" t="s">
        <v>676</v>
      </c>
      <c r="CK18" s="216" t="s">
        <v>675</v>
      </c>
      <c r="CL18" s="53"/>
      <c r="CM18" s="285"/>
      <c r="CN18" s="286"/>
      <c r="CO18" s="395">
        <v>44994</v>
      </c>
      <c r="CP18" s="422">
        <v>1.8556573769190701E-2</v>
      </c>
      <c r="CQ18" s="422">
        <v>1.71886919149923E-2</v>
      </c>
      <c r="CR18" s="423">
        <v>6.5411169199948499E-3</v>
      </c>
      <c r="CS18" s="420" t="str">
        <v/>
      </c>
      <c r="CT18" s="405" t="e">
        <f t="shared" si="9"/>
        <v>#VALUE!</v>
      </c>
    </row>
    <row r="19" spans="6:98" x14ac:dyDescent="0.25">
      <c r="F19" s="50"/>
      <c r="G19" s="214"/>
      <c r="H19" s="216"/>
      <c r="I19" s="53"/>
      <c r="K19" t="s">
        <v>308</v>
      </c>
      <c r="L19" s="358">
        <f t="shared" si="2"/>
        <v>1.278E-2</v>
      </c>
      <c r="M19" s="5" t="b">
        <v>1</v>
      </c>
      <c r="N19" s="5">
        <f t="shared" si="3"/>
        <v>1</v>
      </c>
      <c r="O19" s="5" t="s">
        <v>668</v>
      </c>
      <c r="Q19" s="50"/>
      <c r="R19" s="222" t="s">
        <v>716</v>
      </c>
      <c r="S19" s="223" t="s">
        <v>715</v>
      </c>
      <c r="T19" s="53"/>
      <c r="V19" t="s">
        <v>316</v>
      </c>
      <c r="W19" s="367">
        <f t="shared" si="0"/>
        <v>1.278E-2</v>
      </c>
      <c r="X19" s="5" t="b">
        <v>1</v>
      </c>
      <c r="Y19" s="5">
        <f t="shared" si="4"/>
        <v>0</v>
      </c>
      <c r="Z19" s="368">
        <f>SAR_DATA!U19</f>
        <v>1.278E-2</v>
      </c>
      <c r="AA19" s="203"/>
      <c r="AB19" s="50"/>
      <c r="AC19" s="222" t="s">
        <v>746</v>
      </c>
      <c r="AD19" s="216" t="s">
        <v>675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324</v>
      </c>
      <c r="BO19" s="362">
        <f t="shared" si="7"/>
        <v>660</v>
      </c>
      <c r="BP19" s="5" t="b">
        <v>1</v>
      </c>
      <c r="BQ19" s="5">
        <f t="shared" si="8"/>
        <v>0</v>
      </c>
      <c r="BR19" s="362">
        <f>SAR_DATA!AZ19</f>
        <v>660</v>
      </c>
      <c r="BT19" s="50"/>
      <c r="BU19" s="56" t="s">
        <v>814</v>
      </c>
      <c r="BV19" s="57"/>
      <c r="BW19" s="262"/>
      <c r="BX19" s="303"/>
      <c r="BY19" t="s">
        <v>324</v>
      </c>
      <c r="BZ19" s="297">
        <f>SAR_DATA!AW19</f>
        <v>590</v>
      </c>
      <c r="CA19" s="297">
        <f>SAR_DATA!AX19</f>
        <v>730</v>
      </c>
      <c r="CC19" s="50"/>
      <c r="CD19" s="222" t="s">
        <v>746</v>
      </c>
      <c r="CE19" s="216" t="s">
        <v>675</v>
      </c>
      <c r="CF19" s="53"/>
      <c r="CG19" s="317"/>
      <c r="CH19" s="299"/>
      <c r="CI19" s="50"/>
      <c r="CJ19" s="222" t="s">
        <v>746</v>
      </c>
      <c r="CK19" s="216" t="s">
        <v>675</v>
      </c>
      <c r="CL19" s="53"/>
      <c r="CM19" s="285"/>
      <c r="CN19" s="286"/>
      <c r="CO19" s="395">
        <v>45086</v>
      </c>
      <c r="CP19" s="422">
        <v>1.9738572138958799E-2</v>
      </c>
      <c r="CQ19" s="422">
        <v>1.8072668284179201E-2</v>
      </c>
      <c r="CR19" s="423">
        <v>6.8680195917585401E-3</v>
      </c>
      <c r="CS19" s="420" t="str">
        <v/>
      </c>
      <c r="CT19" s="405" t="e">
        <f t="shared" si="9"/>
        <v>#VALUE!</v>
      </c>
    </row>
    <row r="20" spans="6:98" x14ac:dyDescent="0.25">
      <c r="F20" s="50"/>
      <c r="G20" s="218"/>
      <c r="H20" s="219"/>
      <c r="I20" s="53"/>
      <c r="K20" t="s">
        <v>316</v>
      </c>
      <c r="L20" s="358">
        <f t="shared" si="2"/>
        <v>1.4630000000000001E-2</v>
      </c>
      <c r="M20" s="5" t="b">
        <v>1</v>
      </c>
      <c r="N20" s="5">
        <f t="shared" si="3"/>
        <v>1</v>
      </c>
      <c r="O20" s="5" t="s">
        <v>668</v>
      </c>
      <c r="Q20" s="50"/>
      <c r="R20" s="233" t="s">
        <v>717</v>
      </c>
      <c r="S20" s="230" t="s">
        <v>718</v>
      </c>
      <c r="T20" s="53"/>
      <c r="V20" t="s">
        <v>324</v>
      </c>
      <c r="W20" s="367">
        <f t="shared" si="0"/>
        <v>1.4630000000000001E-2</v>
      </c>
      <c r="X20" s="5" t="b">
        <v>1</v>
      </c>
      <c r="Y20" s="5">
        <f t="shared" si="4"/>
        <v>0</v>
      </c>
      <c r="Z20" s="368">
        <f>SAR_DATA!U20</f>
        <v>1.4630000000000001E-2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331</v>
      </c>
      <c r="BO20" s="362">
        <f t="shared" si="7"/>
        <v>890</v>
      </c>
      <c r="BP20" s="5" t="b">
        <v>1</v>
      </c>
      <c r="BQ20" s="5">
        <f t="shared" si="8"/>
        <v>0</v>
      </c>
      <c r="BR20" s="362">
        <f>SAR_DATA!AZ20</f>
        <v>890</v>
      </c>
      <c r="BT20" s="50"/>
      <c r="BU20" s="147" t="s">
        <v>704</v>
      </c>
      <c r="BV20" s="221" t="str">
        <f>INDEX('STATIC DATA'!C30:AB30,1,MATCH($A$1,'STATIC DATA'!$C$4:$AB$4,0))</f>
        <v>RIB:NYB</v>
      </c>
      <c r="BW20" s="52"/>
      <c r="BX20" s="299"/>
      <c r="BY20" t="s">
        <v>331</v>
      </c>
      <c r="BZ20" s="297">
        <f>SAR_DATA!AW20</f>
        <v>790</v>
      </c>
      <c r="CA20" s="297">
        <f>SAR_DATA!AX20</f>
        <v>990</v>
      </c>
      <c r="CC20" s="50"/>
      <c r="CD20" s="222" t="s">
        <v>748</v>
      </c>
      <c r="CE20" s="216" t="s">
        <v>426</v>
      </c>
      <c r="CF20" s="53"/>
      <c r="CG20" s="317"/>
      <c r="CH20" s="299"/>
      <c r="CI20" s="50"/>
      <c r="CJ20" s="222" t="s">
        <v>748</v>
      </c>
      <c r="CK20" s="216" t="s">
        <v>426</v>
      </c>
      <c r="CL20" s="53"/>
      <c r="CM20" s="285"/>
      <c r="CN20" s="286"/>
      <c r="CO20" s="395">
        <v>45180</v>
      </c>
      <c r="CP20" s="422">
        <v>2.0660143022217602E-2</v>
      </c>
      <c r="CQ20" s="422">
        <v>1.8839384847041001E-2</v>
      </c>
      <c r="CR20" s="423">
        <v>7.0790094442690198E-3</v>
      </c>
      <c r="CS20" s="420" t="str">
        <v/>
      </c>
      <c r="CT20" s="405" t="e">
        <f t="shared" si="9"/>
        <v>#VALUE!</v>
      </c>
    </row>
    <row r="21" spans="6:98" x14ac:dyDescent="0.25">
      <c r="F21" s="50"/>
      <c r="G21" s="52"/>
      <c r="H21" s="52"/>
      <c r="I21" s="53"/>
      <c r="K21" t="s">
        <v>324</v>
      </c>
      <c r="L21" s="358">
        <f t="shared" si="2"/>
        <v>1.6590000000000001E-2</v>
      </c>
      <c r="M21" s="5" t="b">
        <v>1</v>
      </c>
      <c r="N21" s="5">
        <f t="shared" si="3"/>
        <v>1</v>
      </c>
      <c r="O21" s="5" t="s">
        <v>668</v>
      </c>
      <c r="Q21" s="50"/>
      <c r="R21" s="233" t="s">
        <v>719</v>
      </c>
      <c r="S21" s="230" t="s">
        <v>720</v>
      </c>
      <c r="T21" s="53"/>
      <c r="V21" t="s">
        <v>331</v>
      </c>
      <c r="W21" s="367">
        <f t="shared" si="0"/>
        <v>1.6590000000000001E-2</v>
      </c>
      <c r="X21" s="5" t="b">
        <v>1</v>
      </c>
      <c r="Y21" s="5">
        <f t="shared" si="4"/>
        <v>0</v>
      </c>
      <c r="Z21" s="368">
        <f>SAR_DATA!U21</f>
        <v>1.6590000000000001E-2</v>
      </c>
      <c r="AA21" s="203"/>
      <c r="AB21" s="50"/>
      <c r="AC21" s="234" t="s">
        <v>748</v>
      </c>
      <c r="AD21" s="232" t="s">
        <v>426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X21" s="50"/>
      <c r="AY21" s="234" t="s">
        <v>748</v>
      </c>
      <c r="AZ21" s="232" t="s">
        <v>426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339</v>
      </c>
      <c r="BO21" s="362">
        <f t="shared" si="7"/>
        <v>1102.5</v>
      </c>
      <c r="BP21" s="5" t="b">
        <v>0</v>
      </c>
      <c r="BQ21" s="5">
        <f t="shared" si="8"/>
        <v>0</v>
      </c>
      <c r="BR21" s="362">
        <f>SAR_DATA!AZ21</f>
        <v>1102.5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t="s">
        <v>339</v>
      </c>
      <c r="BZ21" s="297">
        <f>SAR_DATA!AW21</f>
        <v>952.5</v>
      </c>
      <c r="CA21" s="297">
        <f>SAR_DATA!AX21</f>
        <v>1252.5</v>
      </c>
      <c r="CG21" s="317"/>
      <c r="CH21" s="299"/>
      <c r="CM21" s="285"/>
      <c r="CN21" s="286"/>
      <c r="CO21" s="395">
        <v>45271</v>
      </c>
      <c r="CP21" s="422">
        <v>2.1524784207906999E-2</v>
      </c>
      <c r="CQ21" s="422">
        <v>1.9664088453703699E-2</v>
      </c>
      <c r="CR21" s="423">
        <v>7.3356521026634496E-3</v>
      </c>
      <c r="CS21" s="420" t="str">
        <v/>
      </c>
      <c r="CT21" s="405" t="e">
        <f t="shared" si="9"/>
        <v>#VALUE!</v>
      </c>
    </row>
    <row r="22" spans="6:98" x14ac:dyDescent="0.25">
      <c r="F22" s="50"/>
      <c r="G22" s="54" t="s">
        <v>426</v>
      </c>
      <c r="H22" s="52"/>
      <c r="I22" s="53"/>
      <c r="K22" t="s">
        <v>331</v>
      </c>
      <c r="L22" s="358">
        <f t="shared" si="2"/>
        <v>1.8500000000000003E-2</v>
      </c>
      <c r="M22" s="5" t="b">
        <v>1</v>
      </c>
      <c r="N22" s="5">
        <f t="shared" si="3"/>
        <v>1</v>
      </c>
      <c r="O22" s="5" t="s">
        <v>668</v>
      </c>
      <c r="Q22" s="50"/>
      <c r="R22" s="222" t="s">
        <v>706</v>
      </c>
      <c r="S22" s="223" t="s">
        <v>721</v>
      </c>
      <c r="T22" s="53"/>
      <c r="V22" t="s">
        <v>339</v>
      </c>
      <c r="W22" s="367">
        <f t="shared" si="0"/>
        <v>1.8500000000000003E-2</v>
      </c>
      <c r="X22" s="5" t="b">
        <v>1</v>
      </c>
      <c r="Y22" s="5">
        <f t="shared" si="4"/>
        <v>0</v>
      </c>
      <c r="Z22" s="368">
        <f>SAR_DATA!U22</f>
        <v>1.8500000000000003E-2</v>
      </c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342</v>
      </c>
      <c r="BO22" s="368">
        <f>(BR22+BQ22)/10000</f>
        <v>-1.04E-2</v>
      </c>
      <c r="BP22" s="5" t="b">
        <v>1</v>
      </c>
      <c r="BQ22" s="5">
        <f t="shared" si="8"/>
        <v>0</v>
      </c>
      <c r="BR22" s="362">
        <f>SAR_DATA!AR12</f>
        <v>-104</v>
      </c>
      <c r="BT22" s="50"/>
      <c r="BU22" s="149" t="s">
        <v>707</v>
      </c>
      <c r="BV22" s="223" t="s">
        <v>687</v>
      </c>
      <c r="BW22" s="52"/>
      <c r="BX22" s="299"/>
      <c r="BY22" t="s">
        <v>342</v>
      </c>
      <c r="BZ22" s="297">
        <f>SAR_DATA!AW22</f>
        <v>1115</v>
      </c>
      <c r="CA22" s="297">
        <f>SAR_DATA!AX22</f>
        <v>1515</v>
      </c>
      <c r="CG22" s="317"/>
      <c r="CH22" s="299"/>
      <c r="CM22" s="285"/>
      <c r="CN22" s="286"/>
      <c r="CO22" s="395">
        <v>45362</v>
      </c>
      <c r="CP22" s="422">
        <v>2.25671355566615E-2</v>
      </c>
      <c r="CQ22" s="422">
        <v>2.0624787369246101E-2</v>
      </c>
      <c r="CR22" s="423">
        <v>7.6842566266376901E-3</v>
      </c>
      <c r="CS22" s="420" t="str">
        <v/>
      </c>
      <c r="CT22" s="405" t="e">
        <f t="shared" si="9"/>
        <v>#VALUE!</v>
      </c>
    </row>
    <row r="23" spans="6:98" x14ac:dyDescent="0.25">
      <c r="F23" s="50"/>
      <c r="G23" s="220" t="s">
        <v>677</v>
      </c>
      <c r="H23" s="221" t="str">
        <f>INDEX('STATIC DATA'!C43:AB43,1,MATCH($A$1,'STATIC DATA'!$C$4:$AB$4,0))</f>
        <v>RIB</v>
      </c>
      <c r="I23" s="53"/>
      <c r="K23" t="s">
        <v>342</v>
      </c>
      <c r="L23" s="358">
        <f t="shared" si="2"/>
        <v>2.0150000000000001E-2</v>
      </c>
      <c r="M23" s="5" t="b">
        <v>1</v>
      </c>
      <c r="N23" s="5">
        <f t="shared" si="3"/>
        <v>1</v>
      </c>
      <c r="O23" s="5" t="s">
        <v>668</v>
      </c>
      <c r="Q23" s="50"/>
      <c r="R23" s="222" t="s">
        <v>722</v>
      </c>
      <c r="S23" s="223" t="b">
        <v>0</v>
      </c>
      <c r="T23" s="53"/>
      <c r="V23" t="s">
        <v>342</v>
      </c>
      <c r="W23" s="367">
        <f t="shared" si="0"/>
        <v>2.0150000000000001E-2</v>
      </c>
      <c r="X23" s="5" t="b">
        <v>1</v>
      </c>
      <c r="Y23" s="5">
        <f t="shared" si="4"/>
        <v>0</v>
      </c>
      <c r="Z23" s="368">
        <f>SAR_DATA!U23</f>
        <v>2.0150000000000001E-2</v>
      </c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349</v>
      </c>
      <c r="BO23" s="368">
        <f>(BR23+BQ23)/10000</f>
        <v>-1.29E-2</v>
      </c>
      <c r="BP23" s="5" t="b">
        <v>1</v>
      </c>
      <c r="BQ23" s="5">
        <f t="shared" si="8"/>
        <v>0</v>
      </c>
      <c r="BR23" s="362">
        <f>SAR_DATA!AR13</f>
        <v>-129</v>
      </c>
      <c r="BT23" s="50"/>
      <c r="BU23" s="149" t="s">
        <v>689</v>
      </c>
      <c r="BV23" s="223" t="b">
        <v>1</v>
      </c>
      <c r="BW23" s="52"/>
      <c r="BX23" s="299"/>
      <c r="BY23" t="s">
        <v>349</v>
      </c>
      <c r="BZ23" s="297">
        <f>SAR_DATA!AW23</f>
        <v>1610</v>
      </c>
      <c r="CA23" s="297">
        <f>SAR_DATA!AX23</f>
        <v>2210</v>
      </c>
      <c r="CG23" s="317"/>
      <c r="CH23" s="299"/>
      <c r="CM23" s="285"/>
      <c r="CN23" s="286"/>
      <c r="CO23" s="395">
        <v>45453</v>
      </c>
      <c r="CP23" s="422">
        <v>2.3791851157115702E-2</v>
      </c>
      <c r="CQ23" s="422">
        <v>2.1709768923454401E-2</v>
      </c>
      <c r="CR23" s="423">
        <v>8.1207192388950706E-3</v>
      </c>
      <c r="CS23" s="420" t="str">
        <v/>
      </c>
      <c r="CT23" s="405" t="e">
        <f t="shared" si="9"/>
        <v>#VALUE!</v>
      </c>
    </row>
    <row r="24" spans="6:98" x14ac:dyDescent="0.25">
      <c r="F24" s="50"/>
      <c r="G24" s="222" t="s">
        <v>678</v>
      </c>
      <c r="H24" s="223" t="str">
        <f>INDEX('STATIC DATA'!C59:AB59,1,MATCH($A$1,'STATIC DATA'!C4:AB4,0))</f>
        <v>ACT/360</v>
      </c>
      <c r="I24" s="53"/>
      <c r="K24" t="s">
        <v>349</v>
      </c>
      <c r="L24" s="358">
        <f t="shared" si="2"/>
        <v>2.4740000000000002E-2</v>
      </c>
      <c r="M24" s="5" t="b">
        <v>1</v>
      </c>
      <c r="N24" s="5">
        <f t="shared" si="3"/>
        <v>1</v>
      </c>
      <c r="O24" s="5" t="s">
        <v>668</v>
      </c>
      <c r="Q24" s="50"/>
      <c r="R24" s="222" t="s">
        <v>723</v>
      </c>
      <c r="S24" s="223" t="s">
        <v>718</v>
      </c>
      <c r="T24" s="53"/>
      <c r="V24" t="s">
        <v>349</v>
      </c>
      <c r="W24" s="367">
        <f t="shared" si="0"/>
        <v>2.4740000000000002E-2</v>
      </c>
      <c r="X24" s="5" t="b">
        <v>1</v>
      </c>
      <c r="Y24" s="5">
        <f t="shared" si="4"/>
        <v>0</v>
      </c>
      <c r="Z24" s="368">
        <f>SAR_DATA!U24</f>
        <v>2.4740000000000002E-2</v>
      </c>
      <c r="AA24" s="203"/>
      <c r="AB24" s="50"/>
      <c r="AC24" s="85" t="s">
        <v>713</v>
      </c>
      <c r="AD24" s="85" t="s">
        <v>713</v>
      </c>
      <c r="AE24" s="53"/>
      <c r="AH24" s="358"/>
      <c r="AI24" s="5"/>
      <c r="AJ24" s="5"/>
      <c r="AK24" s="357"/>
      <c r="AM24" s="50"/>
      <c r="AN24" s="574"/>
      <c r="AO24" s="575"/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s="2" t="s">
        <v>358</v>
      </c>
      <c r="BO24" s="427">
        <f>SAR_DATA!AR14/10000</f>
        <v>-1.4566666666666665E-2</v>
      </c>
      <c r="BP24" s="4" t="b">
        <v>1</v>
      </c>
      <c r="BQ24" s="5"/>
      <c r="BR24" s="357"/>
      <c r="BT24" s="50"/>
      <c r="BU24" s="149" t="s">
        <v>688</v>
      </c>
      <c r="BV24" s="223">
        <v>31</v>
      </c>
      <c r="BW24" s="52"/>
      <c r="BX24" s="299"/>
      <c r="CG24" s="317"/>
      <c r="CH24" s="299"/>
      <c r="CM24" s="285"/>
      <c r="CN24" s="286"/>
      <c r="CO24" s="395">
        <v>45544</v>
      </c>
      <c r="CP24" s="422">
        <v>2.5204164268299498E-2</v>
      </c>
      <c r="CQ24" s="422">
        <v>2.2890933014067898E-2</v>
      </c>
      <c r="CR24" s="423">
        <v>8.6338018116399497E-3</v>
      </c>
      <c r="CS24" s="420" t="str">
        <v/>
      </c>
      <c r="CT24" s="405" t="e">
        <f t="shared" si="9"/>
        <v>#VALUE!</v>
      </c>
    </row>
    <row r="25" spans="6:98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374</v>
      </c>
      <c r="L25" s="358">
        <f>L24</f>
        <v>2.4740000000000002E-2</v>
      </c>
      <c r="M25" s="5" t="b">
        <v>1</v>
      </c>
      <c r="N25" s="5">
        <f t="shared" si="3"/>
        <v>1</v>
      </c>
      <c r="O25" s="5" t="s">
        <v>668</v>
      </c>
      <c r="Q25" s="50"/>
      <c r="R25" s="234" t="s">
        <v>724</v>
      </c>
      <c r="S25" s="232" t="s">
        <v>426</v>
      </c>
      <c r="T25" s="53"/>
      <c r="W25" s="367"/>
      <c r="X25" s="5"/>
      <c r="Z25" s="368"/>
      <c r="AA25" s="203"/>
      <c r="AB25" s="50"/>
      <c r="AC25" s="54" t="s">
        <v>726</v>
      </c>
      <c r="AD25" s="52" t="s">
        <v>713</v>
      </c>
      <c r="AE25" s="53"/>
      <c r="AH25" s="5"/>
      <c r="AI25" s="5"/>
      <c r="AJ25" s="5"/>
      <c r="AK25" s="5"/>
      <c r="AM25" s="50"/>
      <c r="AN25" s="54" t="s">
        <v>726</v>
      </c>
      <c r="AO25" s="52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255" t="s">
        <v>814</v>
      </c>
      <c r="BK25" s="256"/>
      <c r="BL25" s="53"/>
      <c r="BO25" s="358"/>
      <c r="BP25" s="5"/>
      <c r="BQ25" s="5"/>
      <c r="BR25" s="357"/>
      <c r="BT25" s="50"/>
      <c r="BU25" s="151" t="s">
        <v>819</v>
      </c>
      <c r="BV25" s="226" t="b">
        <v>0</v>
      </c>
      <c r="BW25" s="52"/>
      <c r="BX25" s="299"/>
      <c r="CG25" s="317"/>
      <c r="CH25" s="299"/>
      <c r="CM25" s="285"/>
      <c r="CN25" s="286"/>
      <c r="CO25" s="395">
        <v>45635</v>
      </c>
      <c r="CP25" s="422">
        <v>2.64207340034831E-2</v>
      </c>
      <c r="CQ25" s="422">
        <v>2.40642997084289E-2</v>
      </c>
      <c r="CR25" s="423">
        <v>9.1879646592132498E-3</v>
      </c>
      <c r="CS25" s="420" t="str">
        <v/>
      </c>
      <c r="CT25" s="405" t="e">
        <f t="shared" si="9"/>
        <v>#VALUE!</v>
      </c>
    </row>
    <row r="26" spans="6:98" x14ac:dyDescent="0.25">
      <c r="F26" s="50"/>
      <c r="G26" s="222" t="s">
        <v>681</v>
      </c>
      <c r="H26" s="223" t="s">
        <v>682</v>
      </c>
      <c r="I26" s="53"/>
      <c r="K26" t="s">
        <v>389</v>
      </c>
      <c r="L26" s="358">
        <f>L25</f>
        <v>2.4740000000000002E-2</v>
      </c>
      <c r="M26" s="5" t="b">
        <v>1</v>
      </c>
      <c r="N26" s="5">
        <f t="shared" si="3"/>
        <v>1</v>
      </c>
      <c r="O26" s="5" t="s">
        <v>668</v>
      </c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220" t="s">
        <v>677</v>
      </c>
      <c r="AD26" s="221" t="str">
        <f>INDEX('STATIC DATA'!C43:AB43,1,MATCH($A$1,'STATIC DATA'!$C$4:$AB$4,0))</f>
        <v>RIB</v>
      </c>
      <c r="AE26" s="53"/>
      <c r="AH26" s="5"/>
      <c r="AI26" s="5"/>
      <c r="AJ26" s="5"/>
      <c r="AK26" s="5"/>
      <c r="AM26" s="50"/>
      <c r="AN26" s="220" t="s">
        <v>677</v>
      </c>
      <c r="AO26" s="221" t="str">
        <f>INDEX('STATIC DATA'!C43:AB43,1,MATCH($A$1,'STATIC DATA'!$C$4:$AB$4,0))</f>
        <v>RIB</v>
      </c>
      <c r="AP26" s="53"/>
      <c r="AX26" s="50"/>
      <c r="AY26" s="54" t="s">
        <v>467</v>
      </c>
      <c r="AZ26" s="85" t="s">
        <v>713</v>
      </c>
      <c r="BA26" s="53"/>
      <c r="BI26" s="50"/>
      <c r="BJ26" s="225" t="s">
        <v>677</v>
      </c>
      <c r="BK26" s="240" t="str">
        <f>INDEX('STATIC DATA'!C30:AB30,1,MATCH($A$1,'STATIC DATA'!$C$4:$AB$4,0))</f>
        <v>RIB:NYB</v>
      </c>
      <c r="BL26" s="53"/>
      <c r="BO26" s="358"/>
      <c r="BP26" s="5"/>
      <c r="BQ26" s="5"/>
      <c r="BR26" s="357"/>
      <c r="BT26" s="50"/>
      <c r="BU26" s="52"/>
      <c r="BV26" s="52"/>
      <c r="BW26" s="52"/>
      <c r="BX26" s="299"/>
      <c r="CD26" s="442" t="s">
        <v>1084</v>
      </c>
      <c r="CE26" t="s">
        <v>713</v>
      </c>
      <c r="CG26" s="317"/>
      <c r="CH26" s="299"/>
      <c r="CJ26" s="442" t="s">
        <v>1084</v>
      </c>
      <c r="CK26" t="s">
        <v>713</v>
      </c>
      <c r="CM26" s="285"/>
      <c r="CN26" s="286"/>
      <c r="CO26" s="395">
        <v>45726</v>
      </c>
      <c r="CP26" s="422">
        <v>2.70180095904804E-2</v>
      </c>
      <c r="CQ26" s="422">
        <v>2.5222499850094001E-2</v>
      </c>
      <c r="CR26" s="423">
        <v>9.7726932198663099E-3</v>
      </c>
      <c r="CS26" s="420" t="str">
        <v/>
      </c>
      <c r="CT26" s="405" t="e">
        <f t="shared" si="9"/>
        <v>#VALUE!</v>
      </c>
    </row>
    <row r="27" spans="6:98" x14ac:dyDescent="0.25">
      <c r="F27" s="50"/>
      <c r="G27" s="222" t="s">
        <v>683</v>
      </c>
      <c r="H27" s="223" t="str">
        <f>INDEX('STATIC DATA'!C15:AB15,1,MATCH($A$1,'STATIC DATA'!C4:AB4,0))</f>
        <v>2D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22" t="s">
        <v>678</v>
      </c>
      <c r="AD27" s="223" t="str">
        <f>INDEX('STATIC DATA'!C55:AB55,1,MATCH($A$1,'STATIC DATA'!C4:AB4,0))</f>
        <v>ACT/360</v>
      </c>
      <c r="AE27" s="53"/>
      <c r="AH27" s="5"/>
      <c r="AI27" s="5"/>
      <c r="AJ27" s="5"/>
      <c r="AK27" s="5"/>
      <c r="AM27" s="50"/>
      <c r="AN27" s="222" t="s">
        <v>678</v>
      </c>
      <c r="AO27" s="223" t="str">
        <f>INDEX('STATIC DATA'!N55:AM55,1,MATCH($A$1,'STATIC DATA'!N4:AM4,0))</f>
        <v>ACT/360</v>
      </c>
      <c r="AP27" s="53"/>
      <c r="AX27" s="50"/>
      <c r="AY27" s="245" t="s">
        <v>749</v>
      </c>
      <c r="AZ27" s="243" t="s">
        <v>795</v>
      </c>
      <c r="BA27" s="53"/>
      <c r="BI27" s="50"/>
      <c r="BJ27" s="225" t="s">
        <v>683</v>
      </c>
      <c r="BK27" s="257" t="str">
        <f>INDEX('STATIC DATA'!N29:AL29,1,MATCH($A$1,'STATIC DATA'!N4:AL4,0))</f>
        <v>2D</v>
      </c>
      <c r="BL27" s="53"/>
      <c r="BO27" s="358"/>
      <c r="BP27" s="5"/>
      <c r="BQ27" s="5"/>
      <c r="BR27" s="357"/>
      <c r="BT27" s="50"/>
      <c r="BU27" s="52"/>
      <c r="BV27" s="52"/>
      <c r="BW27" s="52"/>
      <c r="BX27" s="299"/>
      <c r="CD27" s="57" t="s">
        <v>1085</v>
      </c>
      <c r="CE27" s="57" t="s">
        <v>1093</v>
      </c>
      <c r="CG27" s="317"/>
      <c r="CH27" s="299"/>
      <c r="CJ27" s="57" t="s">
        <v>1085</v>
      </c>
      <c r="CK27" s="57" t="s">
        <v>1128</v>
      </c>
      <c r="CM27" s="285"/>
      <c r="CN27" s="286"/>
      <c r="CO27" s="395">
        <v>45817</v>
      </c>
      <c r="CP27" s="422">
        <v>2.6979106758396001E-2</v>
      </c>
      <c r="CQ27" s="422">
        <v>2.63297507688297E-2</v>
      </c>
      <c r="CR27" s="423">
        <v>1.03813134915754E-2</v>
      </c>
      <c r="CS27" s="420" t="str">
        <v/>
      </c>
      <c r="CT27" s="405" t="e">
        <f t="shared" si="9"/>
        <v>#VALUE!</v>
      </c>
    </row>
    <row r="28" spans="6:98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RIB</v>
      </c>
      <c r="T28" s="53"/>
      <c r="W28" s="367"/>
      <c r="X28" s="5"/>
      <c r="Z28" s="368"/>
      <c r="AA28" s="203"/>
      <c r="AB28" s="50"/>
      <c r="AC28" s="225" t="s">
        <v>686</v>
      </c>
      <c r="AD28" s="226" t="s">
        <v>728</v>
      </c>
      <c r="AE28" s="53"/>
      <c r="AH28" s="5"/>
      <c r="AI28" s="5"/>
      <c r="AJ28" s="5"/>
      <c r="AK28" s="5"/>
      <c r="AM28" s="50"/>
      <c r="AN28" s="225" t="s">
        <v>686</v>
      </c>
      <c r="AO28" s="226" t="s">
        <v>728</v>
      </c>
      <c r="AP28" s="53"/>
      <c r="AX28" s="50"/>
      <c r="AY28" s="233" t="s">
        <v>750</v>
      </c>
      <c r="AZ28" s="230" t="b">
        <v>0</v>
      </c>
      <c r="BA28" s="53"/>
      <c r="BI28" s="50"/>
      <c r="BJ28" s="225" t="s">
        <v>686</v>
      </c>
      <c r="BK28" s="240" t="s">
        <v>816</v>
      </c>
      <c r="BL28" s="53"/>
      <c r="BO28" s="358"/>
      <c r="BP28" s="5"/>
      <c r="BQ28" s="5"/>
      <c r="BR28" s="357"/>
      <c r="BT28" s="50"/>
      <c r="BU28" s="52"/>
      <c r="BV28" s="52"/>
      <c r="BW28" s="52"/>
      <c r="BX28" s="299"/>
      <c r="CD28" s="57" t="s">
        <v>1086</v>
      </c>
      <c r="CE28" s="57" t="s">
        <v>1089</v>
      </c>
      <c r="CG28" s="329"/>
      <c r="CH28" s="299"/>
      <c r="CJ28" s="57" t="s">
        <v>1086</v>
      </c>
      <c r="CK28" s="57" t="s">
        <v>1129</v>
      </c>
      <c r="CM28" s="285"/>
      <c r="CN28" s="286"/>
      <c r="CO28" s="395">
        <v>45909</v>
      </c>
      <c r="CP28" s="422">
        <v>2.6275214372497899E-2</v>
      </c>
      <c r="CQ28" s="422">
        <v>2.7379071855801899E-2</v>
      </c>
      <c r="CR28" s="423">
        <v>1.1006603571774701E-2</v>
      </c>
      <c r="CS28" s="420" t="str">
        <v/>
      </c>
      <c r="CT28" s="405" t="e">
        <f t="shared" si="9"/>
        <v>#VALUE!</v>
      </c>
    </row>
    <row r="29" spans="6:98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ACT/360</v>
      </c>
      <c r="T29" s="53"/>
      <c r="W29" s="367"/>
      <c r="X29" s="5"/>
      <c r="Z29" s="368"/>
      <c r="AA29" s="203"/>
      <c r="AB29" s="50"/>
      <c r="AC29" s="52" t="s">
        <v>713</v>
      </c>
      <c r="AD29" s="52" t="s">
        <v>713</v>
      </c>
      <c r="AE29" s="53"/>
      <c r="AH29" s="5"/>
      <c r="AI29" s="5"/>
      <c r="AJ29" s="5"/>
      <c r="AK29" s="5"/>
      <c r="AM29" s="50"/>
      <c r="AN29" s="52" t="s">
        <v>713</v>
      </c>
      <c r="AO29" s="52" t="s">
        <v>713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5" t="s">
        <v>689</v>
      </c>
      <c r="BK29" s="240" t="b">
        <v>1</v>
      </c>
      <c r="BL29" s="53"/>
      <c r="BO29" s="358"/>
      <c r="BP29" s="5"/>
      <c r="BQ29" s="5"/>
      <c r="BR29" s="357"/>
      <c r="BT29" s="50"/>
      <c r="BU29" s="52"/>
      <c r="BV29" s="52"/>
      <c r="BW29" s="55"/>
      <c r="BX29" s="332"/>
      <c r="CD29" s="57" t="s">
        <v>1087</v>
      </c>
      <c r="CE29" s="57" t="s">
        <v>1201</v>
      </c>
      <c r="CG29" s="299"/>
      <c r="CH29" s="299"/>
      <c r="CJ29" s="57" t="s">
        <v>1087</v>
      </c>
      <c r="CK29" s="57" t="s">
        <v>1201</v>
      </c>
      <c r="CM29" s="285"/>
      <c r="CN29" s="286"/>
      <c r="CO29" s="395">
        <v>46000</v>
      </c>
      <c r="CP29" s="422">
        <v>2.5319912788268301E-2</v>
      </c>
      <c r="CQ29" s="422">
        <v>2.8245846163798102E-2</v>
      </c>
      <c r="CR29" s="423">
        <v>1.15795535380983E-2</v>
      </c>
      <c r="CS29" s="420" t="str">
        <v/>
      </c>
      <c r="CT29" s="405" t="e">
        <f t="shared" si="9"/>
        <v>#VALUE!</v>
      </c>
    </row>
    <row r="30" spans="6:98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54" t="s">
        <v>460</v>
      </c>
      <c r="AD30" s="52" t="s">
        <v>713</v>
      </c>
      <c r="AE30" s="53"/>
      <c r="AH30" s="5"/>
      <c r="AI30" s="5"/>
      <c r="AJ30" s="5"/>
      <c r="AK30" s="5"/>
      <c r="AM30" s="50"/>
      <c r="AN30" s="54" t="s">
        <v>460</v>
      </c>
      <c r="AO30" s="52" t="s">
        <v>713</v>
      </c>
      <c r="AP30" s="53"/>
      <c r="AX30" s="50"/>
      <c r="AY30" s="222" t="s">
        <v>752</v>
      </c>
      <c r="AZ30" s="216" t="e">
        <f>INDEX('STATIC DATA'!Y55:AY55,1,MATCH($A$1,'STATIC DATA'!Y4:AV4,0))</f>
        <v>#N/A</v>
      </c>
      <c r="BA30" s="53"/>
      <c r="BI30" s="50"/>
      <c r="BJ30" s="225" t="s">
        <v>688</v>
      </c>
      <c r="BK30" s="257">
        <v>31</v>
      </c>
      <c r="BL30" s="53"/>
      <c r="BO30" s="358"/>
      <c r="BP30" s="5"/>
      <c r="BQ30" s="5"/>
      <c r="BR30" s="357"/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1201</v>
      </c>
      <c r="CG30" s="299"/>
      <c r="CH30" s="299"/>
      <c r="CJ30" s="57" t="s">
        <v>1088</v>
      </c>
      <c r="CK30" s="443" t="s">
        <v>1201</v>
      </c>
      <c r="CM30" s="285"/>
      <c r="CN30" s="286"/>
      <c r="CO30" s="395">
        <v>46090</v>
      </c>
      <c r="CP30" s="422">
        <v>2.4558136929874901E-2</v>
      </c>
      <c r="CQ30" s="422">
        <v>2.89195452512633E-2</v>
      </c>
      <c r="CR30" s="423">
        <v>1.2094424631258699E-2</v>
      </c>
      <c r="CS30" s="420" t="str">
        <v/>
      </c>
      <c r="CT30" s="405" t="e">
        <f t="shared" si="9"/>
        <v>#VALUE!</v>
      </c>
    </row>
    <row r="31" spans="6:98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0" t="s">
        <v>677</v>
      </c>
      <c r="AD31" s="221" t="str">
        <f>INDEX('STATIC DATA'!C43:AB43,1,MATCH($A$1,'STATIC DATA'!$C$4:$AB$4,0))</f>
        <v>RIB</v>
      </c>
      <c r="AE31" s="53"/>
      <c r="AH31" s="5"/>
      <c r="AI31" s="5"/>
      <c r="AJ31" s="5"/>
      <c r="AK31" s="5"/>
      <c r="AM31" s="50"/>
      <c r="AN31" s="220" t="s">
        <v>677</v>
      </c>
      <c r="AO31" s="221" t="str">
        <f>INDEX('STATIC DATA'!C43:AB43,1,MATCH($A$1,'STATIC DATA'!$C$4:$AB$4,0))</f>
        <v>RIB</v>
      </c>
      <c r="AP31" s="53"/>
      <c r="AX31" s="50"/>
      <c r="AY31" s="225" t="s">
        <v>753</v>
      </c>
      <c r="AZ31" s="219" t="s">
        <v>458</v>
      </c>
      <c r="BA31" s="53"/>
      <c r="BI31" s="50"/>
      <c r="BJ31" s="234" t="s">
        <v>817</v>
      </c>
      <c r="BK31" s="258">
        <f>IF(INDEX('STATIC DATA'!C49:AB49,1,MATCH($A$1,'STATIC DATA'!C4:AB4,0))=4,10000,IF(INDEX('STATIC DATA'!C49:AB49,1,MATCH($A$1,'STATIC DATA'!C4:AB4,0))=3,1000,100))</f>
        <v>10000</v>
      </c>
      <c r="BL31" s="53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G31" s="299"/>
      <c r="CH31" s="299"/>
      <c r="CJ31" s="57" t="s">
        <v>781</v>
      </c>
      <c r="CK31" s="290" t="s">
        <v>810</v>
      </c>
      <c r="CM31" s="285"/>
      <c r="CN31" s="286"/>
      <c r="CO31" s="395">
        <v>46182</v>
      </c>
      <c r="CP31" s="422">
        <v>2.3973150372519899E-2</v>
      </c>
      <c r="CQ31" s="422">
        <v>2.9394318634719099E-2</v>
      </c>
      <c r="CR31" s="423">
        <v>1.25518237366709E-2</v>
      </c>
      <c r="CS31" s="420" t="str">
        <v/>
      </c>
      <c r="CT31" s="405" t="e">
        <f t="shared" si="9"/>
        <v>#VALUE!</v>
      </c>
    </row>
    <row r="32" spans="6:98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678</v>
      </c>
      <c r="AD32" s="223" t="str">
        <f>INDEX('STATIC DATA'!C55:AB55,1,MATCH($A$1,'STATIC DATA'!C4:AB4,0))</f>
        <v>ACT/360</v>
      </c>
      <c r="AE32" s="53"/>
      <c r="AH32" s="5"/>
      <c r="AI32" s="5"/>
      <c r="AJ32" s="5"/>
      <c r="AK32" s="5"/>
      <c r="AM32" s="50"/>
      <c r="AN32" s="222" t="s">
        <v>678</v>
      </c>
      <c r="AO32" s="223" t="str">
        <f>INDEX('STATIC DATA'!N55:AM55,1,MATCH($A$1,'STATIC DATA'!N4:AM4,0))</f>
        <v>ACT/360</v>
      </c>
      <c r="AP32" s="53"/>
      <c r="AX32" s="50"/>
      <c r="AY32" s="222" t="s">
        <v>754</v>
      </c>
      <c r="AZ32" s="216" t="s">
        <v>687</v>
      </c>
      <c r="BA32" s="53"/>
      <c r="BI32" s="50"/>
      <c r="BJ32" s="234" t="s">
        <v>818</v>
      </c>
      <c r="BK32" s="259" t="b">
        <v>1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206"/>
      <c r="CA32" s="299"/>
      <c r="CB32" s="299"/>
      <c r="CG32" s="299"/>
      <c r="CH32" s="299"/>
      <c r="CM32" s="285"/>
      <c r="CN32" s="286"/>
      <c r="CO32" s="395">
        <v>46274</v>
      </c>
      <c r="CP32" s="422">
        <v>2.35893025925587E-2</v>
      </c>
      <c r="CQ32" s="422">
        <v>2.9724507095536201E-2</v>
      </c>
      <c r="CR32" s="423">
        <v>1.29438420460557E-2</v>
      </c>
      <c r="CS32" s="420" t="str">
        <v/>
      </c>
      <c r="CT32" s="405" t="e">
        <f t="shared" si="9"/>
        <v>#VALUE!</v>
      </c>
    </row>
    <row r="33" spans="6:98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RIB</v>
      </c>
      <c r="T33" s="53"/>
      <c r="W33" s="5"/>
      <c r="X33" s="5"/>
      <c r="Z33" s="5"/>
      <c r="AB33" s="50"/>
      <c r="AC33" s="222" t="s">
        <v>679</v>
      </c>
      <c r="AD33" s="223" t="s">
        <v>729</v>
      </c>
      <c r="AE33" s="53"/>
      <c r="AM33" s="50"/>
      <c r="AN33" s="222" t="s">
        <v>679</v>
      </c>
      <c r="AO33" s="223" t="s">
        <v>729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25" t="s">
        <v>679</v>
      </c>
      <c r="BK33" s="240" t="s">
        <v>729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G33" s="299"/>
      <c r="CH33" s="299"/>
      <c r="CM33" s="285"/>
      <c r="CN33" s="286"/>
      <c r="CO33" s="395">
        <v>46365</v>
      </c>
      <c r="CP33" s="422">
        <v>2.36001713088781E-2</v>
      </c>
      <c r="CQ33" s="422">
        <v>3.0182487310732101E-2</v>
      </c>
      <c r="CR33" s="423">
        <v>1.3270004380903099E-2</v>
      </c>
      <c r="CS33" s="420" t="str">
        <v/>
      </c>
      <c r="CT33" s="405" t="e">
        <f t="shared" si="9"/>
        <v>#VALUE!</v>
      </c>
    </row>
    <row r="34" spans="6:98" x14ac:dyDescent="0.25">
      <c r="F34" s="50"/>
      <c r="G34" s="222" t="s">
        <v>697</v>
      </c>
      <c r="H34" s="224">
        <v>1E-8</v>
      </c>
      <c r="I34" s="53"/>
      <c r="L34" s="5"/>
      <c r="M34" s="5"/>
      <c r="N34" s="5"/>
      <c r="O34" s="5"/>
      <c r="Q34" s="50"/>
      <c r="R34" s="222" t="s">
        <v>678</v>
      </c>
      <c r="S34" s="223" t="str">
        <f>INDEX('STATIC DATA'!C55:AB55,1,MATCH($A$1,'STATIC DATA'!C4:AB4,0))</f>
        <v>ACT/360</v>
      </c>
      <c r="T34" s="53"/>
      <c r="W34" s="5"/>
      <c r="X34" s="5"/>
      <c r="Z34" s="5"/>
      <c r="AB34" s="50"/>
      <c r="AC34" s="222" t="s">
        <v>683</v>
      </c>
      <c r="AD34" s="223">
        <v>0</v>
      </c>
      <c r="AE34" s="53"/>
      <c r="AM34" s="50"/>
      <c r="AN34" s="222" t="s">
        <v>683</v>
      </c>
      <c r="AO34" s="223">
        <v>0</v>
      </c>
      <c r="AP34" s="53"/>
      <c r="AX34" s="50"/>
      <c r="AY34" s="245" t="s">
        <v>756</v>
      </c>
      <c r="AZ34" s="244" t="str">
        <f>"AGAINST:"&amp;$A$1&amp;"3M"</f>
        <v>AGAINST:SAR3M</v>
      </c>
      <c r="BA34" s="53"/>
      <c r="BI34" s="50"/>
      <c r="BJ34" s="234" t="s">
        <v>819</v>
      </c>
      <c r="BK34" s="259" t="b">
        <v>0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G34" s="299"/>
      <c r="CH34" s="299"/>
      <c r="CM34" s="287"/>
      <c r="CN34" s="288"/>
      <c r="CO34" s="396">
        <v>46455</v>
      </c>
      <c r="CP34" s="424">
        <v>2.4201750533553001E-2</v>
      </c>
      <c r="CQ34" s="424">
        <v>3.0852728496752999E-2</v>
      </c>
      <c r="CR34" s="425">
        <v>1.35368141179556E-2</v>
      </c>
      <c r="CS34" s="420" t="str">
        <v/>
      </c>
      <c r="CT34" s="405" t="e">
        <f t="shared" si="9"/>
        <v>#VALUE!</v>
      </c>
    </row>
    <row r="35" spans="6:98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25" t="s">
        <v>686</v>
      </c>
      <c r="AD35" s="226" t="s">
        <v>687</v>
      </c>
      <c r="AE35" s="53"/>
      <c r="AM35" s="50"/>
      <c r="AN35" s="225" t="s">
        <v>686</v>
      </c>
      <c r="AO35" s="226" t="s">
        <v>687</v>
      </c>
      <c r="AP35" s="53"/>
      <c r="AX35" s="50"/>
      <c r="AY35" s="233" t="s">
        <v>757</v>
      </c>
      <c r="AZ35" s="244" t="str">
        <f>"AGAINST:OIS"</f>
        <v>AGAINST:OIS</v>
      </c>
      <c r="BA35" s="53"/>
      <c r="BI35" s="50"/>
      <c r="BJ35" s="85"/>
      <c r="BK35" s="85"/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G35" s="299"/>
      <c r="CH35" s="299"/>
      <c r="CM35" s="299"/>
      <c r="CN35" s="299"/>
      <c r="CO35" s="397">
        <v>46547</v>
      </c>
      <c r="CP35" s="407">
        <v>2.5439139735934799E-2</v>
      </c>
      <c r="CQ35" s="407">
        <v>3.1751914557286098E-2</v>
      </c>
      <c r="CR35" s="407">
        <v>1.37432375766271E-2</v>
      </c>
      <c r="CS35" s="420" t="str">
        <v/>
      </c>
      <c r="CT35" s="405" t="e">
        <f t="shared" si="9"/>
        <v>#VALUE!</v>
      </c>
    </row>
    <row r="36" spans="6:98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">
        <v>621</v>
      </c>
      <c r="T36" s="53"/>
      <c r="AB36" s="50"/>
      <c r="AC36" s="85" t="s">
        <v>713</v>
      </c>
      <c r="AD36" s="85" t="s">
        <v>713</v>
      </c>
      <c r="AE36" s="53"/>
      <c r="AM36" s="50"/>
      <c r="AN36" s="85" t="s">
        <v>713</v>
      </c>
      <c r="AO36" s="85" t="s">
        <v>713</v>
      </c>
      <c r="AP36" s="53"/>
      <c r="AX36" s="50"/>
      <c r="AY36" s="245" t="s">
        <v>758</v>
      </c>
      <c r="AZ36" s="244" t="s">
        <v>49</v>
      </c>
      <c r="BA36" s="53"/>
      <c r="BI36" s="50"/>
      <c r="BJ36" s="54" t="s">
        <v>807</v>
      </c>
      <c r="BK36" s="85"/>
      <c r="BL36" s="53"/>
      <c r="BT36" s="50"/>
      <c r="BU36" s="55"/>
      <c r="BV36" s="55"/>
      <c r="BW36" s="55"/>
      <c r="BX36" s="332"/>
      <c r="BY36" s="303"/>
      <c r="BZ36" s="299"/>
      <c r="CA36" s="313"/>
      <c r="CB36" s="299"/>
      <c r="CG36" s="299"/>
      <c r="CH36" s="299"/>
      <c r="CM36" s="299"/>
      <c r="CN36" s="299"/>
      <c r="CO36" s="397">
        <v>46639</v>
      </c>
      <c r="CP36" s="407">
        <v>2.7322841785317901E-2</v>
      </c>
      <c r="CQ36" s="407">
        <v>3.2782722281717899E-2</v>
      </c>
      <c r="CR36" s="407">
        <v>1.38997147118764E-2</v>
      </c>
      <c r="CS36" s="420" t="str">
        <v/>
      </c>
      <c r="CT36" s="405" t="e">
        <f t="shared" si="9"/>
        <v>#VALUE!</v>
      </c>
    </row>
    <row r="37" spans="6:98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54" t="s">
        <v>467</v>
      </c>
      <c r="AD37" s="85" t="s">
        <v>713</v>
      </c>
      <c r="AE37" s="53"/>
      <c r="AG37" s="2" t="s">
        <v>662</v>
      </c>
      <c r="AM37" s="50"/>
      <c r="AN37" s="85" t="s">
        <v>713</v>
      </c>
      <c r="AO37" s="85" t="s">
        <v>713</v>
      </c>
      <c r="AP37" s="53"/>
      <c r="AR37" s="2" t="s">
        <v>662</v>
      </c>
      <c r="AX37" s="50"/>
      <c r="AY37" s="222" t="s">
        <v>759</v>
      </c>
      <c r="AZ37" s="216" t="e">
        <f>INDEX('STATIC DATA'!Y55:AY55,1,MATCH($A$1,'STATIC DATA'!Y4:AV4,0))</f>
        <v>#N/A</v>
      </c>
      <c r="BA37" s="53"/>
      <c r="BI37" s="50"/>
      <c r="BJ37" s="245" t="s">
        <v>749</v>
      </c>
      <c r="BK37" s="243" t="s">
        <v>803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G37" s="299"/>
      <c r="CH37" s="299"/>
      <c r="CJ37" s="2" t="s">
        <v>662</v>
      </c>
      <c r="CM37" s="299"/>
      <c r="CN37" s="299"/>
      <c r="CO37" s="397">
        <v>46730</v>
      </c>
      <c r="CP37" s="407">
        <v>2.9492954210286599E-2</v>
      </c>
      <c r="CQ37" s="407">
        <v>3.3787643111184297E-2</v>
      </c>
      <c r="CR37" s="407">
        <v>1.4072312573372299E-2</v>
      </c>
      <c r="CS37" s="420" t="str">
        <v/>
      </c>
      <c r="CT37" s="405" t="e">
        <f t="shared" si="9"/>
        <v>#VALUE!</v>
      </c>
    </row>
    <row r="38" spans="6:98" x14ac:dyDescent="0.25">
      <c r="F38" s="50"/>
      <c r="G38" s="222"/>
      <c r="H38" s="223"/>
      <c r="I38" s="53"/>
      <c r="K38" t="s">
        <v>434</v>
      </c>
      <c r="L38" t="str">
        <f>$A$1</f>
        <v>SAR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SAR</v>
      </c>
      <c r="AB38" s="50"/>
      <c r="AC38" s="245" t="s">
        <v>749</v>
      </c>
      <c r="AD38" s="243" t="s">
        <v>745</v>
      </c>
      <c r="AE38" s="53"/>
      <c r="AG38" t="s">
        <v>434</v>
      </c>
      <c r="AH38" t="str">
        <f>$A$1</f>
        <v>SAR</v>
      </c>
      <c r="AM38" s="50"/>
      <c r="AN38" s="54" t="s">
        <v>467</v>
      </c>
      <c r="AO38" s="85" t="s">
        <v>713</v>
      </c>
      <c r="AP38" s="53"/>
      <c r="AR38" t="s">
        <v>434</v>
      </c>
      <c r="AS38" t="str">
        <f>$A$1</f>
        <v>SAR</v>
      </c>
      <c r="AX38" s="50"/>
      <c r="AY38" s="222" t="s">
        <v>760</v>
      </c>
      <c r="AZ38" s="216" t="str">
        <f>INDEX('STATIC DATA'!C39:AB39,1,MATCH($A$1,'STATIC DATA'!$C$4:$AB$4,0))</f>
        <v>RIB</v>
      </c>
      <c r="BA38" s="53"/>
      <c r="BI38" s="50"/>
      <c r="BJ38" s="233" t="s">
        <v>750</v>
      </c>
      <c r="BK38" s="230" t="b">
        <v>0</v>
      </c>
      <c r="BL38" s="53"/>
      <c r="BN38" t="s">
        <v>434</v>
      </c>
      <c r="BO38" t="str">
        <f>$A$1</f>
        <v>SAR</v>
      </c>
      <c r="BT38" s="50"/>
      <c r="BU38" s="55"/>
      <c r="BV38" s="55"/>
      <c r="BW38" s="55"/>
      <c r="BX38" s="332"/>
      <c r="BY38" s="147" t="s">
        <v>434</v>
      </c>
      <c r="BZ38" s="238" t="s">
        <v>949</v>
      </c>
      <c r="CA38" s="305"/>
      <c r="CB38" s="299"/>
      <c r="CD38" t="s">
        <v>434</v>
      </c>
      <c r="CE38" t="str">
        <f>$A$1</f>
        <v>SAR</v>
      </c>
      <c r="CG38" s="299"/>
      <c r="CH38" s="299"/>
      <c r="CJ38" t="s">
        <v>434</v>
      </c>
      <c r="CK38" t="str">
        <f>$A$1</f>
        <v>SAR</v>
      </c>
      <c r="CM38" s="299"/>
      <c r="CN38" s="299"/>
      <c r="CO38" s="397">
        <v>46821</v>
      </c>
      <c r="CP38" s="407">
        <v>3.15692274576879E-2</v>
      </c>
      <c r="CQ38" s="407">
        <v>3.4709506620286899E-2</v>
      </c>
      <c r="CR38" s="407">
        <v>1.4281769760899799E-2</v>
      </c>
      <c r="CS38" s="420" t="str">
        <v/>
      </c>
      <c r="CT38" s="405" t="e">
        <f t="shared" si="9"/>
        <v>#VALUE!</v>
      </c>
    </row>
    <row r="39" spans="6:98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33" t="s">
        <v>750</v>
      </c>
      <c r="AD39" s="230" t="s">
        <v>720</v>
      </c>
      <c r="AE39" s="53"/>
      <c r="AG39" t="s">
        <v>435</v>
      </c>
      <c r="AH39" t="s">
        <v>468</v>
      </c>
      <c r="AM39" s="50"/>
      <c r="AN39" s="245" t="s">
        <v>749</v>
      </c>
      <c r="AO39" s="243" t="s">
        <v>795</v>
      </c>
      <c r="AP39" s="53"/>
      <c r="AR39" t="s">
        <v>435</v>
      </c>
      <c r="AS39" t="s">
        <v>468</v>
      </c>
      <c r="AX39" s="50"/>
      <c r="AY39" s="225" t="s">
        <v>761</v>
      </c>
      <c r="AZ39" s="219" t="s">
        <v>721</v>
      </c>
      <c r="BA39" s="53"/>
      <c r="BI39" s="50"/>
      <c r="BJ39" s="222" t="s">
        <v>751</v>
      </c>
      <c r="BK39" s="216" t="str">
        <f>INDEX('STATIC DATA'!C30:AB30,1,MATCH($A$1,'STATIC DATA'!$C$4:$AB$4,0))</f>
        <v>RIB:NYB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G39" s="299"/>
      <c r="CH39" s="299"/>
      <c r="CJ39" t="s">
        <v>435</v>
      </c>
      <c r="CK39" t="s">
        <v>1084</v>
      </c>
      <c r="CM39" s="299"/>
      <c r="CN39" s="299"/>
      <c r="CO39" s="397">
        <v>46913</v>
      </c>
      <c r="CP39" s="407">
        <v>3.3596337984647701E-2</v>
      </c>
      <c r="CQ39" s="407">
        <v>3.55425414494214E-2</v>
      </c>
      <c r="CR39" s="407">
        <v>1.45315825782834E-2</v>
      </c>
      <c r="CS39" s="420" t="str">
        <v/>
      </c>
      <c r="CT39" s="405" t="e">
        <f t="shared" si="9"/>
        <v>#VALUE!</v>
      </c>
    </row>
    <row r="40" spans="6:98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RIB</v>
      </c>
      <c r="T40" s="53"/>
      <c r="V40" t="s">
        <v>438</v>
      </c>
      <c r="W40" t="s">
        <v>458</v>
      </c>
      <c r="AB40" s="50"/>
      <c r="AC40" s="222" t="s">
        <v>751</v>
      </c>
      <c r="AD40" s="216" t="str">
        <f>INDEX('STATIC DATA'!C39:AB39,1,MATCH($A$1,'STATIC DATA'!$C$4:$AB$4,0))</f>
        <v>RIB</v>
      </c>
      <c r="AE40" s="53"/>
      <c r="AG40" t="s">
        <v>438</v>
      </c>
      <c r="AH40" t="s">
        <v>459</v>
      </c>
      <c r="AM40" s="50"/>
      <c r="AN40" s="233" t="s">
        <v>750</v>
      </c>
      <c r="AO40" s="230" t="b">
        <v>1</v>
      </c>
      <c r="AP40" s="53"/>
      <c r="AR40" t="s">
        <v>438</v>
      </c>
      <c r="AS40" t="s">
        <v>794</v>
      </c>
      <c r="AX40" s="50"/>
      <c r="AY40" s="225" t="s">
        <v>762</v>
      </c>
      <c r="AZ40" s="219" t="str">
        <f>INDEX('STATIC DATA'!C39:AB39,1,MATCH($A$1,'STATIC DATA'!$C$4:$AB$4,0))</f>
        <v>RIB</v>
      </c>
      <c r="BA40" s="53"/>
      <c r="BI40" s="50"/>
      <c r="BJ40" s="222" t="s">
        <v>752</v>
      </c>
      <c r="BK40" s="216" t="str">
        <f>INDEX('STATIC DATA'!C55:AB55,1,MATCH("USD",'STATIC DATA'!C4:AB4,0))</f>
        <v>ACT/360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15">
        <f>'STATIC DATA'!X5</f>
        <v>44083</v>
      </c>
      <c r="CA40" s="324"/>
      <c r="CB40" s="303"/>
      <c r="CD40" t="s">
        <v>438</v>
      </c>
      <c r="CE40" t="s">
        <v>439</v>
      </c>
      <c r="CG40" s="299"/>
      <c r="CH40" s="299"/>
      <c r="CJ40" t="s">
        <v>438</v>
      </c>
      <c r="CK40" t="s">
        <v>439</v>
      </c>
      <c r="CM40" s="299"/>
      <c r="CN40" s="299"/>
      <c r="CO40" s="397">
        <v>47007</v>
      </c>
      <c r="CP40" s="407">
        <v>3.5517183009842197E-2</v>
      </c>
      <c r="CQ40" s="407">
        <v>3.62918532461836E-2</v>
      </c>
      <c r="CR40" s="407">
        <v>1.48150053229089E-2</v>
      </c>
      <c r="CS40" s="420" t="str">
        <v/>
      </c>
      <c r="CT40" s="405" t="e">
        <f t="shared" si="9"/>
        <v>#VALUE!</v>
      </c>
    </row>
    <row r="41" spans="6:98" x14ac:dyDescent="0.25">
      <c r="F41" s="50"/>
      <c r="G41" s="293" t="s">
        <v>833</v>
      </c>
      <c r="H41" s="223"/>
      <c r="I41" s="53"/>
      <c r="K41" t="s">
        <v>440</v>
      </c>
      <c r="L41" s="200">
        <f>'STATIC DATA'!X5</f>
        <v>44083</v>
      </c>
      <c r="Q41" s="50"/>
      <c r="R41" s="222" t="s">
        <v>731</v>
      </c>
      <c r="S41" s="223" t="str">
        <f>INDEX('STATIC DATA'!C55:AB55,1,MATCH($A$1,'STATIC DATA'!C4:AB4,0))</f>
        <v>ACT/360</v>
      </c>
      <c r="T41" s="53"/>
      <c r="V41" t="s">
        <v>440</v>
      </c>
      <c r="W41" s="200">
        <f>'STATIC DATA'!X5</f>
        <v>44083</v>
      </c>
      <c r="AB41" s="50"/>
      <c r="AC41" s="222" t="s">
        <v>752</v>
      </c>
      <c r="AD41" s="216" t="str">
        <f>INDEX('STATIC DATA'!C55:AB55,1,MATCH($A$1,'STATIC DATA'!C4:AB4,0))</f>
        <v>ACT/360</v>
      </c>
      <c r="AE41" s="53"/>
      <c r="AG41" t="s">
        <v>440</v>
      </c>
      <c r="AH41" s="200">
        <f>'STATIC DATA'!X5</f>
        <v>44083</v>
      </c>
      <c r="AM41" s="50"/>
      <c r="AN41" s="222" t="s">
        <v>751</v>
      </c>
      <c r="AO41" s="221" t="str">
        <f>INDEX('STATIC DATA'!C43:AB43,1,MATCH($A$1,'STATIC DATA'!$C$4:$AB$4,0))</f>
        <v>RIB</v>
      </c>
      <c r="AP41" s="53"/>
      <c r="AR41" t="s">
        <v>440</v>
      </c>
      <c r="AS41" s="200">
        <f>'STATIC DATA'!X5</f>
        <v>44083</v>
      </c>
      <c r="AX41" s="50"/>
      <c r="AY41" s="225" t="s">
        <v>763</v>
      </c>
      <c r="AZ41" s="216" t="str">
        <f>INDEX('STATIC DATA'!C7:AB7,1,MATCH($A$1,'STATIC DATA'!C4:AB4,0))</f>
        <v>2D</v>
      </c>
      <c r="BA41" s="53"/>
      <c r="BI41" s="50"/>
      <c r="BJ41" s="225" t="s">
        <v>753</v>
      </c>
      <c r="BK41" s="219" t="s">
        <v>458</v>
      </c>
      <c r="BL41" s="249"/>
      <c r="BN41" t="s">
        <v>440</v>
      </c>
      <c r="BO41" s="200">
        <f>'STATIC DATA'!X5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DATA'!X5</f>
        <v>44083</v>
      </c>
      <c r="CG41" s="299"/>
      <c r="CH41" s="299"/>
      <c r="CJ41" t="s">
        <v>440</v>
      </c>
      <c r="CK41" s="275">
        <f>'STATIC DATA'!X5</f>
        <v>44083</v>
      </c>
      <c r="CM41" s="299"/>
      <c r="CN41" s="299"/>
      <c r="CO41" s="397">
        <v>47098</v>
      </c>
      <c r="CP41" s="407">
        <v>3.7234812869864901E-2</v>
      </c>
      <c r="CQ41" s="407">
        <v>3.6930769803966E-2</v>
      </c>
      <c r="CR41" s="407">
        <v>1.51304081036325E-2</v>
      </c>
      <c r="CS41" s="420" t="str">
        <v/>
      </c>
      <c r="CT41" s="405" t="e">
        <f t="shared" si="9"/>
        <v>#VALUE!</v>
      </c>
    </row>
    <row r="42" spans="6:98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">
        <v>621</v>
      </c>
      <c r="T42" s="53"/>
      <c r="AB42" s="50"/>
      <c r="AC42" s="225" t="s">
        <v>753</v>
      </c>
      <c r="AD42" s="219" t="s">
        <v>459</v>
      </c>
      <c r="AE42" s="53"/>
      <c r="AM42" s="50"/>
      <c r="AN42" s="222" t="s">
        <v>752</v>
      </c>
      <c r="AO42" s="216" t="str">
        <f>INDEX('STATIC DATA'!C55:AB55,1,MATCH($A$1,'STATIC DATA'!C4:AB4,0))</f>
        <v>ACT/360</v>
      </c>
      <c r="AP42" s="53"/>
      <c r="AX42" s="50"/>
      <c r="AY42" s="220" t="s">
        <v>764</v>
      </c>
      <c r="AZ42" s="238" t="s">
        <v>687</v>
      </c>
      <c r="BA42" s="53"/>
      <c r="BI42" s="50"/>
      <c r="BJ42" s="222" t="s">
        <v>754</v>
      </c>
      <c r="BK42" s="216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G42" s="299"/>
      <c r="CH42" s="299"/>
      <c r="CM42" s="299"/>
      <c r="CN42" s="299"/>
      <c r="CO42" s="397">
        <v>47186</v>
      </c>
      <c r="CP42" s="407">
        <v>3.8691935791972998E-2</v>
      </c>
      <c r="CQ42" s="407">
        <v>3.7466679970070998E-2</v>
      </c>
      <c r="CR42" s="407">
        <v>1.54761702488271E-2</v>
      </c>
      <c r="CS42" s="420" t="str">
        <v/>
      </c>
      <c r="CT42" s="405" t="e">
        <f t="shared" si="9"/>
        <v>#VALUE!</v>
      </c>
    </row>
    <row r="43" spans="6:98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754</v>
      </c>
      <c r="AD43" s="216" t="s">
        <v>687</v>
      </c>
      <c r="AE43" s="53"/>
      <c r="AG43" s="2" t="s">
        <v>441</v>
      </c>
      <c r="AM43" s="50"/>
      <c r="AN43" s="225" t="s">
        <v>753</v>
      </c>
      <c r="AO43" s="219" t="s">
        <v>794</v>
      </c>
      <c r="AP43" s="53"/>
      <c r="AR43" s="2" t="s">
        <v>441</v>
      </c>
      <c r="AX43" s="50"/>
      <c r="AY43" s="222" t="s">
        <v>765</v>
      </c>
      <c r="AZ43" s="216" t="str">
        <f>INDEX('STATIC DATA'!C39:AB39,1,MATCH($A$1,'STATIC DATA'!$C$4:$AB$4,0))</f>
        <v>RIB</v>
      </c>
      <c r="BA43" s="53"/>
      <c r="BI43" s="50"/>
      <c r="BJ43" s="222" t="s">
        <v>755</v>
      </c>
      <c r="BK43" s="216" t="s">
        <v>621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G43" s="299"/>
      <c r="CH43" s="299"/>
      <c r="CJ43" s="2" t="s">
        <v>441</v>
      </c>
      <c r="CM43" s="299"/>
      <c r="CN43" s="299"/>
      <c r="CO43" s="397">
        <v>47280</v>
      </c>
      <c r="CP43" s="407">
        <v>3.9957874515021301E-2</v>
      </c>
      <c r="CQ43" s="407">
        <v>3.7940014435981002E-2</v>
      </c>
      <c r="CR43" s="407">
        <v>1.58698197866107E-2</v>
      </c>
      <c r="CS43" s="420" t="str">
        <v/>
      </c>
      <c r="CT43" s="405" t="e">
        <f t="shared" si="9"/>
        <v>#VALUE!</v>
      </c>
    </row>
    <row r="44" spans="6:98" x14ac:dyDescent="0.25">
      <c r="F44" s="50"/>
      <c r="G44" s="222"/>
      <c r="H44" s="223"/>
      <c r="I44" s="53"/>
      <c r="K44" t="s">
        <v>442</v>
      </c>
      <c r="L44" s="206" t="str">
        <f>L38&amp;"_"&amp;L39&amp;"_CURVE_MARKETDATA"</f>
        <v>SAR_OIS_CURVE_MARKETDATA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SAR_SWAP_3M_CURVE_MARKETDATA</v>
      </c>
      <c r="AB44" s="50"/>
      <c r="AC44" s="222" t="s">
        <v>755</v>
      </c>
      <c r="AD44" s="216" t="s">
        <v>621</v>
      </c>
      <c r="AE44" s="53"/>
      <c r="AG44" t="s">
        <v>442</v>
      </c>
      <c r="AH44" t="str">
        <f>A1&amp;"_BASIS_3M6M_MARKETDATA"</f>
        <v>SAR_BASIS_3M6M_MARKETDATA</v>
      </c>
      <c r="AM44" s="50"/>
      <c r="AN44" s="222" t="s">
        <v>754</v>
      </c>
      <c r="AO44" s="216" t="s">
        <v>687</v>
      </c>
      <c r="AP44" s="53"/>
      <c r="AR44" t="s">
        <v>442</v>
      </c>
      <c r="AS44" t="str">
        <f>A1&amp;"_BASIS_1M3M_MARKETDATA"</f>
        <v>SAR_BASIS_1M3M_MARKETDATA</v>
      </c>
      <c r="AX44" s="50"/>
      <c r="AY44" s="222" t="s">
        <v>766</v>
      </c>
      <c r="AZ44" s="216" t="e">
        <f>INDEX('STATIC DATA'!Y55:AY55,1,MATCH($A$1,'STATIC DATA'!Y4:AV4,0))</f>
        <v>#N/A</v>
      </c>
      <c r="BA44" s="53"/>
      <c r="BI44" s="50"/>
      <c r="BJ44" s="234" t="s">
        <v>757</v>
      </c>
      <c r="BK44" s="260" t="s">
        <v>773</v>
      </c>
      <c r="BL44" s="53"/>
      <c r="BN44" t="s">
        <v>442</v>
      </c>
      <c r="BO44" t="str">
        <f>A1&amp;"_"&amp;BO39&amp;"_CURVE_MARKETDATA"</f>
        <v>SAR_XCCYBASIS_CURVE_MARKETDATA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935</v>
      </c>
      <c r="CA44" s="325"/>
      <c r="CB44" s="303"/>
      <c r="CD44" t="s">
        <v>442</v>
      </c>
      <c r="CE44" t="str">
        <f>$A$1&amp;"_FXFWD_MARKET_DATA"</f>
        <v>SAR_FXFWD_MARKET_DATA</v>
      </c>
      <c r="CG44" s="299"/>
      <c r="CH44" s="299"/>
      <c r="CJ44" t="s">
        <v>442</v>
      </c>
      <c r="CK44" t="str">
        <f>$A$1&amp;"_FXFWD_MARKET_DATA"</f>
        <v>SAR_FXFWD_MARKET_DATA</v>
      </c>
      <c r="CM44" s="299"/>
      <c r="CN44" s="299"/>
      <c r="CO44" s="397">
        <v>47371</v>
      </c>
      <c r="CP44" s="407">
        <v>4.09456606012817E-2</v>
      </c>
      <c r="CQ44" s="407">
        <v>3.8301971791649403E-2</v>
      </c>
      <c r="CR44" s="407">
        <v>1.6288646799717699E-2</v>
      </c>
      <c r="CS44" s="420" t="str">
        <v/>
      </c>
      <c r="CT44" s="405" t="e">
        <f t="shared" si="9"/>
        <v>#VALUE!</v>
      </c>
    </row>
    <row r="45" spans="6:98" x14ac:dyDescent="0.25">
      <c r="F45" s="50"/>
      <c r="G45" s="222"/>
      <c r="H45" s="223"/>
      <c r="I45" s="53"/>
      <c r="K45" t="s">
        <v>444</v>
      </c>
      <c r="L45" s="206" t="str">
        <f>_xll.meLWOCurveMarketDataCreate(L44,"MarketDataProperties",K38:L41,"OIS",K7:L26)</f>
        <v>SAR_OIS_CURVE_MARKETDATA@71:42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_xll.meLWOCurveMarketDataCreate(W44,V37,V38:W42,"LIBORFIXINGS",V7:X11,"FRAS",V12:X16,"SWAPS",V17:X24)</f>
        <v>SAR_SWAP_3M_CURVE_MARKETDATA@72:42</v>
      </c>
      <c r="AB45" s="50"/>
      <c r="AC45" s="245" t="s">
        <v>756</v>
      </c>
      <c r="AD45" s="247" t="s">
        <v>939</v>
      </c>
      <c r="AE45" s="249" t="s">
        <v>801</v>
      </c>
      <c r="AG45" t="s">
        <v>444</v>
      </c>
      <c r="AH45" t="str">
        <f>_xll.meLWOCurveMarketDataCreate(AH44,"MARKETDATAPROPERTIES",AG38:AH42,"LIBORFIXINGS",AG7:AI10,"BASISSWAPS",AG11:AI17)</f>
        <v>SAR_BASIS_3M6M_MARKETDATA@74:42</v>
      </c>
      <c r="AM45" s="50"/>
      <c r="AN45" s="222" t="s">
        <v>755</v>
      </c>
      <c r="AO45" s="216" t="str">
        <f>INDEX('STATIC DATA'!C7:AB7,1,MATCH($A$1,'STATIC DATA'!C4:AB4,0))</f>
        <v>2D</v>
      </c>
      <c r="AP45" s="53"/>
      <c r="AR45" t="s">
        <v>444</v>
      </c>
      <c r="AS45" t="str">
        <f>_xll.meLWOCurveMarketDataCreate(AS44,"MARKETDATAPROPERTIES",AR38:AS42,"LIBORFIXINGS",AR7:AT8,"BASISSWAPS",AR9:AT18)</f>
        <v>SAR_BASIS_1M3M_MARKETDATA@75:42</v>
      </c>
      <c r="AX45" s="50"/>
      <c r="AY45" s="222" t="s">
        <v>767</v>
      </c>
      <c r="AZ45" s="216" t="s">
        <v>794</v>
      </c>
      <c r="BA45" s="53"/>
      <c r="BI45" s="50"/>
      <c r="BJ45" s="234" t="s">
        <v>756</v>
      </c>
      <c r="BK45" s="260" t="s">
        <v>809</v>
      </c>
      <c r="BL45" s="53"/>
      <c r="BN45" t="s">
        <v>444</v>
      </c>
      <c r="BO45" t="str">
        <f>_xll.meLWOCurveMarketDataCreate(BO44,BN37,BN38:BO41,"FXSPOTS",BN7:BP7,"FXFWDS",BN8:BP20,"XCCYSWAPS",BN22:BP24)</f>
        <v>SAR_XCCYBASIS_CURVE_MARKETDATA@70:42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_xll.meLWOCurveMarketDataCreate(BZ44,"MARKETDATAPROPERTIES",BY38:BZ41,"FXSPOTS",BZ7:CA7,"FXFWDS",BY8:CA23)</f>
        <v>MKTDATA_USDSAR@282:42</v>
      </c>
      <c r="CA45" s="313"/>
      <c r="CB45" s="313"/>
      <c r="CD45" t="s">
        <v>444</v>
      </c>
      <c r="CE45" t="str">
        <f>_xll.meLWOCurveMarketDataCreate(CE44,CD37,CD38:CE41)</f>
        <v>SAR_FXFWD_MARKET_DATA@44:42</v>
      </c>
      <c r="CG45" s="299"/>
      <c r="CH45" s="299"/>
      <c r="CJ45" t="s">
        <v>444</v>
      </c>
      <c r="CK45" t="str">
        <f>_xll.meLWOCurveMarketDataCreate(CK44,CJ37,CJ38:CK41)</f>
        <v>SAR_FXFWD_MARKET_DATA@43:42</v>
      </c>
      <c r="CM45" s="299"/>
      <c r="CN45" s="299"/>
      <c r="CO45" s="397">
        <v>47462</v>
      </c>
      <c r="CP45" s="407">
        <v>4.16311483507249E-2</v>
      </c>
      <c r="CQ45" s="407">
        <v>3.8573853092773502E-2</v>
      </c>
      <c r="CR45" s="407">
        <v>1.67454374939617E-2</v>
      </c>
      <c r="CS45" s="420" t="str">
        <v/>
      </c>
      <c r="CT45" s="405" t="e">
        <f t="shared" si="9"/>
        <v>#VALUE!</v>
      </c>
    </row>
    <row r="46" spans="6:98" x14ac:dyDescent="0.25">
      <c r="F46" s="50"/>
      <c r="G46" s="225"/>
      <c r="H46" s="226"/>
      <c r="I46" s="53"/>
      <c r="L46" s="206"/>
      <c r="Q46" s="50"/>
      <c r="R46" s="52" t="s">
        <v>713</v>
      </c>
      <c r="S46" s="52" t="s">
        <v>713</v>
      </c>
      <c r="T46" s="53"/>
      <c r="AB46" s="50"/>
      <c r="AC46" s="233" t="s">
        <v>757</v>
      </c>
      <c r="AD46" s="229" t="s">
        <v>939</v>
      </c>
      <c r="AE46" s="53"/>
      <c r="AM46" s="50"/>
      <c r="AN46" s="234" t="s">
        <v>756</v>
      </c>
      <c r="AO46" s="247" t="str">
        <f>$A$1&amp;"3M"</f>
        <v>SAR3M</v>
      </c>
      <c r="AP46" s="249" t="s">
        <v>801</v>
      </c>
      <c r="AX46" s="50"/>
      <c r="AY46" s="222" t="s">
        <v>768</v>
      </c>
      <c r="AZ46" s="239" t="s">
        <v>458</v>
      </c>
      <c r="BA46" s="53"/>
      <c r="BI46" s="50"/>
      <c r="BJ46" s="245" t="s">
        <v>758</v>
      </c>
      <c r="BK46" s="260" t="s">
        <v>49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G46" s="299"/>
      <c r="CH46" s="299"/>
      <c r="CM46" s="299"/>
      <c r="CN46" s="299"/>
      <c r="CO46" s="397">
        <v>47553</v>
      </c>
      <c r="CP46" s="407">
        <v>4.1960313469886601E-2</v>
      </c>
      <c r="CQ46" s="407">
        <v>3.8763852777205503E-2</v>
      </c>
      <c r="CR46" s="407">
        <v>1.7240849975858299E-2</v>
      </c>
      <c r="CS46" s="420" t="str">
        <v/>
      </c>
      <c r="CT46" s="405" t="e">
        <f t="shared" si="9"/>
        <v>#VALUE!</v>
      </c>
    </row>
    <row r="47" spans="6:98" x14ac:dyDescent="0.25">
      <c r="F47" s="50"/>
      <c r="G47" s="52"/>
      <c r="H47" s="52"/>
      <c r="I47" s="53"/>
      <c r="K47" s="2" t="s">
        <v>447</v>
      </c>
      <c r="L47" s="206"/>
      <c r="Q47" s="50"/>
      <c r="R47" s="54" t="s">
        <v>428</v>
      </c>
      <c r="S47" s="52" t="s">
        <v>713</v>
      </c>
      <c r="T47" s="53"/>
      <c r="V47" s="2" t="s">
        <v>447</v>
      </c>
      <c r="AB47" s="50"/>
      <c r="AC47" s="245" t="s">
        <v>758</v>
      </c>
      <c r="AD47" s="244" t="s">
        <v>46</v>
      </c>
      <c r="AE47" s="53"/>
      <c r="AG47" s="2" t="s">
        <v>447</v>
      </c>
      <c r="AM47" s="50"/>
      <c r="AN47" s="234" t="s">
        <v>757</v>
      </c>
      <c r="AO47" s="229" t="s">
        <v>939</v>
      </c>
      <c r="AP47" s="53"/>
      <c r="AR47" s="2" t="s">
        <v>447</v>
      </c>
      <c r="AX47" s="50"/>
      <c r="AY47" s="222" t="s">
        <v>769</v>
      </c>
      <c r="AZ47" s="216" t="s">
        <v>687</v>
      </c>
      <c r="BA47" s="53"/>
      <c r="BI47" s="50"/>
      <c r="BJ47" s="222" t="s">
        <v>759</v>
      </c>
      <c r="BK47" s="216" t="str">
        <f>INDEX('STATIC DATA'!C55:AB55,1,MATCH("USD",'STATIC DATA'!C4:AB4,0))</f>
        <v>ACT/360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G47" s="299"/>
      <c r="CH47" s="299"/>
      <c r="CJ47" s="2" t="s">
        <v>447</v>
      </c>
      <c r="CM47" s="299"/>
      <c r="CN47" s="299"/>
      <c r="CO47" s="397">
        <v>47644</v>
      </c>
      <c r="CP47" s="407">
        <v>4.1917708105716801E-2</v>
      </c>
      <c r="CQ47" s="407">
        <v>3.89538524874821E-2</v>
      </c>
      <c r="CR47" s="407">
        <v>1.77686243737336E-2</v>
      </c>
      <c r="CS47" s="420" t="str">
        <v/>
      </c>
      <c r="CT47" s="405" t="e">
        <f t="shared" si="9"/>
        <v>#VALUE!</v>
      </c>
    </row>
    <row r="48" spans="6:98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SAR_OIS_CURVE</v>
      </c>
      <c r="Q48" s="50"/>
      <c r="R48" s="220" t="s">
        <v>704</v>
      </c>
      <c r="S48" s="221" t="str">
        <f>INDEX('STATIC DATA'!C43:AB43,1,MATCH($A$1,'STATIC DATA'!$C$4:$AB$4,0))</f>
        <v>RIB</v>
      </c>
      <c r="T48" s="53"/>
      <c r="V48" t="s">
        <v>442</v>
      </c>
      <c r="W48" t="str">
        <f>W38&amp;"_"&amp;W39&amp;"_"&amp;INDEX('STATIC DATA'!$C$56:$AB$56,1,MATCH($W38,'STATIC DATA'!$C$4:$AB$4,0))&amp;"_CURVE"</f>
        <v>SAR_SWAP_3M_CURVE</v>
      </c>
      <c r="AB48" s="50"/>
      <c r="AC48" s="222" t="s">
        <v>759</v>
      </c>
      <c r="AD48" s="216" t="str">
        <f>INDEX('STATIC DATA'!C55:AB55,1,MATCH($A$1,'STATIC DATA'!C4:AB4,0))</f>
        <v>ACT/360</v>
      </c>
      <c r="AE48" s="53"/>
      <c r="AG48" t="s">
        <v>442</v>
      </c>
      <c r="AH48" t="str">
        <f>A1&amp;"_BASIS_6M_CURVE"</f>
        <v>SAR_BASIS_6M_CURVE</v>
      </c>
      <c r="AM48" s="50"/>
      <c r="AN48" s="245" t="s">
        <v>758</v>
      </c>
      <c r="AO48" s="244" t="s">
        <v>300</v>
      </c>
      <c r="AP48" s="53"/>
      <c r="AR48" t="s">
        <v>442</v>
      </c>
      <c r="AS48" t="str">
        <f>A1&amp;"_BASIS_1M3M_CURVE"</f>
        <v>SAR_BASIS_1M3M_CURVE</v>
      </c>
      <c r="AX48" s="50"/>
      <c r="AY48" s="225" t="s">
        <v>770</v>
      </c>
      <c r="AZ48" s="216" t="str">
        <f>INDEX('STATIC DATA'!C7:AB7,1,MATCH($A$1,'STATIC DATA'!C4:AB4,0))</f>
        <v>2D</v>
      </c>
      <c r="BA48" s="53"/>
      <c r="BI48" s="50"/>
      <c r="BJ48" s="222" t="s">
        <v>760</v>
      </c>
      <c r="BK48" s="216" t="str">
        <f>INDEX('STATIC DATA'!C30:AB30,1,MATCH($A$1,'STATIC DATA'!$C$4:$AB$4,0))</f>
        <v>RIB:NYB</v>
      </c>
      <c r="BL48" s="53"/>
      <c r="BN48" t="s">
        <v>442</v>
      </c>
      <c r="BO48" t="str">
        <f>A1&amp;"_"&amp;BO39&amp;"_CURVE"</f>
        <v>SAR_XCCYBASIS_CURVE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1202</v>
      </c>
      <c r="CG48" s="299"/>
      <c r="CH48" s="299"/>
      <c r="CJ48" t="s">
        <v>442</v>
      </c>
      <c r="CK48" t="s">
        <v>1204</v>
      </c>
      <c r="CM48" s="299"/>
      <c r="CN48" s="299"/>
      <c r="CO48" s="397">
        <v>47735</v>
      </c>
      <c r="CP48" s="407">
        <v>4.1487339088946001E-2</v>
      </c>
      <c r="CQ48" s="407">
        <v>3.9245858663917298E-2</v>
      </c>
      <c r="CR48" s="407">
        <v>1.8311691266947001E-2</v>
      </c>
      <c r="CS48" s="420" t="str">
        <v/>
      </c>
      <c r="CT48" s="405" t="e">
        <f t="shared" si="9"/>
        <v>#VALUE!</v>
      </c>
    </row>
    <row r="49" spans="6:98" x14ac:dyDescent="0.25">
      <c r="F49" s="50"/>
      <c r="G49" s="220" t="s">
        <v>704</v>
      </c>
      <c r="H49" s="221" t="str">
        <f>INDEX('STATIC DATA'!C43:AB43,1,MATCH(A1,'STATIC DATA'!$C$4:$AB$4,0))</f>
        <v>RIB</v>
      </c>
      <c r="I49" s="53"/>
      <c r="K49" t="s">
        <v>450</v>
      </c>
      <c r="L49" s="206" t="str">
        <f>H8</f>
        <v>SAR_OIS@341:6</v>
      </c>
      <c r="Q49" s="50"/>
      <c r="R49" s="222" t="s">
        <v>731</v>
      </c>
      <c r="S49" s="223" t="str">
        <f>INDEX('STATIC DATA'!C53:AB53,1,MATCH(A1,'STATIC DATA'!C4:AB4,0))</f>
        <v>ACT/360</v>
      </c>
      <c r="T49" s="53"/>
      <c r="V49" t="s">
        <v>450</v>
      </c>
      <c r="W49" t="str">
        <f>S8</f>
        <v>SAR_SWAP_3M@340:6</v>
      </c>
      <c r="AB49" s="50"/>
      <c r="AC49" s="222" t="s">
        <v>760</v>
      </c>
      <c r="AD49" s="216" t="str">
        <f>INDEX('STATIC DATA'!C39:AB39,1,MATCH($A$1,'STATIC DATA'!$C$4:$AB$4,0))</f>
        <v>RIB</v>
      </c>
      <c r="AE49" s="53"/>
      <c r="AG49" t="s">
        <v>450</v>
      </c>
      <c r="AH49" t="str">
        <f>AD8</f>
        <v>SAR_BASIS_3M6M@337:6</v>
      </c>
      <c r="AM49" s="50"/>
      <c r="AN49" s="222" t="s">
        <v>759</v>
      </c>
      <c r="AO49" s="216" t="str">
        <f>INDEX('STATIC DATA'!C55:AB55,1,MATCH($A$1,'STATIC DATA'!C4:AB4,0))</f>
        <v>ACT/360</v>
      </c>
      <c r="AP49" s="53"/>
      <c r="AR49" t="s">
        <v>450</v>
      </c>
      <c r="AS49" t="str">
        <f>AO8</f>
        <v>SAR_BASIS_1M3M@343:6</v>
      </c>
      <c r="AX49" s="50"/>
      <c r="AY49" s="234" t="s">
        <v>771</v>
      </c>
      <c r="AZ49" s="248" t="str">
        <f>$A$1&amp;"3M"</f>
        <v>SAR3M</v>
      </c>
      <c r="BA49" s="249" t="s">
        <v>801</v>
      </c>
      <c r="BI49" s="50"/>
      <c r="BJ49" s="225" t="s">
        <v>761</v>
      </c>
      <c r="BK49" s="219" t="s">
        <v>458</v>
      </c>
      <c r="BL49" s="53"/>
      <c r="BN49" t="s">
        <v>450</v>
      </c>
      <c r="BO49" t="str">
        <f>BK8</f>
        <v>SAR_XCCY@336:6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SAR_EURCSA@338:6</v>
      </c>
      <c r="CG49" s="299"/>
      <c r="CH49" s="299"/>
      <c r="CJ49" t="s">
        <v>450</v>
      </c>
      <c r="CK49" t="str">
        <f>CK8</f>
        <v>SAR_JPYCSA@339:6</v>
      </c>
      <c r="CM49" s="299"/>
      <c r="CN49" s="299"/>
      <c r="CO49" s="397" t="str">
        <v/>
      </c>
      <c r="CP49" s="407" t="str">
        <v/>
      </c>
      <c r="CQ49" s="407" t="str">
        <v/>
      </c>
      <c r="CR49" s="407" t="str">
        <v/>
      </c>
      <c r="CS49" s="420" t="str">
        <v/>
      </c>
      <c r="CT49" s="405" t="e">
        <f t="shared" si="9"/>
        <v>#VALUE!</v>
      </c>
    </row>
    <row r="50" spans="6:98" x14ac:dyDescent="0.25">
      <c r="F50" s="50"/>
      <c r="G50" s="222" t="s">
        <v>705</v>
      </c>
      <c r="H50" s="223" t="str">
        <f>INDEX('STATIC DATA'!C55:AB55,1,MATCH(A1,'STATIC DATA'!C4:AB4,0))</f>
        <v>ACT/360</v>
      </c>
      <c r="I50" s="53"/>
      <c r="K50" t="s">
        <v>452</v>
      </c>
      <c r="L50" s="206" t="str">
        <f>$A$1&amp;"YC"</f>
        <v>SARYC</v>
      </c>
      <c r="Q50" s="50"/>
      <c r="R50" s="222" t="s">
        <v>734</v>
      </c>
      <c r="S50" s="223" t="str">
        <f>INDEX('STATIC DATA'!C55:AB55,1,MATCH(A1,'STATIC DATA'!C4:AB4,0))</f>
        <v>ACT/360</v>
      </c>
      <c r="T50" s="53"/>
      <c r="V50" t="s">
        <v>452</v>
      </c>
      <c r="W50" t="str">
        <f>$A$1&amp;"YC"</f>
        <v>SARYC</v>
      </c>
      <c r="AB50" s="50"/>
      <c r="AC50" s="225" t="s">
        <v>761</v>
      </c>
      <c r="AD50" s="219" t="s">
        <v>721</v>
      </c>
      <c r="AE50" s="53"/>
      <c r="AG50" t="s">
        <v>452</v>
      </c>
      <c r="AH50" t="str">
        <f>A1&amp;"YC"</f>
        <v>SARYC</v>
      </c>
      <c r="AM50" s="50"/>
      <c r="AN50" s="222" t="s">
        <v>760</v>
      </c>
      <c r="AO50" s="216" t="str">
        <f>INDEX('STATIC DATA'!C39:AB39,1,MATCH($A$1,'STATIC DATA'!$C$4:$AB$4,0))</f>
        <v>RIB</v>
      </c>
      <c r="AP50" s="53"/>
      <c r="AR50" t="s">
        <v>452</v>
      </c>
      <c r="AS50" t="str">
        <f>A1&amp;"YC"</f>
        <v>SARYC</v>
      </c>
      <c r="AX50" s="50"/>
      <c r="AY50" s="234" t="s">
        <v>772</v>
      </c>
      <c r="AZ50" s="242" t="s">
        <v>426</v>
      </c>
      <c r="BA50" s="53"/>
      <c r="BI50" s="50"/>
      <c r="BJ50" s="225" t="s">
        <v>762</v>
      </c>
      <c r="BK50" s="219" t="str">
        <f>INDEX('STATIC DATA'!C30:AB30,1,MATCH($A$1,'STATIC DATA'!$C$4:$AB$4,0))</f>
        <v>RIB:NYB</v>
      </c>
      <c r="BL50" s="53"/>
      <c r="BN50" t="s">
        <v>452</v>
      </c>
      <c r="BO50" t="str">
        <f>A1&amp;"YC"</f>
        <v>SARYC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1033</v>
      </c>
      <c r="CG50" s="299"/>
      <c r="CH50" s="299"/>
      <c r="CJ50" t="s">
        <v>452</v>
      </c>
      <c r="CK50" t="s">
        <v>1033</v>
      </c>
      <c r="CM50" s="299"/>
      <c r="CN50" s="299"/>
      <c r="CO50" s="397" t="str">
        <v/>
      </c>
      <c r="CP50" s="407" t="str">
        <v/>
      </c>
      <c r="CQ50" s="407" t="str">
        <v/>
      </c>
      <c r="CR50" s="407" t="str">
        <v/>
      </c>
      <c r="CS50" s="420" t="str">
        <v/>
      </c>
      <c r="CT50" s="405" t="e">
        <f t="shared" si="9"/>
        <v>#VALUE!</v>
      </c>
    </row>
    <row r="51" spans="6:98" x14ac:dyDescent="0.25">
      <c r="F51" s="50"/>
      <c r="G51" s="222" t="s">
        <v>706</v>
      </c>
      <c r="H51" s="223" t="str">
        <f>IF(INDEX('STATIC DATA'!C56:AB56,1,MATCH(A1,'STATIC DATA'!C4:AB4,0))="1Y","ANNUAL",(IF(INDEX('STATIC DATA'!C56:AB56,1,MATCH(A1,'STATIC DATA'!C4:AB4,0))="6M","SEMI-ANNUAL", "QUARTERLY")))</f>
        <v>QUARTERLY</v>
      </c>
      <c r="I51" s="53"/>
      <c r="K51" t="s">
        <v>453</v>
      </c>
      <c r="L51" s="206"/>
      <c r="Q51" s="50"/>
      <c r="R51" s="222" t="s">
        <v>706</v>
      </c>
      <c r="S51" s="223" t="str">
        <f>IF(INDEX('STATIC DATA'!C54:AB54,1,MATCH(A1,'STATIC DATA'!C4:AB4,0))="1Y","ANNUAL",(IF(INDEX('STATIC DATA'!C54:AB54,1,MATCH(A1,'STATIC DATA'!C4:AB4,0))="6M","SEMI-ANNUAL", "QUARTERLY")))</f>
        <v>ANNUAL</v>
      </c>
      <c r="T51" s="53"/>
      <c r="V51" t="s">
        <v>453</v>
      </c>
      <c r="AB51" s="50"/>
      <c r="AC51" s="225" t="s">
        <v>762</v>
      </c>
      <c r="AD51" s="219" t="str">
        <f>INDEX('STATIC DATA'!C39:AB39,1,MATCH($A$1,'STATIC DATA'!$C$4:$AB$4,0))</f>
        <v>RIB</v>
      </c>
      <c r="AE51" s="53"/>
      <c r="AG51" t="s">
        <v>453</v>
      </c>
      <c r="AM51" s="50"/>
      <c r="AN51" s="225" t="s">
        <v>761</v>
      </c>
      <c r="AO51" s="219" t="s">
        <v>721</v>
      </c>
      <c r="AP51" s="53"/>
      <c r="AR51" t="s">
        <v>453</v>
      </c>
      <c r="AX51" s="50"/>
      <c r="AY51" s="245" t="s">
        <v>774</v>
      </c>
      <c r="AZ51" s="244" t="s">
        <v>300</v>
      </c>
      <c r="BA51" s="53"/>
      <c r="BI51" s="50"/>
      <c r="BJ51" s="225" t="s">
        <v>763</v>
      </c>
      <c r="BK51" s="219" t="s">
        <v>621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G51" s="299"/>
      <c r="CH51" s="299"/>
      <c r="CJ51" t="s">
        <v>453</v>
      </c>
      <c r="CK51" t="s">
        <v>1131</v>
      </c>
      <c r="CM51" s="299"/>
      <c r="CN51" s="299"/>
      <c r="CO51" s="397" t="str">
        <v/>
      </c>
      <c r="CP51" s="407" t="str">
        <v/>
      </c>
      <c r="CQ51" s="407" t="str">
        <v/>
      </c>
      <c r="CR51" s="407" t="str">
        <v/>
      </c>
      <c r="CS51" s="420" t="str">
        <v/>
      </c>
      <c r="CT51" s="405" t="e">
        <f t="shared" si="9"/>
        <v>#VALUE!</v>
      </c>
    </row>
    <row r="52" spans="6:98" x14ac:dyDescent="0.25">
      <c r="F52" s="50"/>
      <c r="G52" s="225" t="s">
        <v>707</v>
      </c>
      <c r="H52" s="226" t="s">
        <v>687</v>
      </c>
      <c r="I52" s="53"/>
      <c r="Q52" s="50"/>
      <c r="R52" s="222" t="s">
        <v>735</v>
      </c>
      <c r="S52" s="223" t="str">
        <f>IF(INDEX('STATIC DATA'!C56:AB56,1,MATCH(A1,'STATIC DATA'!C4:AB4,0))="1Y","ANNUAL",(IF(INDEX('STATIC DATA'!C56:AB56,1,MATCH(A1,'STATIC DATA'!C4:AB4,0))="6M","SEMI-ANNUAL", "QUARTERLY")))</f>
        <v>QUARTERLY</v>
      </c>
      <c r="T52" s="53"/>
      <c r="AB52" s="50"/>
      <c r="AC52" s="225" t="s">
        <v>763</v>
      </c>
      <c r="AD52" s="219" t="s">
        <v>621</v>
      </c>
      <c r="AE52" s="53"/>
      <c r="AM52" s="50"/>
      <c r="AN52" s="225" t="s">
        <v>762</v>
      </c>
      <c r="AO52" s="219" t="str">
        <f>INDEX('STATIC DATA'!C39:AB39,1,MATCH($A$1,'STATIC DATA'!$C$4:$AB$4,0))</f>
        <v>RIB</v>
      </c>
      <c r="AP52" s="53"/>
      <c r="AX52" s="50"/>
      <c r="AY52" s="222" t="s">
        <v>775</v>
      </c>
      <c r="AZ52" s="216" t="e">
        <f>INDEX('STATIC DATA'!Y55:AY55,1,MATCH($A$1,'STATIC DATA'!Y4:AV4,0))</f>
        <v>#N/A</v>
      </c>
      <c r="BA52" s="53"/>
      <c r="BI52" s="50"/>
      <c r="BJ52" s="220" t="s">
        <v>764</v>
      </c>
      <c r="BK52" s="238" t="s">
        <v>687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G52" s="299"/>
      <c r="CH52" s="299"/>
      <c r="CM52" s="299"/>
      <c r="CN52" s="299"/>
      <c r="CO52" s="397" t="str">
        <v/>
      </c>
      <c r="CP52" s="407" t="str">
        <v/>
      </c>
      <c r="CQ52" s="407" t="str">
        <v/>
      </c>
      <c r="CR52" s="407" t="str">
        <v/>
      </c>
      <c r="CS52" s="420" t="str">
        <v/>
      </c>
      <c r="CT52" s="405" t="e">
        <f t="shared" si="9"/>
        <v>#VALUE!</v>
      </c>
    </row>
    <row r="53" spans="6:98" x14ac:dyDescent="0.25">
      <c r="F53" s="50"/>
      <c r="G53" s="52"/>
      <c r="H53" s="52"/>
      <c r="I53" s="53"/>
      <c r="K53" s="2" t="s">
        <v>454</v>
      </c>
      <c r="Q53" s="50"/>
      <c r="R53" s="222" t="s">
        <v>736</v>
      </c>
      <c r="S53" s="223" t="s">
        <v>718</v>
      </c>
      <c r="T53" s="53"/>
      <c r="V53" s="2" t="s">
        <v>454</v>
      </c>
      <c r="AB53" s="50"/>
      <c r="AC53" s="220" t="s">
        <v>764</v>
      </c>
      <c r="AD53" s="238" t="s">
        <v>687</v>
      </c>
      <c r="AE53" s="53"/>
      <c r="AG53" s="2" t="s">
        <v>454</v>
      </c>
      <c r="AM53" s="50"/>
      <c r="AN53" s="225" t="s">
        <v>763</v>
      </c>
      <c r="AO53" s="219" t="str">
        <f>INDEX('STATIC DATA'!C7:AB7,1,MATCH($A$1,'STATIC DATA'!C4:AB4,0))</f>
        <v>2D</v>
      </c>
      <c r="AP53" s="53"/>
      <c r="AR53" s="2" t="s">
        <v>454</v>
      </c>
      <c r="AX53" s="50"/>
      <c r="AY53" s="222" t="s">
        <v>776</v>
      </c>
      <c r="AZ53" s="216" t="str">
        <f>INDEX('STATIC DATA'!C39:AB39,1,MATCH($A$1,'STATIC DATA'!$C$4:$AB$4,0))</f>
        <v>RIB</v>
      </c>
      <c r="BA53" s="53"/>
      <c r="BI53" s="50"/>
      <c r="BJ53" s="222" t="s">
        <v>765</v>
      </c>
      <c r="BK53" s="216" t="str">
        <f>INDEX('STATIC DATA'!C30:AB30,1,MATCH($A$1,'STATIC DATA'!$C$4:$AB$4,0))</f>
        <v>RIB:NYB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G53" s="332"/>
      <c r="CH53" s="332"/>
      <c r="CJ53" s="2" t="s">
        <v>454</v>
      </c>
      <c r="CM53" s="332"/>
      <c r="CN53" s="332"/>
      <c r="CO53" s="398" t="str">
        <v/>
      </c>
      <c r="CP53" s="408" t="str">
        <v/>
      </c>
      <c r="CQ53" s="408" t="str">
        <v/>
      </c>
      <c r="CR53" s="408" t="str">
        <v/>
      </c>
      <c r="CS53" s="420" t="str">
        <v/>
      </c>
      <c r="CT53" s="405" t="e">
        <f t="shared" si="9"/>
        <v>#VALUE!</v>
      </c>
    </row>
    <row r="54" spans="6:98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SAR_OIS_CURVE@73:10</v>
      </c>
      <c r="Q54" s="50"/>
      <c r="R54" s="222" t="s">
        <v>737</v>
      </c>
      <c r="S54" s="223">
        <v>31</v>
      </c>
      <c r="T54" s="53"/>
      <c r="V54" t="s">
        <v>442</v>
      </c>
      <c r="W54" s="647" t="str">
        <f t="array" ref="W54:W57">IF(ExistsSAROIS,_xll.meLWOCurveCalibrate(W48,W49,W45,W50),"LOAD DEPENDENCY")</f>
        <v>SAR_SWAP_3M_CURVE@446:10</v>
      </c>
      <c r="AB54" s="50"/>
      <c r="AC54" s="222" t="s">
        <v>765</v>
      </c>
      <c r="AD54" s="216" t="str">
        <f>INDEX('STATIC DATA'!C39:AB39,1,MATCH($A$1,'STATIC DATA'!$C$4:$AB$4,0))</f>
        <v>RIB</v>
      </c>
      <c r="AE54" s="53"/>
      <c r="AG54" t="s">
        <v>442</v>
      </c>
      <c r="AH54" s="647" t="str">
        <f t="array" ref="AH54:AH57">IF(ExistsSAR3M,_xll.meLWOCurveCalibrate($AH$48,$AH$49,$AH$45,$AH$50),"LOAD DEPENDENCY")</f>
        <v>SAR_BASIS_6M_CURVE@448:10</v>
      </c>
      <c r="AM54" s="50"/>
      <c r="AN54" s="220" t="s">
        <v>764</v>
      </c>
      <c r="AO54" s="238" t="s">
        <v>687</v>
      </c>
      <c r="AP54" s="53"/>
      <c r="AR54" t="s">
        <v>442</v>
      </c>
      <c r="AS54" s="647" t="str">
        <f t="array" ref="AS54:AS57">IF(ExistsSAR3M,_xll.meLWOCurveCalibrate($AS$48,$AS$49,$AS$45,$AS$50),"LOAD DEPENDENCY")</f>
        <v>SAR_BASIS_1M3M_CURVE@447:10</v>
      </c>
      <c r="AX54" s="50"/>
      <c r="AY54" s="222" t="s">
        <v>777</v>
      </c>
      <c r="AZ54" s="216" t="s">
        <v>721</v>
      </c>
      <c r="BA54" s="53"/>
      <c r="BI54" s="50"/>
      <c r="BJ54" s="222" t="s">
        <v>766</v>
      </c>
      <c r="BK54" s="216" t="str">
        <f>INDEX('STATIC DATA'!C55:AB55,1,MATCH($A$1,'STATIC DATA'!C4:AB4,0))</f>
        <v>ACT/360</v>
      </c>
      <c r="BL54" s="53"/>
      <c r="BN54" t="s">
        <v>442</v>
      </c>
      <c r="BO54" s="647" t="str">
        <f t="array" ref="BO54:BO57">IF(AND(ExistsSAR3M,ExistsUSD3M),_xll.meLWOCurveCalibrate($BO$48,$BO$49,$BO$45,$BO$50,$BO$51),"LOAD DEPENDENCY")</f>
        <v>SAR_XCCYBASIS_CURVE@491:2</v>
      </c>
      <c r="BT54" s="50"/>
      <c r="BU54" s="55"/>
      <c r="BV54" s="55"/>
      <c r="BW54" s="55"/>
      <c r="BX54" s="332"/>
      <c r="BY54" s="270" t="s">
        <v>831</v>
      </c>
      <c r="BZ54" s="271" t="s">
        <v>936</v>
      </c>
      <c r="CA54" s="283"/>
      <c r="CB54" s="299"/>
      <c r="CD54" t="s">
        <v>442</v>
      </c>
      <c r="CE54" s="647" t="str">
        <f t="array" ref="CE54:CE57">IF(AND(ExistsSARXCCY,ExistsEURXCCY),_xll.meLWOCurveCalibrate(CE48,CE49,CE45,CE50,CE51),"LOAD DEPENDENCY")</f>
        <v>SAR_EURCSA_CURVE@507:2</v>
      </c>
      <c r="CG54" s="332"/>
      <c r="CH54" s="332"/>
      <c r="CJ54" t="s">
        <v>442</v>
      </c>
      <c r="CK54" s="647" t="str">
        <f t="array" ref="CK54:CK57">IF(AND(ExistsSARXCCY,ExistsJPYXCCY),_xll.meLWOCurveCalibrate(CK48,CK49,CK45,CK50,CK51),"LOAD DEPENDENCY")</f>
        <v>SAR_JPYCSA_CURVE@513:2</v>
      </c>
      <c r="CM54" s="332"/>
      <c r="CN54" s="332"/>
      <c r="CO54" s="398" t="str">
        <v/>
      </c>
      <c r="CP54" s="408" t="str">
        <v/>
      </c>
      <c r="CQ54" s="408" t="str">
        <v/>
      </c>
      <c r="CR54" s="408" t="str">
        <v/>
      </c>
      <c r="CS54" s="420" t="str">
        <v/>
      </c>
      <c r="CT54" s="405" t="e">
        <f t="shared" si="9"/>
        <v>#VALUE!</v>
      </c>
    </row>
    <row r="55" spans="6:98" x14ac:dyDescent="0.25">
      <c r="F55" s="50"/>
      <c r="G55" s="220" t="s">
        <v>677</v>
      </c>
      <c r="H55" s="221" t="str">
        <f>INDEX('STATIC DATA'!C43:AB43,1,MATCH(A1,'STATIC DATA'!$C$4:$AB$4,0))</f>
        <v>RIB</v>
      </c>
      <c r="I55" s="53"/>
      <c r="K55" t="s">
        <v>455</v>
      </c>
      <c r="L55" t="str">
        <v>SARYC</v>
      </c>
      <c r="Q55" s="50"/>
      <c r="R55" s="222" t="s">
        <v>738</v>
      </c>
      <c r="S55" s="223" t="s">
        <v>718</v>
      </c>
      <c r="T55" s="53"/>
      <c r="V55" t="s">
        <v>455</v>
      </c>
      <c r="W55" s="206" t="str">
        <v>SARYC</v>
      </c>
      <c r="AB55" s="50"/>
      <c r="AC55" s="222" t="s">
        <v>766</v>
      </c>
      <c r="AD55" s="216" t="str">
        <f>INDEX('STATIC DATA'!C55:AB55,1,MATCH($A$1,'STATIC DATA'!C4:AB4,0))</f>
        <v>ACT/360</v>
      </c>
      <c r="AE55" s="53"/>
      <c r="AG55" t="s">
        <v>455</v>
      </c>
      <c r="AH55" t="str">
        <v>SARYC</v>
      </c>
      <c r="AM55" s="50"/>
      <c r="AN55" s="222" t="s">
        <v>765</v>
      </c>
      <c r="AO55" s="216" t="str">
        <f>INDEX('STATIC DATA'!C39:AB39,1,MATCH($A$1,'STATIC DATA'!$C$4:$AB$4,0))</f>
        <v>RIB</v>
      </c>
      <c r="AP55" s="53"/>
      <c r="AR55" t="s">
        <v>455</v>
      </c>
      <c r="AS55" t="str">
        <v>SARYC</v>
      </c>
      <c r="AX55" s="50"/>
      <c r="AY55" s="222" t="s">
        <v>778</v>
      </c>
      <c r="AZ55" s="216" t="str">
        <f>INDEX('STATIC DATA'!C39:AB39,1,MATCH($A$1,'STATIC DATA'!$C$4:$AB$4,0))</f>
        <v>RIB</v>
      </c>
      <c r="BA55" s="53"/>
      <c r="BI55" s="50"/>
      <c r="BJ55" s="222" t="s">
        <v>767</v>
      </c>
      <c r="BK55" s="216" t="s">
        <v>458</v>
      </c>
      <c r="BL55" s="53"/>
      <c r="BN55" t="s">
        <v>455</v>
      </c>
      <c r="BO55" t="str">
        <v>SARYC</v>
      </c>
      <c r="BT55" s="50"/>
      <c r="BU55" s="55"/>
      <c r="BV55" s="55"/>
      <c r="BW55" s="55"/>
      <c r="BX55" s="332"/>
      <c r="BZ55" s="263" t="str">
        <f>_xll.meLWOFXCurveCreate(BZ54,BV8,BZ45)</f>
        <v>FX_CURVE_USDSAR@288:10</v>
      </c>
      <c r="CA55" s="283"/>
      <c r="CB55" s="299"/>
      <c r="CD55" t="s">
        <v>455</v>
      </c>
      <c r="CE55" t="str">
        <v>SARYC</v>
      </c>
      <c r="CG55" s="332"/>
      <c r="CH55" s="332"/>
      <c r="CJ55" t="s">
        <v>455</v>
      </c>
      <c r="CK55" t="str">
        <v>SARYC</v>
      </c>
      <c r="CM55" s="332"/>
      <c r="CN55" s="332"/>
      <c r="CO55" s="398" t="str">
        <v/>
      </c>
      <c r="CP55" s="408" t="str">
        <v/>
      </c>
      <c r="CQ55" s="408" t="str">
        <v/>
      </c>
      <c r="CR55" s="408" t="str">
        <v/>
      </c>
      <c r="CS55" s="420" t="str">
        <v/>
      </c>
      <c r="CT55" s="405" t="e">
        <f t="shared" si="9"/>
        <v>#VALUE!</v>
      </c>
    </row>
    <row r="56" spans="6:98" x14ac:dyDescent="0.25">
      <c r="F56" s="50"/>
      <c r="G56" s="222" t="s">
        <v>709</v>
      </c>
      <c r="H56" s="223" t="str">
        <f>INDEX('STATIC DATA'!C53:AB53,1,MATCH(A1,'STATIC DATA'!C4:AB4,0))</f>
        <v>ACT/360</v>
      </c>
      <c r="I56" s="53"/>
      <c r="K56" t="s">
        <v>456</v>
      </c>
      <c r="L56" t="str">
        <v>OIS:SAROIS</v>
      </c>
      <c r="Q56" s="50"/>
      <c r="R56" s="222" t="s">
        <v>739</v>
      </c>
      <c r="S56" s="223" t="s">
        <v>621</v>
      </c>
      <c r="T56" s="53"/>
      <c r="V56" t="s">
        <v>456</v>
      </c>
      <c r="W56" s="206" t="str">
        <v>STD:SAR3M</v>
      </c>
      <c r="AB56" s="50"/>
      <c r="AC56" s="222" t="s">
        <v>767</v>
      </c>
      <c r="AD56" s="216" t="s">
        <v>458</v>
      </c>
      <c r="AE56" s="53"/>
      <c r="AG56" t="s">
        <v>456</v>
      </c>
      <c r="AH56" t="str">
        <v>3M6MBasis:SAR6M</v>
      </c>
      <c r="AM56" s="50"/>
      <c r="AN56" s="222" t="s">
        <v>766</v>
      </c>
      <c r="AO56" s="216" t="str">
        <f>INDEX('STATIC DATA'!C55:AB55,1,MATCH($A$1,'STATIC DATA'!C4:AB4,0))</f>
        <v>ACT/360</v>
      </c>
      <c r="AP56" s="53"/>
      <c r="AR56" t="s">
        <v>456</v>
      </c>
      <c r="AS56" t="str">
        <v>1M3MBasis:SAR1M</v>
      </c>
      <c r="AX56" s="50"/>
      <c r="AY56" s="222" t="s">
        <v>779</v>
      </c>
      <c r="AZ56" s="216" t="str">
        <f>INDEX('STATIC DATA'!C7:AB7,1,MATCH($A$1,'STATIC DATA'!C4:AB4,0))</f>
        <v>2D</v>
      </c>
      <c r="BA56" s="53"/>
      <c r="BI56" s="50"/>
      <c r="BJ56" s="222" t="s">
        <v>769</v>
      </c>
      <c r="BK56" s="239" t="s">
        <v>687</v>
      </c>
      <c r="BL56" s="53"/>
      <c r="BN56" t="s">
        <v>456</v>
      </c>
      <c r="BO56" t="str">
        <v>XccyBasis:SARDF_USDCSA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FwdFXConstEUR:SARDF_EURCSA</v>
      </c>
      <c r="CG56" s="332"/>
      <c r="CH56" s="332"/>
      <c r="CJ56" t="s">
        <v>456</v>
      </c>
      <c r="CK56" t="str">
        <v>FwdFXConstJPY:SARDF_JPYCSA</v>
      </c>
      <c r="CM56" s="332"/>
      <c r="CN56" s="332"/>
      <c r="CO56" s="398" t="str">
        <v/>
      </c>
      <c r="CP56" s="408" t="str">
        <v/>
      </c>
      <c r="CQ56" s="408" t="str">
        <v/>
      </c>
      <c r="CR56" s="408" t="str">
        <v/>
      </c>
      <c r="CS56" s="420" t="str">
        <v/>
      </c>
      <c r="CT56" s="405" t="e">
        <f t="shared" ref="CT56:CT103" si="13">100*(CQ56-CS56)</f>
        <v>#VALUE!</v>
      </c>
    </row>
    <row r="57" spans="6:98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ANNUAL</v>
      </c>
      <c r="I57" s="53"/>
      <c r="K57" t="s">
        <v>664</v>
      </c>
      <c r="L57" t="str">
        <v>0.034000 sec</v>
      </c>
      <c r="Q57" s="50"/>
      <c r="R57" s="222" t="s">
        <v>707</v>
      </c>
      <c r="S57" s="223" t="s">
        <v>687</v>
      </c>
      <c r="T57" s="53"/>
      <c r="V57" t="s">
        <v>664</v>
      </c>
      <c r="W57" s="206" t="str">
        <v>0.006000 sec</v>
      </c>
      <c r="AB57" s="50"/>
      <c r="AC57" s="222" t="s">
        <v>769</v>
      </c>
      <c r="AD57" s="216" t="s">
        <v>687</v>
      </c>
      <c r="AE57" s="53"/>
      <c r="AG57" t="s">
        <v>664</v>
      </c>
      <c r="AH57" t="str">
        <v>0.005000 sec</v>
      </c>
      <c r="AM57" s="50"/>
      <c r="AN57" s="222" t="s">
        <v>767</v>
      </c>
      <c r="AO57" s="216" t="s">
        <v>458</v>
      </c>
      <c r="AP57" s="53"/>
      <c r="AR57" t="s">
        <v>664</v>
      </c>
      <c r="AS57" t="str">
        <v>0.008000 sec</v>
      </c>
      <c r="AX57" s="50"/>
      <c r="AY57" s="222" t="s">
        <v>780</v>
      </c>
      <c r="AZ57" s="216" t="s">
        <v>687</v>
      </c>
      <c r="BA57" s="53"/>
      <c r="BI57" s="50"/>
      <c r="BJ57" s="222" t="s">
        <v>770</v>
      </c>
      <c r="BK57" s="216" t="s">
        <v>621</v>
      </c>
      <c r="BL57" s="53"/>
      <c r="BN57" t="s">
        <v>664</v>
      </c>
      <c r="BO57" t="str">
        <v>0.006000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G57" s="332"/>
      <c r="CH57" s="332"/>
      <c r="CJ57" t="s">
        <v>664</v>
      </c>
      <c r="CK57" t="str">
        <v>0.001000 sec</v>
      </c>
      <c r="CM57" s="332"/>
      <c r="CN57" s="332"/>
      <c r="CO57" s="398" t="str">
        <v/>
      </c>
      <c r="CP57" s="408" t="str">
        <v/>
      </c>
      <c r="CQ57" s="408" t="str">
        <v/>
      </c>
      <c r="CR57" s="408" t="str">
        <v/>
      </c>
      <c r="CS57" s="420" t="str">
        <v/>
      </c>
      <c r="CT57" s="405" t="e">
        <f t="shared" si="13"/>
        <v>#VALUE!</v>
      </c>
    </row>
    <row r="58" spans="6:98" x14ac:dyDescent="0.25">
      <c r="F58" s="50"/>
      <c r="G58" s="225" t="s">
        <v>686</v>
      </c>
      <c r="H58" s="226" t="s">
        <v>687</v>
      </c>
      <c r="I58" s="53"/>
      <c r="Q58" s="50"/>
      <c r="R58" s="222" t="s">
        <v>740</v>
      </c>
      <c r="S58" s="223" t="s">
        <v>718</v>
      </c>
      <c r="T58" s="53"/>
      <c r="AB58" s="50"/>
      <c r="AC58" s="225" t="s">
        <v>770</v>
      </c>
      <c r="AD58" s="219" t="s">
        <v>621</v>
      </c>
      <c r="AE58" s="53"/>
      <c r="AM58" s="50"/>
      <c r="AN58" s="222" t="s">
        <v>768</v>
      </c>
      <c r="AO58" s="239" t="s">
        <v>458</v>
      </c>
      <c r="AP58" s="53"/>
      <c r="AX58" s="50"/>
      <c r="AY58" s="233" t="s">
        <v>781</v>
      </c>
      <c r="AZ58" s="241" t="s">
        <v>791</v>
      </c>
      <c r="BA58" s="53"/>
      <c r="BI58" s="50"/>
      <c r="BJ58" s="234" t="s">
        <v>772</v>
      </c>
      <c r="BK58" s="242" t="s">
        <v>939</v>
      </c>
      <c r="BL58" s="249" t="s">
        <v>801</v>
      </c>
      <c r="BT58" s="50"/>
      <c r="BU58" s="55"/>
      <c r="BV58" s="55"/>
      <c r="BW58" s="55"/>
      <c r="BX58" s="332"/>
      <c r="BY58" s="279"/>
      <c r="BZ58" s="282"/>
      <c r="CA58" s="283"/>
      <c r="CB58" s="299"/>
      <c r="CG58" s="332"/>
      <c r="CH58" s="332"/>
      <c r="CM58" s="332"/>
      <c r="CN58" s="332"/>
      <c r="CO58" s="398" t="str">
        <v/>
      </c>
      <c r="CP58" s="408" t="str">
        <v/>
      </c>
      <c r="CQ58" s="408" t="str">
        <v/>
      </c>
      <c r="CR58" s="408" t="str">
        <v/>
      </c>
      <c r="CS58" s="420" t="str">
        <v/>
      </c>
      <c r="CT58" s="405" t="e">
        <f t="shared" si="13"/>
        <v>#VALUE!</v>
      </c>
    </row>
    <row r="59" spans="6:98" x14ac:dyDescent="0.25">
      <c r="F59" s="50"/>
      <c r="G59" s="52"/>
      <c r="H59" s="52"/>
      <c r="I59" s="53"/>
      <c r="Q59" s="50"/>
      <c r="R59" s="222" t="s">
        <v>697</v>
      </c>
      <c r="S59" s="224">
        <v>1.0000000000000001E-9</v>
      </c>
      <c r="T59" s="53"/>
      <c r="AB59" s="50"/>
      <c r="AC59" s="234" t="s">
        <v>771</v>
      </c>
      <c r="AD59" s="242" t="s">
        <v>940</v>
      </c>
      <c r="AE59" s="53"/>
      <c r="AM59" s="50"/>
      <c r="AN59" s="222" t="s">
        <v>769</v>
      </c>
      <c r="AO59" s="216" t="s">
        <v>687</v>
      </c>
      <c r="AP59" s="53"/>
      <c r="AX59" s="50"/>
      <c r="AY59" s="222" t="s">
        <v>783</v>
      </c>
      <c r="AZ59" s="216" t="s">
        <v>718</v>
      </c>
      <c r="BA59" s="53"/>
      <c r="BI59" s="50"/>
      <c r="BJ59" s="234" t="s">
        <v>771</v>
      </c>
      <c r="BK59" s="242" t="s">
        <v>939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G59" s="332"/>
      <c r="CH59" s="332"/>
      <c r="CM59" s="332"/>
      <c r="CN59" s="332"/>
      <c r="CO59" s="398" t="str">
        <v/>
      </c>
      <c r="CP59" s="408" t="str">
        <v/>
      </c>
      <c r="CQ59" s="408" t="str">
        <v/>
      </c>
      <c r="CR59" s="408" t="str">
        <v/>
      </c>
      <c r="CS59" s="420" t="str">
        <v/>
      </c>
      <c r="CT59" s="405" t="e">
        <f t="shared" si="13"/>
        <v>#VALUE!</v>
      </c>
    </row>
    <row r="60" spans="6:98" x14ac:dyDescent="0.25">
      <c r="F60" s="50"/>
      <c r="G60" s="52"/>
      <c r="H60" s="52"/>
      <c r="I60" s="53"/>
      <c r="Q60" s="50"/>
      <c r="R60" s="222" t="s">
        <v>698</v>
      </c>
      <c r="S60" s="223">
        <v>1000</v>
      </c>
      <c r="T60" s="53"/>
      <c r="AB60" s="50"/>
      <c r="AC60" s="234" t="s">
        <v>772</v>
      </c>
      <c r="AD60" s="242" t="s">
        <v>940</v>
      </c>
      <c r="AE60" s="53"/>
      <c r="AM60" s="50"/>
      <c r="AN60" s="225" t="s">
        <v>770</v>
      </c>
      <c r="AO60" s="219" t="str">
        <f>INDEX('STATIC DATA'!C7:AB7,1,MATCH($A$1,'STATIC DATA'!C4:AB4,0))</f>
        <v>2D</v>
      </c>
      <c r="AP60" s="53"/>
      <c r="AX60" s="50"/>
      <c r="AY60" s="222" t="s">
        <v>784</v>
      </c>
      <c r="AZ60" s="216" t="s">
        <v>675</v>
      </c>
      <c r="BA60" s="53"/>
      <c r="BI60" s="50"/>
      <c r="BJ60" s="245" t="s">
        <v>774</v>
      </c>
      <c r="BK60" s="244" t="s">
        <v>49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G60" s="332"/>
      <c r="CH60" s="332"/>
      <c r="CM60" s="332"/>
      <c r="CN60" s="332"/>
      <c r="CO60" s="398" t="str">
        <v/>
      </c>
      <c r="CP60" s="408" t="str">
        <v/>
      </c>
      <c r="CQ60" s="408" t="str">
        <v/>
      </c>
      <c r="CR60" s="408" t="str">
        <v/>
      </c>
      <c r="CS60" s="420" t="str">
        <v/>
      </c>
      <c r="CT60" s="405" t="e">
        <f t="shared" si="13"/>
        <v>#VALUE!</v>
      </c>
    </row>
    <row r="61" spans="6:98" x14ac:dyDescent="0.25">
      <c r="F61" s="50"/>
      <c r="G61" s="52"/>
      <c r="H61" s="52"/>
      <c r="I61" s="53"/>
      <c r="Q61" s="50"/>
      <c r="R61" s="225"/>
      <c r="S61" s="226"/>
      <c r="T61" s="53"/>
      <c r="AB61" s="50"/>
      <c r="AC61" s="245" t="s">
        <v>774</v>
      </c>
      <c r="AD61" s="244" t="s">
        <v>49</v>
      </c>
      <c r="AE61" s="53"/>
      <c r="AM61" s="50"/>
      <c r="AN61" s="234" t="s">
        <v>771</v>
      </c>
      <c r="AO61" s="242" t="str">
        <f>"AGAINST:"&amp;A1&amp;"3M"</f>
        <v>AGAINST:SAR3M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775</v>
      </c>
      <c r="BK61" s="216" t="str">
        <f>INDEX('STATIC DATA'!C55:AB55,1,MATCH($A$1,'STATIC DATA'!C4:AB4,0))</f>
        <v>ACT/360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G61" s="299"/>
      <c r="CH61" s="299"/>
      <c r="CM61" s="299"/>
      <c r="CN61" s="299"/>
      <c r="CO61" s="397" t="str">
        <v/>
      </c>
      <c r="CP61" s="407" t="str">
        <v/>
      </c>
      <c r="CQ61" s="407" t="str">
        <v/>
      </c>
      <c r="CR61" s="407" t="str">
        <v/>
      </c>
      <c r="CS61" s="420" t="str">
        <v/>
      </c>
      <c r="CT61" s="405" t="e">
        <f t="shared" si="13"/>
        <v>#VALUE!</v>
      </c>
    </row>
    <row r="62" spans="6:98" x14ac:dyDescent="0.25">
      <c r="F62" s="50"/>
      <c r="G62" s="52"/>
      <c r="H62" s="52"/>
      <c r="I62" s="53"/>
      <c r="Q62" s="50"/>
      <c r="R62" s="52"/>
      <c r="S62" s="52"/>
      <c r="T62" s="53"/>
      <c r="AB62" s="50"/>
      <c r="AC62" s="222" t="s">
        <v>775</v>
      </c>
      <c r="AD62" s="216" t="str">
        <f>INDEX('STATIC DATA'!C55:AB55,1,MATCH($A$1,'STATIC DATA'!C4:AB4,0))</f>
        <v>ACT/360</v>
      </c>
      <c r="AE62" s="53"/>
      <c r="AM62" s="50"/>
      <c r="AN62" s="234" t="s">
        <v>772</v>
      </c>
      <c r="AO62" s="242" t="s">
        <v>940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776</v>
      </c>
      <c r="BK62" s="216" t="str">
        <f>INDEX('STATIC DATA'!C39:AB39,1,MATCH($A$1,'STATIC DATA'!$C$4:$AB$4,0))</f>
        <v>RIB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G62" s="299"/>
      <c r="CH62" s="299"/>
      <c r="CM62" s="299"/>
      <c r="CN62" s="299"/>
      <c r="CO62" s="397" t="str">
        <v/>
      </c>
      <c r="CP62" s="407" t="str">
        <v/>
      </c>
      <c r="CQ62" s="407" t="str">
        <v/>
      </c>
      <c r="CR62" s="407" t="str">
        <v/>
      </c>
      <c r="CS62" s="420" t="str">
        <v/>
      </c>
      <c r="CT62" s="405" t="e">
        <f t="shared" si="13"/>
        <v>#VALUE!</v>
      </c>
    </row>
    <row r="63" spans="6:98" x14ac:dyDescent="0.25">
      <c r="F63" s="50"/>
      <c r="G63" s="52"/>
      <c r="H63" s="52"/>
      <c r="I63" s="53"/>
      <c r="Q63" s="50"/>
      <c r="R63" s="52"/>
      <c r="S63" s="52"/>
      <c r="T63" s="53"/>
      <c r="AB63" s="50"/>
      <c r="AC63" s="222" t="s">
        <v>776</v>
      </c>
      <c r="AD63" s="216" t="str">
        <f>INDEX('STATIC DATA'!C39:AB39,1,MATCH($A$1,'STATIC DATA'!$C$4:$AB$4,0))</f>
        <v>RIB</v>
      </c>
      <c r="AE63" s="53"/>
      <c r="AM63" s="50"/>
      <c r="AN63" s="245" t="s">
        <v>774</v>
      </c>
      <c r="AO63" s="244" t="s">
        <v>49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777</v>
      </c>
      <c r="BK63" s="216" t="s">
        <v>721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G63" s="299"/>
      <c r="CH63" s="299"/>
      <c r="CM63" s="299"/>
      <c r="CN63" s="299"/>
      <c r="CO63" s="397" t="str">
        <v/>
      </c>
      <c r="CP63" s="407" t="str">
        <v/>
      </c>
      <c r="CQ63" s="407" t="str">
        <v/>
      </c>
      <c r="CR63" s="407" t="str">
        <v/>
      </c>
      <c r="CS63" s="420" t="str">
        <v/>
      </c>
      <c r="CT63" s="405" t="e">
        <f t="shared" si="13"/>
        <v>#VALUE!</v>
      </c>
    </row>
    <row r="64" spans="6:98" x14ac:dyDescent="0.25">
      <c r="F64" s="50"/>
      <c r="G64" s="52"/>
      <c r="H64" s="52"/>
      <c r="I64" s="53"/>
      <c r="Q64" s="50"/>
      <c r="R64" s="52"/>
      <c r="S64" s="52"/>
      <c r="T64" s="53"/>
      <c r="AB64" s="50"/>
      <c r="AC64" s="222" t="s">
        <v>777</v>
      </c>
      <c r="AD64" s="216" t="s">
        <v>721</v>
      </c>
      <c r="AE64" s="53"/>
      <c r="AM64" s="50"/>
      <c r="AN64" s="222" t="s">
        <v>775</v>
      </c>
      <c r="AO64" s="216" t="str">
        <f>INDEX('STATIC DATA'!C55:AB55,1,MATCH($A$1,'STATIC DATA'!C4:AB4,0))</f>
        <v>ACT/360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22" t="s">
        <v>778</v>
      </c>
      <c r="BK64" s="216" t="str">
        <f>INDEX('STATIC DATA'!C40:AB40,1,MATCH($A$1,'STATIC DATA'!$C$4:$AB$4,0))</f>
        <v>RIB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G64" s="299"/>
      <c r="CH64" s="299"/>
      <c r="CM64" s="299"/>
      <c r="CN64" s="299"/>
      <c r="CO64" s="397" t="str">
        <v/>
      </c>
      <c r="CP64" s="407" t="str">
        <v/>
      </c>
      <c r="CQ64" s="407" t="str">
        <v/>
      </c>
      <c r="CR64" s="407" t="str">
        <v/>
      </c>
      <c r="CS64" s="420" t="str">
        <v/>
      </c>
      <c r="CT64" s="405" t="e">
        <f t="shared" si="13"/>
        <v>#VALUE!</v>
      </c>
    </row>
    <row r="65" spans="6:98" x14ac:dyDescent="0.25">
      <c r="F65" s="50"/>
      <c r="G65" s="52"/>
      <c r="H65" s="52"/>
      <c r="I65" s="53"/>
      <c r="Q65" s="50"/>
      <c r="R65" s="52"/>
      <c r="S65" s="52"/>
      <c r="T65" s="53"/>
      <c r="AB65" s="50"/>
      <c r="AC65" s="222" t="s">
        <v>778</v>
      </c>
      <c r="AD65" s="216" t="str">
        <f>INDEX('STATIC DATA'!C39:AB39,1,MATCH($A$1,'STATIC DATA'!$C$4:$AB$4,0))</f>
        <v>RIB</v>
      </c>
      <c r="AE65" s="53"/>
      <c r="AM65" s="50"/>
      <c r="AN65" s="222" t="s">
        <v>776</v>
      </c>
      <c r="AO65" s="216" t="str">
        <f>INDEX('STATIC DATA'!C39:AB39,1,MATCH($A$1,'STATIC DATA'!$C$4:$AB$4,0))</f>
        <v>RIB</v>
      </c>
      <c r="AP65" s="53"/>
      <c r="AX65" s="50"/>
      <c r="AY65" s="225" t="s">
        <v>698</v>
      </c>
      <c r="AZ65" s="219">
        <v>1000</v>
      </c>
      <c r="BA65" s="53"/>
      <c r="BI65" s="50"/>
      <c r="BJ65" s="222" t="s">
        <v>779</v>
      </c>
      <c r="BK65" s="216" t="s">
        <v>621</v>
      </c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G65" s="299"/>
      <c r="CH65" s="299"/>
      <c r="CM65" s="299"/>
      <c r="CN65" s="299"/>
      <c r="CO65" s="397" t="str">
        <v/>
      </c>
      <c r="CP65" s="407" t="str">
        <v/>
      </c>
      <c r="CQ65" s="407" t="str">
        <v/>
      </c>
      <c r="CR65" s="407" t="str">
        <v/>
      </c>
      <c r="CS65" s="420" t="str">
        <v/>
      </c>
      <c r="CT65" s="405" t="e">
        <f t="shared" si="13"/>
        <v>#VALUE!</v>
      </c>
    </row>
    <row r="66" spans="6:98" x14ac:dyDescent="0.25">
      <c r="F66" s="50"/>
      <c r="G66" s="52"/>
      <c r="H66" s="52"/>
      <c r="I66" s="53"/>
      <c r="Q66" s="50"/>
      <c r="R66" s="52"/>
      <c r="S66" s="52"/>
      <c r="T66" s="53"/>
      <c r="AB66" s="50"/>
      <c r="AC66" s="222" t="s">
        <v>779</v>
      </c>
      <c r="AD66" s="216" t="s">
        <v>621</v>
      </c>
      <c r="AE66" s="53"/>
      <c r="AM66" s="50"/>
      <c r="AN66" s="222" t="s">
        <v>777</v>
      </c>
      <c r="AO66" s="216" t="s">
        <v>721</v>
      </c>
      <c r="AP66" s="53"/>
      <c r="AX66" s="50"/>
      <c r="AY66" s="225" t="s">
        <v>788</v>
      </c>
      <c r="AZ66" s="219" t="s">
        <v>720</v>
      </c>
      <c r="BA66" s="53"/>
      <c r="BI66" s="50"/>
      <c r="BJ66" s="222" t="s">
        <v>780</v>
      </c>
      <c r="BK66" s="216" t="s">
        <v>687</v>
      </c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G66" s="299"/>
      <c r="CH66" s="299"/>
      <c r="CM66" s="299"/>
      <c r="CN66" s="299"/>
      <c r="CO66" s="397" t="str">
        <v/>
      </c>
      <c r="CP66" s="407" t="str">
        <v/>
      </c>
      <c r="CQ66" s="407" t="str">
        <v/>
      </c>
      <c r="CR66" s="407" t="str">
        <v/>
      </c>
      <c r="CS66" s="420" t="str">
        <v/>
      </c>
      <c r="CT66" s="405" t="e">
        <f t="shared" si="13"/>
        <v>#VALUE!</v>
      </c>
    </row>
    <row r="67" spans="6:98" x14ac:dyDescent="0.25">
      <c r="F67" s="50"/>
      <c r="G67" s="52"/>
      <c r="H67" s="52"/>
      <c r="I67" s="53"/>
      <c r="Q67" s="50"/>
      <c r="R67" s="52"/>
      <c r="S67" s="52"/>
      <c r="T67" s="53"/>
      <c r="AB67" s="50"/>
      <c r="AC67" s="222" t="s">
        <v>780</v>
      </c>
      <c r="AD67" s="216" t="s">
        <v>687</v>
      </c>
      <c r="AE67" s="53"/>
      <c r="AM67" s="50"/>
      <c r="AN67" s="222" t="s">
        <v>778</v>
      </c>
      <c r="AO67" s="216" t="str">
        <f>INDEX('STATIC DATA'!C39:AB39,1,MATCH($A$1,'STATIC DATA'!$C$4:$AB$4,0))</f>
        <v>RIB</v>
      </c>
      <c r="AP67" s="53"/>
      <c r="AX67" s="50"/>
      <c r="AY67" s="225" t="s">
        <v>789</v>
      </c>
      <c r="AZ67" s="219" t="s">
        <v>718</v>
      </c>
      <c r="BA67" s="53"/>
      <c r="BI67" s="50"/>
      <c r="BJ67" s="233" t="s">
        <v>781</v>
      </c>
      <c r="BK67" s="241" t="s">
        <v>810</v>
      </c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G67" s="299"/>
      <c r="CH67" s="299"/>
      <c r="CM67" s="299"/>
      <c r="CN67" s="299"/>
      <c r="CO67" s="397" t="str">
        <v/>
      </c>
      <c r="CP67" s="407" t="str">
        <v/>
      </c>
      <c r="CQ67" s="407" t="str">
        <v/>
      </c>
      <c r="CR67" s="407" t="str">
        <v/>
      </c>
      <c r="CS67" s="420" t="str">
        <v/>
      </c>
      <c r="CT67" s="405" t="e">
        <f t="shared" si="13"/>
        <v>#VALUE!</v>
      </c>
    </row>
    <row r="68" spans="6:98" x14ac:dyDescent="0.25">
      <c r="F68" s="50"/>
      <c r="G68" s="52"/>
      <c r="H68" s="52"/>
      <c r="I68" s="53"/>
      <c r="Q68" s="50"/>
      <c r="R68" s="52"/>
      <c r="S68" s="52"/>
      <c r="T68" s="53"/>
      <c r="AB68" s="50"/>
      <c r="AC68" s="233" t="s">
        <v>781</v>
      </c>
      <c r="AD68" s="241" t="s">
        <v>782</v>
      </c>
      <c r="AE68" s="53"/>
      <c r="AM68" s="50"/>
      <c r="AN68" s="222" t="s">
        <v>779</v>
      </c>
      <c r="AO68" s="216" t="str">
        <f>INDEX('STATIC DATA'!C7:AB7,1,MATCH($A$1,'STATIC DATA'!C4:AB4,0))</f>
        <v>2D</v>
      </c>
      <c r="AP68" s="53"/>
      <c r="AX68" s="50"/>
      <c r="AY68" s="225" t="s">
        <v>688</v>
      </c>
      <c r="AZ68" s="219">
        <v>31</v>
      </c>
      <c r="BA68" s="53"/>
      <c r="BI68" s="50"/>
      <c r="BJ68" s="222" t="s">
        <v>811</v>
      </c>
      <c r="BK68" s="216" t="b">
        <v>0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G68" s="299"/>
      <c r="CH68" s="299"/>
      <c r="CM68" s="299"/>
      <c r="CN68" s="299"/>
      <c r="CO68" s="397" t="str">
        <v/>
      </c>
      <c r="CP68" s="407" t="str">
        <v/>
      </c>
      <c r="CQ68" s="407" t="str">
        <v/>
      </c>
      <c r="CR68" s="407" t="str">
        <v/>
      </c>
      <c r="CS68" s="420" t="str">
        <v/>
      </c>
      <c r="CT68" s="405" t="e">
        <f t="shared" si="13"/>
        <v>#VALUE!</v>
      </c>
    </row>
    <row r="69" spans="6:98" x14ac:dyDescent="0.25">
      <c r="F69" s="50"/>
      <c r="G69" s="52"/>
      <c r="H69" s="52"/>
      <c r="I69" s="53"/>
      <c r="Q69" s="50"/>
      <c r="R69" s="52"/>
      <c r="S69" s="52"/>
      <c r="T69" s="53"/>
      <c r="AB69" s="50"/>
      <c r="AC69" s="222" t="s">
        <v>783</v>
      </c>
      <c r="AD69" s="216" t="s">
        <v>718</v>
      </c>
      <c r="AE69" s="53"/>
      <c r="AM69" s="50"/>
      <c r="AN69" s="222" t="s">
        <v>780</v>
      </c>
      <c r="AO69" s="216" t="s">
        <v>687</v>
      </c>
      <c r="AP69" s="53"/>
      <c r="AX69" s="50"/>
      <c r="AY69" s="85"/>
      <c r="AZ69" s="85"/>
      <c r="BA69" s="53"/>
      <c r="BI69" s="50"/>
      <c r="BJ69" s="222" t="s">
        <v>812</v>
      </c>
      <c r="BK69" s="216" t="b">
        <v>1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G69" s="299"/>
      <c r="CH69" s="299"/>
      <c r="CM69" s="299"/>
      <c r="CN69" s="299"/>
      <c r="CO69" s="397" t="str">
        <v/>
      </c>
      <c r="CP69" s="407" t="str">
        <v/>
      </c>
      <c r="CQ69" s="407" t="str">
        <v/>
      </c>
      <c r="CR69" s="407" t="str">
        <v/>
      </c>
      <c r="CS69" s="420" t="str">
        <v/>
      </c>
      <c r="CT69" s="405" t="e">
        <f t="shared" si="13"/>
        <v>#VALUE!</v>
      </c>
    </row>
    <row r="70" spans="6:98" x14ac:dyDescent="0.25">
      <c r="F70" s="50"/>
      <c r="G70" s="52"/>
      <c r="H70" s="52"/>
      <c r="I70" s="53"/>
      <c r="Q70" s="50"/>
      <c r="R70" s="52"/>
      <c r="S70" s="52"/>
      <c r="T70" s="53"/>
      <c r="AB70" s="50"/>
      <c r="AC70" s="222" t="s">
        <v>784</v>
      </c>
      <c r="AD70" s="216" t="s">
        <v>675</v>
      </c>
      <c r="AE70" s="53"/>
      <c r="AM70" s="50"/>
      <c r="AN70" s="233" t="s">
        <v>781</v>
      </c>
      <c r="AO70" s="241" t="s">
        <v>782</v>
      </c>
      <c r="AP70" s="53"/>
      <c r="AX70" s="50"/>
      <c r="AY70" s="85"/>
      <c r="AZ70" s="85"/>
      <c r="BA70" s="53"/>
      <c r="BI70" s="50"/>
      <c r="BJ70" s="222" t="s">
        <v>688</v>
      </c>
      <c r="BK70" s="216">
        <v>31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G70" s="299"/>
      <c r="CH70" s="299"/>
      <c r="CM70" s="299"/>
      <c r="CN70" s="299"/>
      <c r="CO70" s="397" t="str">
        <v/>
      </c>
      <c r="CP70" s="407" t="str">
        <v/>
      </c>
      <c r="CQ70" s="407" t="str">
        <v/>
      </c>
      <c r="CR70" s="407" t="str">
        <v/>
      </c>
      <c r="CS70" s="420" t="str">
        <v/>
      </c>
      <c r="CT70" s="405" t="e">
        <f t="shared" si="13"/>
        <v>#VALUE!</v>
      </c>
    </row>
    <row r="71" spans="6:98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222" t="s">
        <v>785</v>
      </c>
      <c r="AD71" s="216" t="s">
        <v>718</v>
      </c>
      <c r="AE71" s="53"/>
      <c r="AM71" s="50"/>
      <c r="AN71" s="222" t="s">
        <v>783</v>
      </c>
      <c r="AO71" s="216" t="s">
        <v>718</v>
      </c>
      <c r="AP71" s="53"/>
      <c r="AX71" s="50"/>
      <c r="AY71" s="85"/>
      <c r="AZ71" s="85"/>
      <c r="BA71" s="53"/>
      <c r="BI71" s="50"/>
      <c r="BJ71" s="222" t="s">
        <v>689</v>
      </c>
      <c r="BK71" s="216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G71" s="299"/>
      <c r="CH71" s="299"/>
      <c r="CM71" s="299"/>
      <c r="CN71" s="299"/>
      <c r="CO71" s="397" t="str">
        <v/>
      </c>
      <c r="CP71" s="407" t="str">
        <v/>
      </c>
      <c r="CQ71" s="407" t="str">
        <v/>
      </c>
      <c r="CR71" s="407" t="str">
        <v/>
      </c>
      <c r="CS71" s="420" t="str">
        <v/>
      </c>
      <c r="CT71" s="405" t="e">
        <f t="shared" si="13"/>
        <v>#VALUE!</v>
      </c>
    </row>
    <row r="72" spans="6:98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233" t="s">
        <v>786</v>
      </c>
      <c r="AD72" s="246" t="s">
        <v>46</v>
      </c>
      <c r="AE72" s="53"/>
      <c r="AM72" s="50"/>
      <c r="AN72" s="222" t="s">
        <v>784</v>
      </c>
      <c r="AO72" s="216" t="s">
        <v>675</v>
      </c>
      <c r="AP72" s="53"/>
      <c r="AX72" s="50"/>
      <c r="AY72" s="85"/>
      <c r="AZ72" s="85"/>
      <c r="BA72" s="53"/>
      <c r="BI72" s="50"/>
      <c r="BJ72" s="222" t="s">
        <v>740</v>
      </c>
      <c r="BK72" s="216" t="b">
        <v>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G72" s="299"/>
      <c r="CH72" s="299"/>
      <c r="CM72" s="299"/>
      <c r="CN72" s="299"/>
      <c r="CO72" s="397" t="str">
        <v/>
      </c>
      <c r="CP72" s="407" t="str">
        <v/>
      </c>
      <c r="CQ72" s="407" t="str">
        <v/>
      </c>
      <c r="CR72" s="407" t="str">
        <v/>
      </c>
      <c r="CS72" s="420" t="str">
        <v/>
      </c>
      <c r="CT72" s="405" t="e">
        <f t="shared" si="13"/>
        <v>#VALUE!</v>
      </c>
    </row>
    <row r="73" spans="6:98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222" t="s">
        <v>787</v>
      </c>
      <c r="AD73" s="216" t="s">
        <v>720</v>
      </c>
      <c r="AE73" s="53"/>
      <c r="AM73" s="50"/>
      <c r="AN73" s="222" t="s">
        <v>785</v>
      </c>
      <c r="AO73" s="216" t="s">
        <v>718</v>
      </c>
      <c r="AP73" s="53"/>
      <c r="AX73" s="50"/>
      <c r="AY73" s="85"/>
      <c r="AZ73" s="85"/>
      <c r="BA73" s="53"/>
      <c r="BI73" s="50"/>
      <c r="BJ73" s="222" t="s">
        <v>813</v>
      </c>
      <c r="BK73" s="216" t="b">
        <v>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G73" s="299"/>
      <c r="CH73" s="299"/>
      <c r="CM73" s="299"/>
      <c r="CN73" s="299"/>
      <c r="CO73" s="397" t="str">
        <v/>
      </c>
      <c r="CP73" s="407" t="str">
        <v/>
      </c>
      <c r="CQ73" s="407" t="str">
        <v/>
      </c>
      <c r="CR73" s="407" t="str">
        <v/>
      </c>
      <c r="CS73" s="420" t="str">
        <v/>
      </c>
      <c r="CT73" s="405" t="e">
        <f t="shared" si="13"/>
        <v>#VALUE!</v>
      </c>
    </row>
    <row r="74" spans="6:98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225" t="s">
        <v>697</v>
      </c>
      <c r="AD74" s="240">
        <v>1.0000000000000003E-9</v>
      </c>
      <c r="AE74" s="53"/>
      <c r="AM74" s="50"/>
      <c r="AN74" s="233" t="s">
        <v>786</v>
      </c>
      <c r="AO74" s="246" t="s">
        <v>300</v>
      </c>
      <c r="AP74" s="53"/>
      <c r="AX74" s="50"/>
      <c r="AY74" s="85"/>
      <c r="AZ74" s="85"/>
      <c r="BA74" s="53"/>
      <c r="BI74" s="50"/>
      <c r="BJ74" s="233"/>
      <c r="BK74" s="246"/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G74" s="299"/>
      <c r="CH74" s="299"/>
      <c r="CM74" s="299"/>
      <c r="CN74" s="299"/>
      <c r="CO74" s="397" t="str">
        <v/>
      </c>
      <c r="CP74" s="407" t="str">
        <v/>
      </c>
      <c r="CQ74" s="407" t="str">
        <v/>
      </c>
      <c r="CR74" s="407" t="str">
        <v/>
      </c>
      <c r="CS74" s="420" t="str">
        <v/>
      </c>
      <c r="CT74" s="405" t="e">
        <f t="shared" si="13"/>
        <v>#VALUE!</v>
      </c>
    </row>
    <row r="75" spans="6:98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225" t="s">
        <v>698</v>
      </c>
      <c r="AD75" s="219">
        <v>1000</v>
      </c>
      <c r="AE75" s="53"/>
      <c r="AM75" s="50"/>
      <c r="AN75" s="222" t="s">
        <v>787</v>
      </c>
      <c r="AO75" s="216" t="s">
        <v>720</v>
      </c>
      <c r="AP75" s="53"/>
      <c r="AX75" s="50"/>
      <c r="AY75" s="85"/>
      <c r="AZ75" s="85"/>
      <c r="BA75" s="53"/>
      <c r="BI75" s="50"/>
      <c r="BJ75" s="252"/>
      <c r="BK75" s="253"/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G75" s="299"/>
      <c r="CH75" s="299"/>
      <c r="CM75" s="299"/>
      <c r="CN75" s="299"/>
      <c r="CO75" s="397" t="str">
        <v/>
      </c>
      <c r="CP75" s="407" t="str">
        <v/>
      </c>
      <c r="CQ75" s="407" t="str">
        <v/>
      </c>
      <c r="CR75" s="407" t="str">
        <v/>
      </c>
      <c r="CS75" s="420" t="str">
        <v/>
      </c>
      <c r="CT75" s="405" t="e">
        <f t="shared" si="13"/>
        <v>#VALUE!</v>
      </c>
    </row>
    <row r="76" spans="6:98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225" t="s">
        <v>788</v>
      </c>
      <c r="AD76" s="219" t="s">
        <v>720</v>
      </c>
      <c r="AE76" s="53"/>
      <c r="AM76" s="50"/>
      <c r="AN76" s="225" t="s">
        <v>697</v>
      </c>
      <c r="AO76" s="240">
        <v>1.0000000000000003E-9</v>
      </c>
      <c r="AP76" s="53"/>
      <c r="AX76" s="50"/>
      <c r="AY76" s="85"/>
      <c r="AZ76" s="85"/>
      <c r="BA76" s="53"/>
      <c r="BI76" s="50"/>
      <c r="BJ76" s="250"/>
      <c r="BK76" s="254"/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G76" s="299"/>
      <c r="CH76" s="299"/>
      <c r="CM76" s="299"/>
      <c r="CN76" s="299"/>
      <c r="CO76" s="397" t="str">
        <v/>
      </c>
      <c r="CP76" s="407" t="str">
        <v/>
      </c>
      <c r="CQ76" s="407" t="str">
        <v/>
      </c>
      <c r="CR76" s="407" t="str">
        <v/>
      </c>
      <c r="CS76" s="420" t="str">
        <v/>
      </c>
      <c r="CT76" s="405" t="e">
        <f t="shared" si="13"/>
        <v>#VALUE!</v>
      </c>
    </row>
    <row r="77" spans="6:98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225" t="s">
        <v>789</v>
      </c>
      <c r="AD77" s="219" t="s">
        <v>718</v>
      </c>
      <c r="AE77" s="53"/>
      <c r="AM77" s="50"/>
      <c r="AN77" s="225" t="s">
        <v>698</v>
      </c>
      <c r="AO77" s="219">
        <v>1000</v>
      </c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G77" s="299"/>
      <c r="CH77" s="299"/>
      <c r="CM77" s="299"/>
      <c r="CN77" s="299"/>
      <c r="CO77" s="397" t="str">
        <v/>
      </c>
      <c r="CP77" s="407" t="str">
        <v/>
      </c>
      <c r="CQ77" s="407" t="str">
        <v/>
      </c>
      <c r="CR77" s="407" t="str">
        <v/>
      </c>
      <c r="CS77" s="420" t="str">
        <v/>
      </c>
      <c r="CT77" s="405" t="e">
        <f t="shared" si="13"/>
        <v>#VALUE!</v>
      </c>
    </row>
    <row r="78" spans="6:98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225" t="s">
        <v>688</v>
      </c>
      <c r="AD78" s="219">
        <v>31</v>
      </c>
      <c r="AE78" s="53"/>
      <c r="AM78" s="50"/>
      <c r="AN78" s="225" t="s">
        <v>788</v>
      </c>
      <c r="AO78" s="219" t="s">
        <v>720</v>
      </c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G78" s="299"/>
      <c r="CH78" s="299"/>
      <c r="CM78" s="299"/>
      <c r="CN78" s="299"/>
      <c r="CO78" s="397" t="str">
        <v/>
      </c>
      <c r="CP78" s="407" t="str">
        <v/>
      </c>
      <c r="CQ78" s="407" t="str">
        <v/>
      </c>
      <c r="CR78" s="407" t="str">
        <v/>
      </c>
      <c r="CS78" s="420" t="str">
        <v/>
      </c>
      <c r="CT78" s="405" t="e">
        <f t="shared" si="13"/>
        <v>#VALUE!</v>
      </c>
    </row>
    <row r="79" spans="6:98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225" t="s">
        <v>789</v>
      </c>
      <c r="AO79" s="219" t="s">
        <v>718</v>
      </c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G79" s="299"/>
      <c r="CH79" s="299"/>
      <c r="CM79" s="299"/>
      <c r="CN79" s="299"/>
      <c r="CO79" s="397" t="str">
        <v/>
      </c>
      <c r="CP79" s="407" t="str">
        <v/>
      </c>
      <c r="CQ79" s="407" t="str">
        <v/>
      </c>
      <c r="CR79" s="407" t="str">
        <v/>
      </c>
      <c r="CS79" s="420" t="str">
        <v/>
      </c>
      <c r="CT79" s="405" t="e">
        <f t="shared" si="13"/>
        <v>#VALUE!</v>
      </c>
    </row>
    <row r="80" spans="6:98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225" t="s">
        <v>688</v>
      </c>
      <c r="AO80" s="219">
        <v>31</v>
      </c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G80" s="299"/>
      <c r="CH80" s="299"/>
      <c r="CM80" s="299"/>
      <c r="CN80" s="299"/>
      <c r="CO80" s="397" t="str">
        <v/>
      </c>
      <c r="CP80" s="407" t="str">
        <v/>
      </c>
      <c r="CQ80" s="407" t="str">
        <v/>
      </c>
      <c r="CR80" s="407" t="str">
        <v/>
      </c>
      <c r="CS80" s="420" t="str">
        <v/>
      </c>
      <c r="CT80" s="405" t="e">
        <f t="shared" si="13"/>
        <v>#VALUE!</v>
      </c>
    </row>
    <row r="81" spans="6:98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G81" s="299"/>
      <c r="CH81" s="299"/>
      <c r="CM81" s="299"/>
      <c r="CN81" s="299"/>
      <c r="CO81" s="397" t="str">
        <v/>
      </c>
      <c r="CP81" s="407" t="str">
        <v/>
      </c>
      <c r="CQ81" s="407" t="str">
        <v/>
      </c>
      <c r="CR81" s="407" t="str">
        <v/>
      </c>
      <c r="CS81" s="420" t="str">
        <v/>
      </c>
      <c r="CT81" s="405" t="e">
        <f t="shared" si="13"/>
        <v>#VALUE!</v>
      </c>
    </row>
    <row r="82" spans="6:98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G82" s="299"/>
      <c r="CH82" s="299"/>
      <c r="CM82" s="299"/>
      <c r="CN82" s="299"/>
      <c r="CO82" s="397" t="str">
        <v/>
      </c>
      <c r="CP82" s="407" t="str">
        <v/>
      </c>
      <c r="CQ82" s="407" t="str">
        <v/>
      </c>
      <c r="CR82" s="407" t="str">
        <v/>
      </c>
      <c r="CS82" s="420" t="str">
        <v/>
      </c>
      <c r="CT82" s="405" t="e">
        <f t="shared" si="13"/>
        <v>#VALUE!</v>
      </c>
    </row>
    <row r="83" spans="6:98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G83" s="299"/>
      <c r="CH83" s="299"/>
      <c r="CM83" s="299"/>
      <c r="CN83" s="299"/>
      <c r="CO83" s="397" t="str">
        <v/>
      </c>
      <c r="CP83" s="407" t="str">
        <v/>
      </c>
      <c r="CQ83" s="407" t="str">
        <v/>
      </c>
      <c r="CR83" s="407" t="str">
        <v/>
      </c>
      <c r="CS83" s="420" t="str">
        <v/>
      </c>
      <c r="CT83" s="405" t="e">
        <f t="shared" si="13"/>
        <v>#VALUE!</v>
      </c>
    </row>
    <row r="84" spans="6:98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G84" s="299"/>
      <c r="CH84" s="299"/>
      <c r="CM84" s="299"/>
      <c r="CN84" s="299"/>
      <c r="CO84" s="397" t="str">
        <v/>
      </c>
      <c r="CP84" s="407" t="str">
        <v/>
      </c>
      <c r="CQ84" s="407" t="str">
        <v/>
      </c>
      <c r="CR84" s="407" t="str">
        <v/>
      </c>
      <c r="CS84" s="420" t="str">
        <v/>
      </c>
      <c r="CT84" s="405" t="e">
        <f t="shared" si="13"/>
        <v>#VALUE!</v>
      </c>
    </row>
    <row r="85" spans="6:98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G85" s="299"/>
      <c r="CH85" s="299"/>
      <c r="CM85" s="299"/>
      <c r="CN85" s="299"/>
      <c r="CO85" s="397" t="str">
        <v/>
      </c>
      <c r="CP85" s="407" t="str">
        <v/>
      </c>
      <c r="CQ85" s="407" t="str">
        <v/>
      </c>
      <c r="CR85" s="407" t="str">
        <v/>
      </c>
      <c r="CS85" s="420" t="str">
        <v/>
      </c>
      <c r="CT85" s="405" t="e">
        <f t="shared" si="13"/>
        <v>#VALUE!</v>
      </c>
    </row>
    <row r="86" spans="6:98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G86" s="299"/>
      <c r="CH86" s="299"/>
      <c r="CM86" s="299"/>
      <c r="CN86" s="299"/>
      <c r="CO86" s="397" t="str">
        <v/>
      </c>
      <c r="CP86" s="407" t="str">
        <v/>
      </c>
      <c r="CQ86" s="407" t="str">
        <v/>
      </c>
      <c r="CR86" s="407" t="str">
        <v/>
      </c>
      <c r="CS86" s="420" t="str">
        <v/>
      </c>
      <c r="CT86" s="405" t="e">
        <f t="shared" si="13"/>
        <v>#VALUE!</v>
      </c>
    </row>
    <row r="87" spans="6:98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G87" s="299"/>
      <c r="CH87" s="299"/>
      <c r="CM87" s="299"/>
      <c r="CN87" s="299"/>
      <c r="CO87" s="397" t="str">
        <v/>
      </c>
      <c r="CP87" s="407" t="str">
        <v/>
      </c>
      <c r="CQ87" s="407" t="str">
        <v/>
      </c>
      <c r="CR87" s="407" t="str">
        <v/>
      </c>
      <c r="CS87" s="420" t="str">
        <v/>
      </c>
      <c r="CT87" s="405" t="e">
        <f t="shared" si="13"/>
        <v>#VALUE!</v>
      </c>
    </row>
    <row r="88" spans="6:98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G88" s="299"/>
      <c r="CH88" s="299"/>
      <c r="CM88" s="299"/>
      <c r="CN88" s="299"/>
      <c r="CO88" s="397" t="str">
        <v/>
      </c>
      <c r="CP88" s="407" t="str">
        <v/>
      </c>
      <c r="CQ88" s="407" t="str">
        <v/>
      </c>
      <c r="CR88" s="407" t="str">
        <v/>
      </c>
      <c r="CS88" s="420" t="str">
        <v/>
      </c>
      <c r="CT88" s="405" t="e">
        <f t="shared" si="13"/>
        <v>#VALUE!</v>
      </c>
    </row>
    <row r="89" spans="6:98" x14ac:dyDescent="0.25">
      <c r="F89" s="50"/>
      <c r="G89" s="52"/>
      <c r="H89" s="52"/>
      <c r="I89" s="53"/>
      <c r="Q89" s="75"/>
      <c r="R89" s="76"/>
      <c r="S89" s="76"/>
      <c r="T89" s="77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G89" s="299"/>
      <c r="CH89" s="299"/>
      <c r="CM89" s="299"/>
      <c r="CN89" s="299"/>
      <c r="CO89" s="397" t="str">
        <v/>
      </c>
      <c r="CP89" s="407" t="str">
        <v/>
      </c>
      <c r="CQ89" s="407" t="str">
        <v/>
      </c>
      <c r="CR89" s="407" t="str">
        <v/>
      </c>
      <c r="CS89" s="420" t="str">
        <v/>
      </c>
      <c r="CT89" s="405" t="e">
        <f t="shared" si="13"/>
        <v>#VALUE!</v>
      </c>
    </row>
    <row r="90" spans="6:98" x14ac:dyDescent="0.25">
      <c r="F90" s="50"/>
      <c r="G90" s="52"/>
      <c r="H90" s="52"/>
      <c r="I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G90" s="299"/>
      <c r="CH90" s="299"/>
      <c r="CM90" s="299"/>
      <c r="CN90" s="299"/>
      <c r="CO90" s="397" t="str">
        <v/>
      </c>
      <c r="CP90" s="407" t="str">
        <v/>
      </c>
      <c r="CQ90" s="407" t="str">
        <v/>
      </c>
      <c r="CR90" s="407" t="str">
        <v/>
      </c>
      <c r="CS90" s="420" t="str">
        <v/>
      </c>
      <c r="CT90" s="405" t="e">
        <f t="shared" si="13"/>
        <v>#VALUE!</v>
      </c>
    </row>
    <row r="91" spans="6:98" x14ac:dyDescent="0.25">
      <c r="F91" s="50"/>
      <c r="G91" s="52"/>
      <c r="H91" s="52"/>
      <c r="I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G91" s="299"/>
      <c r="CH91" s="299"/>
      <c r="CM91" s="299"/>
      <c r="CN91" s="299"/>
      <c r="CO91" s="397" t="str">
        <v/>
      </c>
      <c r="CP91" s="407" t="str">
        <v/>
      </c>
      <c r="CQ91" s="407" t="str">
        <v/>
      </c>
      <c r="CR91" s="407" t="str">
        <v/>
      </c>
      <c r="CS91" s="420" t="str">
        <v/>
      </c>
      <c r="CT91" s="405" t="e">
        <f t="shared" si="13"/>
        <v>#VALUE!</v>
      </c>
    </row>
    <row r="92" spans="6:98" x14ac:dyDescent="0.25">
      <c r="F92" s="50"/>
      <c r="G92" s="52"/>
      <c r="H92" s="52"/>
      <c r="I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G92" s="299"/>
      <c r="CH92" s="299"/>
      <c r="CM92" s="299"/>
      <c r="CN92" s="299"/>
      <c r="CO92" s="397" t="str">
        <v/>
      </c>
      <c r="CP92" s="407" t="str">
        <v/>
      </c>
      <c r="CQ92" s="407" t="str">
        <v/>
      </c>
      <c r="CR92" s="407" t="str">
        <v/>
      </c>
      <c r="CS92" s="420" t="str">
        <v/>
      </c>
      <c r="CT92" s="405" t="e">
        <f t="shared" si="13"/>
        <v>#VALUE!</v>
      </c>
    </row>
    <row r="93" spans="6:98" x14ac:dyDescent="0.25">
      <c r="F93" s="50"/>
      <c r="G93" s="52"/>
      <c r="H93" s="52"/>
      <c r="I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G93" s="299"/>
      <c r="CH93" s="299"/>
      <c r="CM93" s="299"/>
      <c r="CN93" s="299"/>
      <c r="CO93" s="397" t="str">
        <v/>
      </c>
      <c r="CP93" s="407" t="str">
        <v/>
      </c>
      <c r="CQ93" s="407" t="str">
        <v/>
      </c>
      <c r="CR93" s="407" t="str">
        <v/>
      </c>
      <c r="CS93" s="420" t="str">
        <v/>
      </c>
      <c r="CT93" s="405" t="e">
        <f t="shared" si="13"/>
        <v>#VALUE!</v>
      </c>
    </row>
    <row r="94" spans="6:98" x14ac:dyDescent="0.25">
      <c r="F94" s="50"/>
      <c r="G94" s="52"/>
      <c r="H94" s="52"/>
      <c r="I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G94" s="298"/>
      <c r="CH94" s="298"/>
      <c r="CM94" s="298"/>
      <c r="CN94" s="298"/>
      <c r="CO94" s="399" t="str">
        <v/>
      </c>
      <c r="CP94" s="409" t="str">
        <v/>
      </c>
      <c r="CQ94" s="409" t="str">
        <v/>
      </c>
      <c r="CR94" s="409" t="str">
        <v/>
      </c>
      <c r="CS94" s="420" t="str">
        <v/>
      </c>
      <c r="CT94" s="405" t="e">
        <f t="shared" si="13"/>
        <v>#VALUE!</v>
      </c>
    </row>
    <row r="95" spans="6:98" x14ac:dyDescent="0.25">
      <c r="F95" s="50"/>
      <c r="G95" s="52"/>
      <c r="H95" s="52"/>
      <c r="I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G95" s="206"/>
      <c r="CH95" s="206"/>
      <c r="CM95" s="206"/>
      <c r="CN95" s="206"/>
      <c r="CO95" s="400" t="str">
        <v/>
      </c>
      <c r="CP95" s="410" t="str">
        <v/>
      </c>
      <c r="CQ95" s="410" t="str">
        <v/>
      </c>
      <c r="CR95" s="410" t="str">
        <v/>
      </c>
      <c r="CS95" s="420" t="str">
        <v/>
      </c>
      <c r="CT95" s="405" t="e">
        <f t="shared" si="13"/>
        <v>#VALUE!</v>
      </c>
    </row>
    <row r="96" spans="6:98" x14ac:dyDescent="0.25">
      <c r="F96" s="50"/>
      <c r="G96" s="52"/>
      <c r="H96" s="52"/>
      <c r="I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G96" s="206"/>
      <c r="CH96" s="206"/>
      <c r="CM96" s="206"/>
      <c r="CN96" s="206"/>
      <c r="CO96" s="400" t="str">
        <v/>
      </c>
      <c r="CP96" s="410" t="str">
        <v/>
      </c>
      <c r="CQ96" s="410" t="str">
        <v/>
      </c>
      <c r="CR96" s="410" t="str">
        <v/>
      </c>
      <c r="CS96" s="420" t="str">
        <v/>
      </c>
      <c r="CT96" s="405" t="e">
        <f t="shared" si="13"/>
        <v>#VALUE!</v>
      </c>
    </row>
    <row r="97" spans="6:105" x14ac:dyDescent="0.25">
      <c r="F97" s="50"/>
      <c r="G97" s="52"/>
      <c r="H97" s="52"/>
      <c r="I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O97" s="360" t="str">
        <v/>
      </c>
      <c r="CP97" s="406" t="str">
        <v/>
      </c>
      <c r="CQ97" s="406" t="str">
        <v/>
      </c>
      <c r="CR97" s="406" t="str">
        <v/>
      </c>
      <c r="CS97" s="420" t="str">
        <v/>
      </c>
      <c r="CT97" s="405" t="e">
        <f t="shared" si="13"/>
        <v>#VALUE!</v>
      </c>
    </row>
    <row r="98" spans="6:105" x14ac:dyDescent="0.25">
      <c r="F98" s="75"/>
      <c r="G98" s="76"/>
      <c r="H98" s="76"/>
      <c r="I98" s="77"/>
      <c r="AB98" s="50"/>
      <c r="AC98" s="85"/>
      <c r="AD98" s="85"/>
      <c r="AE98" s="53"/>
      <c r="AM98" s="50"/>
      <c r="AN98" s="85"/>
      <c r="AO98" s="85"/>
      <c r="AP98" s="53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O98" s="360" t="str">
        <v/>
      </c>
      <c r="CP98" s="406" t="str">
        <v/>
      </c>
      <c r="CQ98" s="406" t="str">
        <v/>
      </c>
      <c r="CR98" s="406" t="str">
        <v/>
      </c>
      <c r="CS98" s="420" t="str">
        <v/>
      </c>
      <c r="CT98" s="405" t="e">
        <f t="shared" si="13"/>
        <v>#VALUE!</v>
      </c>
    </row>
    <row r="99" spans="6:105" x14ac:dyDescent="0.25">
      <c r="AB99" s="50"/>
      <c r="AC99" s="85"/>
      <c r="AD99" s="85"/>
      <c r="AE99" s="53"/>
      <c r="AM99" s="50"/>
      <c r="AN99" s="85"/>
      <c r="AO99" s="85"/>
      <c r="AP99" s="53"/>
      <c r="BT99" s="206"/>
      <c r="BU99" s="298"/>
      <c r="BV99" s="298"/>
      <c r="BW99" s="298"/>
      <c r="BX99" s="299"/>
      <c r="BY99" s="299"/>
      <c r="BZ99" s="299"/>
      <c r="CA99" s="299"/>
      <c r="CB99" s="299"/>
      <c r="CO99" s="360" t="str">
        <v/>
      </c>
      <c r="CP99" s="406" t="str">
        <v/>
      </c>
      <c r="CQ99" s="406" t="str">
        <v/>
      </c>
      <c r="CR99" s="406" t="str">
        <v/>
      </c>
      <c r="CS99" s="420" t="str">
        <v/>
      </c>
      <c r="CT99" s="405" t="e">
        <f t="shared" si="13"/>
        <v>#VALUE!</v>
      </c>
      <c r="CU99" s="206"/>
      <c r="CV99" s="206"/>
      <c r="CW99" s="206"/>
      <c r="CX99" s="206"/>
      <c r="CY99" s="206"/>
      <c r="CZ99" s="206"/>
      <c r="DA99" s="206"/>
    </row>
    <row r="100" spans="6:105" x14ac:dyDescent="0.25">
      <c r="AB100" s="50"/>
      <c r="AC100" s="85"/>
      <c r="AD100" s="85"/>
      <c r="AE100" s="53"/>
      <c r="AM100" s="50"/>
      <c r="AN100" s="85"/>
      <c r="AO100" s="85"/>
      <c r="AP100" s="53"/>
      <c r="BT100" s="206"/>
      <c r="BU100" s="206"/>
      <c r="BV100" s="206"/>
      <c r="BW100" s="206"/>
      <c r="BY100" s="299"/>
      <c r="BZ100" s="299"/>
      <c r="CA100" s="299"/>
      <c r="CB100" s="299"/>
      <c r="CO100" s="360" t="str">
        <v/>
      </c>
      <c r="CP100" s="406" t="str">
        <v/>
      </c>
      <c r="CQ100" s="406" t="str">
        <v/>
      </c>
      <c r="CR100" s="406" t="str">
        <v/>
      </c>
      <c r="CS100" s="420" t="str">
        <v/>
      </c>
      <c r="CT100" s="405" t="e">
        <f t="shared" si="13"/>
        <v>#VALUE!</v>
      </c>
      <c r="CU100" s="206"/>
      <c r="CV100" s="206"/>
      <c r="CW100" s="206"/>
      <c r="CX100" s="206"/>
      <c r="CY100" s="206"/>
      <c r="CZ100" s="206"/>
      <c r="DA100" s="206"/>
    </row>
    <row r="101" spans="6:105" x14ac:dyDescent="0.25">
      <c r="AB101" s="50"/>
      <c r="AC101" s="85"/>
      <c r="AD101" s="85"/>
      <c r="AE101" s="53"/>
      <c r="AM101" s="50"/>
      <c r="AN101" s="85"/>
      <c r="AO101" s="85"/>
      <c r="AP101" s="53"/>
      <c r="BT101" s="206"/>
      <c r="BU101" s="206"/>
      <c r="BV101" s="206"/>
      <c r="BW101" s="206"/>
      <c r="BY101" s="299"/>
      <c r="BZ101" s="299"/>
      <c r="CA101" s="299"/>
      <c r="CB101" s="299"/>
      <c r="CO101" s="360" t="str">
        <v/>
      </c>
      <c r="CP101" s="406" t="str">
        <v/>
      </c>
      <c r="CQ101" s="406" t="str">
        <v/>
      </c>
      <c r="CR101" s="406" t="str">
        <v/>
      </c>
      <c r="CS101" s="420" t="str">
        <v/>
      </c>
      <c r="CT101" s="405" t="e">
        <f t="shared" si="13"/>
        <v>#VALUE!</v>
      </c>
      <c r="CU101" s="206"/>
      <c r="CV101" s="206"/>
      <c r="CW101" s="206"/>
      <c r="CX101" s="206"/>
      <c r="CY101" s="206"/>
      <c r="CZ101" s="206"/>
      <c r="DA101" s="206"/>
    </row>
    <row r="102" spans="6:105" x14ac:dyDescent="0.25">
      <c r="AB102" s="50"/>
      <c r="AC102" s="85"/>
      <c r="AD102" s="85"/>
      <c r="AE102" s="53"/>
      <c r="AM102" s="50"/>
      <c r="AN102" s="85"/>
      <c r="AO102" s="85"/>
      <c r="AP102" s="53"/>
      <c r="BT102" s="206"/>
      <c r="BU102" s="206"/>
      <c r="BV102" s="206"/>
      <c r="BW102" s="206"/>
      <c r="BY102" s="299"/>
      <c r="BZ102" s="299"/>
      <c r="CA102" s="299"/>
      <c r="CB102" s="299"/>
      <c r="CO102" s="360" t="str">
        <v/>
      </c>
      <c r="CP102" s="406" t="str">
        <v/>
      </c>
      <c r="CQ102" s="406" t="str">
        <v/>
      </c>
      <c r="CR102" s="406" t="str">
        <v/>
      </c>
      <c r="CS102" s="420" t="str">
        <v/>
      </c>
      <c r="CT102" s="405" t="e">
        <f t="shared" si="13"/>
        <v>#VALUE!</v>
      </c>
      <c r="CU102" s="206"/>
      <c r="CV102" s="206"/>
      <c r="CW102" s="206"/>
      <c r="CX102" s="206"/>
      <c r="CY102" s="206"/>
      <c r="CZ102" s="206"/>
      <c r="DA102" s="206"/>
    </row>
    <row r="103" spans="6:105" x14ac:dyDescent="0.25">
      <c r="AB103" s="50"/>
      <c r="AC103" s="85"/>
      <c r="AD103" s="85"/>
      <c r="AE103" s="53"/>
      <c r="AM103" s="50"/>
      <c r="AN103" s="85"/>
      <c r="AO103" s="85"/>
      <c r="AP103" s="53"/>
      <c r="BT103" s="206"/>
      <c r="BU103" s="206"/>
      <c r="BV103" s="206"/>
      <c r="BW103" s="206"/>
      <c r="BY103" s="299"/>
      <c r="BZ103" s="299"/>
      <c r="CA103" s="299"/>
      <c r="CB103" s="299"/>
      <c r="CO103" s="360" t="str">
        <v/>
      </c>
      <c r="CP103" s="406" t="str">
        <v/>
      </c>
      <c r="CQ103" s="406" t="str">
        <v/>
      </c>
      <c r="CR103" s="406" t="str">
        <v/>
      </c>
      <c r="CS103" s="420" t="str">
        <v/>
      </c>
      <c r="CT103" s="405" t="e">
        <f t="shared" si="13"/>
        <v>#VALUE!</v>
      </c>
      <c r="CU103" s="206"/>
      <c r="CV103" s="206"/>
      <c r="CW103" s="206"/>
      <c r="CX103" s="206"/>
      <c r="CY103" s="206"/>
      <c r="CZ103" s="206"/>
      <c r="DA103" s="206"/>
    </row>
    <row r="104" spans="6:105" x14ac:dyDescent="0.25">
      <c r="AB104" s="50"/>
      <c r="AC104" s="85"/>
      <c r="AD104" s="85"/>
      <c r="AE104" s="53"/>
      <c r="AM104" s="50"/>
      <c r="AN104" s="85"/>
      <c r="AO104" s="85"/>
      <c r="AP104" s="53"/>
      <c r="BT104" s="206"/>
      <c r="BU104" s="206"/>
      <c r="BV104" s="206"/>
      <c r="BW104" s="206"/>
      <c r="BY104" s="299"/>
      <c r="BZ104" s="299"/>
      <c r="CA104" s="299"/>
      <c r="CB104" s="299"/>
      <c r="CO104" s="360"/>
      <c r="CU104" s="206"/>
      <c r="CV104" s="206"/>
      <c r="CW104" s="206"/>
      <c r="CX104" s="206"/>
      <c r="CY104" s="206"/>
      <c r="CZ104" s="206"/>
      <c r="DA104" s="206"/>
    </row>
    <row r="105" spans="6:105" x14ac:dyDescent="0.25">
      <c r="AB105" s="50"/>
      <c r="AC105" s="85"/>
      <c r="AD105" s="85"/>
      <c r="AE105" s="53"/>
      <c r="AM105" s="50"/>
      <c r="AN105" s="85"/>
      <c r="AO105" s="85"/>
      <c r="AP105" s="53"/>
      <c r="BT105" s="206"/>
      <c r="BU105" s="206"/>
      <c r="BV105" s="206"/>
      <c r="BW105" s="206"/>
      <c r="BY105" s="299"/>
      <c r="BZ105" s="299"/>
      <c r="CA105" s="299"/>
      <c r="CB105" s="299"/>
      <c r="CO105" s="360"/>
      <c r="CU105" s="206"/>
      <c r="CV105" s="206"/>
      <c r="CW105" s="206"/>
      <c r="CX105" s="206"/>
      <c r="CY105" s="206"/>
      <c r="CZ105" s="206"/>
      <c r="DA105" s="206"/>
    </row>
    <row r="106" spans="6:105" x14ac:dyDescent="0.25">
      <c r="AB106" s="50"/>
      <c r="AC106" s="85"/>
      <c r="AD106" s="85"/>
      <c r="AE106" s="53"/>
      <c r="AM106" s="50"/>
      <c r="AN106" s="85"/>
      <c r="AO106" s="85"/>
      <c r="AP106" s="53"/>
      <c r="BT106" s="206"/>
      <c r="BU106" s="206"/>
      <c r="BV106" s="206"/>
      <c r="BW106" s="206"/>
      <c r="BY106" s="299"/>
      <c r="BZ106" s="299"/>
      <c r="CA106" s="299"/>
      <c r="CB106" s="299"/>
      <c r="CO106" s="360"/>
      <c r="CU106" s="206"/>
      <c r="CV106" s="206"/>
      <c r="CW106" s="206"/>
      <c r="CX106" s="206"/>
      <c r="CY106" s="206"/>
      <c r="CZ106" s="206"/>
      <c r="DA106" s="206"/>
    </row>
    <row r="107" spans="6:105" x14ac:dyDescent="0.25">
      <c r="AB107" s="50"/>
      <c r="AC107" s="85"/>
      <c r="AD107" s="85"/>
      <c r="AE107" s="53"/>
      <c r="AM107" s="50"/>
      <c r="AN107" s="85"/>
      <c r="AO107" s="85"/>
      <c r="AP107" s="53"/>
      <c r="BT107" s="206"/>
      <c r="BU107" s="206"/>
      <c r="BV107" s="206"/>
      <c r="BW107" s="206"/>
      <c r="BY107" s="299"/>
      <c r="BZ107" s="299"/>
      <c r="CA107" s="299"/>
      <c r="CB107" s="299"/>
      <c r="CO107" s="360"/>
      <c r="CU107" s="206"/>
      <c r="CV107" s="206"/>
      <c r="CW107" s="206"/>
      <c r="CX107" s="206"/>
      <c r="CY107" s="206"/>
      <c r="CZ107" s="206"/>
      <c r="DA107" s="206"/>
    </row>
    <row r="108" spans="6:105" x14ac:dyDescent="0.25">
      <c r="AB108" s="75"/>
      <c r="AC108" s="76"/>
      <c r="AD108" s="76"/>
      <c r="AE108" s="77"/>
      <c r="AM108" s="50"/>
      <c r="AN108" s="85"/>
      <c r="AO108" s="85"/>
      <c r="AP108" s="53"/>
      <c r="BT108" s="206"/>
      <c r="BU108" s="206"/>
      <c r="BV108" s="206"/>
      <c r="BW108" s="206"/>
      <c r="BY108" s="299"/>
      <c r="BZ108" s="299"/>
      <c r="CA108" s="299"/>
      <c r="CB108" s="299"/>
      <c r="CO108" s="360"/>
      <c r="CU108" s="206"/>
      <c r="CV108" s="206"/>
      <c r="CW108" s="206"/>
      <c r="CX108" s="206"/>
      <c r="CY108" s="206"/>
      <c r="CZ108" s="206"/>
      <c r="DA108" s="206"/>
    </row>
    <row r="109" spans="6:105" x14ac:dyDescent="0.25">
      <c r="AM109" s="50"/>
      <c r="AN109" s="85"/>
      <c r="AO109" s="85"/>
      <c r="AP109" s="53"/>
      <c r="BT109" s="206"/>
      <c r="BU109" s="206"/>
      <c r="BV109" s="206"/>
      <c r="BW109" s="206"/>
      <c r="BY109" s="299"/>
      <c r="BZ109" s="299"/>
      <c r="CA109" s="299"/>
      <c r="CB109" s="299"/>
      <c r="CO109" s="360"/>
      <c r="CU109" s="206"/>
      <c r="CV109" s="206"/>
      <c r="CW109" s="206"/>
      <c r="CX109" s="206"/>
      <c r="CY109" s="206"/>
      <c r="CZ109" s="206"/>
      <c r="DA109" s="206"/>
    </row>
    <row r="110" spans="6:105" x14ac:dyDescent="0.25">
      <c r="AM110" s="75"/>
      <c r="AN110" s="76"/>
      <c r="AO110" s="76"/>
      <c r="AP110" s="77"/>
      <c r="BT110" s="206"/>
      <c r="BU110" s="206"/>
      <c r="BV110" s="206"/>
      <c r="BW110" s="206"/>
      <c r="BY110" s="299"/>
      <c r="BZ110" s="299"/>
      <c r="CA110" s="299"/>
      <c r="CB110" s="299"/>
      <c r="CO110" s="360"/>
      <c r="CU110" s="206"/>
      <c r="CV110" s="206"/>
      <c r="CW110" s="206"/>
      <c r="CX110" s="206"/>
      <c r="CY110" s="206"/>
      <c r="CZ110" s="206"/>
      <c r="DA110" s="206"/>
    </row>
    <row r="111" spans="6:105" x14ac:dyDescent="0.25">
      <c r="BT111" s="206"/>
      <c r="BU111" s="206"/>
      <c r="BV111" s="206"/>
      <c r="BW111" s="206"/>
      <c r="BY111" s="299"/>
      <c r="BZ111" s="299"/>
      <c r="CA111" s="299"/>
      <c r="CB111" s="299"/>
      <c r="CO111" s="360"/>
      <c r="CU111" s="206"/>
      <c r="CV111" s="206"/>
      <c r="CW111" s="206"/>
      <c r="CX111" s="206"/>
      <c r="CY111" s="206"/>
      <c r="CZ111" s="206"/>
      <c r="DA111" s="206"/>
    </row>
    <row r="112" spans="6:105" x14ac:dyDescent="0.25">
      <c r="BT112" s="206"/>
      <c r="BU112" s="206"/>
      <c r="BV112" s="206"/>
      <c r="BW112" s="206"/>
      <c r="BY112" s="299"/>
      <c r="BZ112" s="299"/>
      <c r="CA112" s="299"/>
      <c r="CB112" s="299"/>
      <c r="CO112" s="360"/>
      <c r="CU112" s="206"/>
      <c r="CV112" s="206"/>
      <c r="CW112" s="206"/>
      <c r="CX112" s="206"/>
      <c r="CY112" s="206"/>
      <c r="CZ112" s="206"/>
      <c r="DA112" s="206"/>
    </row>
    <row r="113" spans="72:105" x14ac:dyDescent="0.25">
      <c r="BT113" s="206"/>
      <c r="BU113" s="206"/>
      <c r="BV113" s="206"/>
      <c r="BW113" s="206"/>
      <c r="BY113" s="299"/>
      <c r="BZ113" s="299"/>
      <c r="CA113" s="299"/>
      <c r="CB113" s="299"/>
      <c r="CO113" s="360"/>
      <c r="CU113" s="206"/>
      <c r="CV113" s="206"/>
      <c r="CW113" s="206"/>
      <c r="CX113" s="206"/>
      <c r="CY113" s="206"/>
      <c r="CZ113" s="206"/>
      <c r="DA113" s="206"/>
    </row>
    <row r="114" spans="72:105" x14ac:dyDescent="0.25">
      <c r="BT114" s="206"/>
      <c r="BU114" s="206"/>
      <c r="BV114" s="206"/>
      <c r="BW114" s="206"/>
      <c r="BY114" s="299"/>
      <c r="BZ114" s="299"/>
      <c r="CA114" s="299"/>
      <c r="CB114" s="299"/>
      <c r="CO114" s="360"/>
      <c r="CU114" s="206"/>
      <c r="CV114" s="206"/>
      <c r="CW114" s="206"/>
      <c r="CX114" s="206"/>
      <c r="CY114" s="206"/>
      <c r="CZ114" s="206"/>
      <c r="DA114" s="206"/>
    </row>
    <row r="115" spans="72:105" x14ac:dyDescent="0.25">
      <c r="BT115" s="206"/>
      <c r="BU115" s="206"/>
      <c r="BV115" s="206"/>
      <c r="BW115" s="206"/>
      <c r="BY115" s="299"/>
      <c r="BZ115" s="299"/>
      <c r="CA115" s="299"/>
      <c r="CB115" s="299"/>
      <c r="CO115" s="360"/>
      <c r="CU115" s="206"/>
      <c r="CV115" s="206"/>
      <c r="CW115" s="206"/>
      <c r="CX115" s="206"/>
      <c r="CY115" s="206"/>
      <c r="CZ115" s="206"/>
      <c r="DA115" s="206"/>
    </row>
    <row r="116" spans="72:105" x14ac:dyDescent="0.25">
      <c r="BT116" s="206"/>
      <c r="BU116" s="206"/>
      <c r="BV116" s="206"/>
      <c r="BW116" s="206"/>
      <c r="BY116" s="299"/>
      <c r="BZ116" s="299"/>
      <c r="CA116" s="299"/>
      <c r="CB116" s="299"/>
      <c r="CO116" s="360"/>
      <c r="CU116" s="206"/>
      <c r="CV116" s="206"/>
      <c r="CW116" s="206"/>
      <c r="CX116" s="206"/>
      <c r="CY116" s="206"/>
      <c r="CZ116" s="206"/>
      <c r="DA116" s="206"/>
    </row>
    <row r="117" spans="72:105" x14ac:dyDescent="0.25">
      <c r="BT117" s="206"/>
      <c r="BU117" s="206"/>
      <c r="BV117" s="206"/>
      <c r="BW117" s="206"/>
      <c r="BY117" s="299"/>
      <c r="BZ117" s="299"/>
      <c r="CA117" s="299"/>
      <c r="CB117" s="299"/>
      <c r="CO117" s="360"/>
      <c r="CU117" s="206"/>
      <c r="CV117" s="206"/>
      <c r="CW117" s="206"/>
      <c r="CX117" s="206"/>
      <c r="CY117" s="206"/>
      <c r="CZ117" s="206"/>
      <c r="DA117" s="206"/>
    </row>
    <row r="118" spans="72:105" x14ac:dyDescent="0.25">
      <c r="BT118" s="206"/>
      <c r="BU118" s="206"/>
      <c r="BV118" s="206"/>
      <c r="BW118" s="206"/>
      <c r="BY118" s="299"/>
      <c r="BZ118" s="299"/>
      <c r="CA118" s="299"/>
      <c r="CB118" s="299"/>
      <c r="CO118" s="360"/>
      <c r="CU118" s="206"/>
      <c r="CV118" s="206"/>
      <c r="CW118" s="206"/>
      <c r="CX118" s="206"/>
      <c r="CY118" s="206"/>
      <c r="CZ118" s="206"/>
      <c r="DA118" s="206"/>
    </row>
    <row r="119" spans="72:105" x14ac:dyDescent="0.25">
      <c r="BT119" s="206"/>
      <c r="BU119" s="206"/>
      <c r="BV119" s="206"/>
      <c r="BW119" s="206"/>
      <c r="BY119" s="299"/>
      <c r="BZ119" s="299"/>
      <c r="CA119" s="299"/>
      <c r="CB119" s="299"/>
      <c r="CO119" s="360"/>
      <c r="CU119" s="206"/>
      <c r="CV119" s="206"/>
      <c r="CW119" s="206"/>
      <c r="CX119" s="206"/>
      <c r="CY119" s="206"/>
      <c r="CZ119" s="206"/>
      <c r="DA119" s="206"/>
    </row>
    <row r="120" spans="72:105" x14ac:dyDescent="0.25">
      <c r="BT120" s="206"/>
      <c r="BU120" s="206"/>
      <c r="BV120" s="206"/>
      <c r="BW120" s="206"/>
      <c r="BY120" s="299"/>
      <c r="BZ120" s="299"/>
      <c r="CA120" s="299"/>
      <c r="CB120" s="299"/>
      <c r="CO120" s="360"/>
      <c r="CU120" s="206"/>
      <c r="CV120" s="206"/>
      <c r="CW120" s="206"/>
      <c r="CX120" s="206"/>
      <c r="CY120" s="206"/>
      <c r="CZ120" s="206"/>
      <c r="DA120" s="206"/>
    </row>
    <row r="121" spans="72:105" x14ac:dyDescent="0.25">
      <c r="BT121" s="206"/>
      <c r="BU121" s="206"/>
      <c r="BV121" s="206"/>
      <c r="BW121" s="206"/>
      <c r="BY121" s="299"/>
      <c r="BZ121" s="299"/>
      <c r="CA121" s="299"/>
      <c r="CB121" s="299"/>
      <c r="CO121" s="360"/>
      <c r="CU121" s="206"/>
      <c r="CV121" s="206"/>
      <c r="CW121" s="206"/>
      <c r="CX121" s="206"/>
      <c r="CY121" s="206"/>
      <c r="CZ121" s="206"/>
      <c r="DA121" s="206"/>
    </row>
    <row r="122" spans="72:105" x14ac:dyDescent="0.25">
      <c r="BT122" s="206"/>
      <c r="BU122" s="206"/>
      <c r="BV122" s="206"/>
      <c r="BW122" s="206"/>
      <c r="BY122" s="299"/>
      <c r="BZ122" s="299"/>
      <c r="CA122" s="299"/>
      <c r="CB122" s="299"/>
      <c r="CO122" s="360"/>
      <c r="CU122" s="206"/>
      <c r="CV122" s="206"/>
      <c r="CW122" s="206"/>
      <c r="CX122" s="206"/>
      <c r="CY122" s="206"/>
      <c r="CZ122" s="206"/>
      <c r="DA122" s="206"/>
    </row>
    <row r="123" spans="72:105" x14ac:dyDescent="0.25">
      <c r="BT123" s="206"/>
      <c r="BU123" s="206"/>
      <c r="BV123" s="206"/>
      <c r="BW123" s="206"/>
      <c r="BY123" s="299"/>
      <c r="BZ123" s="299"/>
      <c r="CA123" s="299"/>
      <c r="CB123" s="299"/>
      <c r="CO123" s="360"/>
      <c r="CU123" s="206"/>
      <c r="CV123" s="206"/>
      <c r="CW123" s="206"/>
      <c r="CX123" s="206"/>
      <c r="CY123" s="206"/>
      <c r="CZ123" s="206"/>
      <c r="DA123" s="206"/>
    </row>
    <row r="124" spans="72:105" x14ac:dyDescent="0.25">
      <c r="BT124" s="206"/>
      <c r="BU124" s="206"/>
      <c r="BV124" s="206"/>
      <c r="BW124" s="206"/>
      <c r="BY124" s="299"/>
      <c r="BZ124" s="299"/>
      <c r="CA124" s="299"/>
      <c r="CB124" s="299"/>
      <c r="CO124" s="360"/>
      <c r="CU124" s="206"/>
      <c r="CV124" s="206"/>
      <c r="CW124" s="206"/>
      <c r="CX124" s="206"/>
      <c r="CY124" s="206"/>
      <c r="CZ124" s="206"/>
      <c r="DA124" s="206"/>
    </row>
    <row r="125" spans="72:105" x14ac:dyDescent="0.25">
      <c r="BT125" s="206"/>
      <c r="BU125" s="206"/>
      <c r="BV125" s="206"/>
      <c r="BW125" s="206"/>
      <c r="BY125" s="298"/>
      <c r="BZ125" s="298"/>
      <c r="CA125" s="298"/>
      <c r="CB125" s="298"/>
      <c r="CO125" s="360"/>
      <c r="CU125" s="206"/>
      <c r="CV125" s="206"/>
      <c r="CW125" s="206"/>
      <c r="CX125" s="206"/>
      <c r="CY125" s="206"/>
      <c r="CZ125" s="206"/>
      <c r="DA125" s="206"/>
    </row>
    <row r="126" spans="72:105" x14ac:dyDescent="0.25">
      <c r="BT126" s="206"/>
      <c r="BU126" s="206"/>
      <c r="BV126" s="206"/>
      <c r="BW126" s="206"/>
      <c r="BY126" s="206"/>
      <c r="BZ126" s="206"/>
      <c r="CA126" s="206"/>
      <c r="CB126" s="206"/>
      <c r="CO126" s="360"/>
      <c r="CU126" s="206"/>
      <c r="CV126" s="206"/>
      <c r="CW126" s="206"/>
      <c r="CX126" s="206"/>
      <c r="CY126" s="206"/>
      <c r="CZ126" s="206"/>
      <c r="DA126" s="206"/>
    </row>
    <row r="127" spans="72:105" x14ac:dyDescent="0.25">
      <c r="BT127" s="206"/>
      <c r="BU127" s="206"/>
      <c r="BV127" s="206"/>
      <c r="BW127" s="206"/>
      <c r="BY127" s="206"/>
      <c r="BZ127" s="206"/>
      <c r="CA127" s="206"/>
      <c r="CB127" s="206"/>
      <c r="CO127" s="360"/>
      <c r="CU127" s="206"/>
      <c r="CV127" s="206"/>
      <c r="CW127" s="206"/>
      <c r="CX127" s="206"/>
      <c r="CY127" s="206"/>
      <c r="CZ127" s="206"/>
      <c r="DA127" s="206"/>
    </row>
    <row r="128" spans="72:105" x14ac:dyDescent="0.25">
      <c r="CO128" s="360"/>
    </row>
  </sheetData>
  <dataValidations disablePrompts="1" count="2">
    <dataValidation type="list" allowBlank="1" showInputMessage="1" showErrorMessage="1" sqref="BV6">
      <formula1>"True,False"</formula1>
    </dataValidation>
    <dataValidation type="list" allowBlank="1" showInputMessage="1" showErrorMessage="1" sqref="H6 S6 AD6 AZ6 AO6 BK6 CE6 CK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CZ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9.57031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13.85546875" customWidth="1"/>
    <col min="23" max="23" width="41.7109375" bestFit="1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14.425781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4.28515625" hidden="1" customWidth="1" outlineLevel="2"/>
    <col min="45" max="48" width="10.7109375" hidden="1" customWidth="1" outlineLevel="2"/>
    <col min="49" max="49" width="9.140625" collapsed="1"/>
    <col min="50" max="50" width="9.140625" hidden="1" customWidth="1" outlineLevel="2"/>
    <col min="51" max="51" width="30.7109375" hidden="1" customWidth="1" outlineLevel="2"/>
    <col min="52" max="52" width="40.7109375" hidden="1" customWidth="1" outlineLevel="2"/>
    <col min="53" max="53" width="9.140625" hidden="1" customWidth="1" outlineLevel="2"/>
    <col min="54" max="54" width="0" hidden="1" customWidth="1" outlineLevel="2"/>
    <col min="55" max="55" width="14.28515625" hidden="1" customWidth="1" outlineLevel="2"/>
    <col min="56" max="59" width="10.7109375" hidden="1" customWidth="1" outlineLevel="2"/>
    <col min="60" max="60" width="9.140625" collapsed="1"/>
    <col min="61" max="61" width="9.140625" customWidth="1" outlineLevel="1"/>
    <col min="62" max="62" width="30.7109375" customWidth="1" outlineLevel="1"/>
    <col min="63" max="63" width="25.140625" bestFit="1" customWidth="1" outlineLevel="1"/>
    <col min="64" max="64" width="9.140625" customWidth="1" outlineLevel="1"/>
    <col min="66" max="66" width="14.42578125" customWidth="1"/>
    <col min="67" max="67" width="19" customWidth="1"/>
    <col min="68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12.85546875" customWidth="1"/>
    <col min="79" max="79" width="10.7109375" customWidth="1"/>
    <col min="80" max="80" width="9.140625" customWidth="1"/>
    <col min="81" max="81" width="8.28515625" customWidth="1"/>
    <col min="82" max="83" width="20.7109375" customWidth="1"/>
    <col min="84" max="84" width="9.7109375" customWidth="1"/>
    <col min="85" max="85" width="9.140625" customWidth="1"/>
    <col min="86" max="86" width="20.7109375" customWidth="1"/>
    <col min="87" max="87" width="8.5703125" customWidth="1"/>
    <col min="88" max="88" width="28" customWidth="1"/>
    <col min="89" max="89" width="20.7109375" customWidth="1"/>
    <col min="90" max="90" width="7.5703125" customWidth="1"/>
    <col min="91" max="91" width="20.7109375" customWidth="1"/>
    <col min="92" max="92" width="9.140625" customWidth="1"/>
  </cols>
  <sheetData>
    <row r="1" spans="1:96" x14ac:dyDescent="0.25">
      <c r="A1" s="2" t="s">
        <v>264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M1" s="206"/>
      <c r="CN1" s="300"/>
      <c r="CO1" s="206"/>
      <c r="CP1" s="206"/>
      <c r="CQ1" s="206"/>
      <c r="CR1" s="206"/>
    </row>
    <row r="2" spans="1:96" x14ac:dyDescent="0.25">
      <c r="F2" s="237" t="s">
        <v>712</v>
      </c>
      <c r="K2" s="2" t="str">
        <f>A1&amp;"_OIS"</f>
        <v>TRY_OIS</v>
      </c>
      <c r="L2" s="5"/>
      <c r="M2" s="5"/>
      <c r="N2" s="5"/>
      <c r="O2" s="5"/>
      <c r="Q2" s="237"/>
      <c r="V2" s="2" t="str">
        <f>A1&amp;"_SWAP_3M"</f>
        <v>TRY_SWAP_3M</v>
      </c>
      <c r="W2" s="5"/>
      <c r="X2" s="5"/>
      <c r="Z2" s="5"/>
      <c r="AB2" s="237"/>
      <c r="AG2" s="2" t="str">
        <f>A1&amp;"_BASIS_6M"</f>
        <v>TRY_BASIS_6M</v>
      </c>
      <c r="AH2" s="5"/>
      <c r="AI2" s="5"/>
      <c r="AJ2" s="5"/>
      <c r="AK2" s="5"/>
      <c r="AR2" t="str">
        <f>A1&amp;"_BASIS_12M"</f>
        <v>TRY_BASIS_12M</v>
      </c>
      <c r="BC2" t="str">
        <f>A1&amp;"_BASIS_1M"</f>
        <v>TRY_BASIS_1M</v>
      </c>
      <c r="BN2" s="2" t="str">
        <f>A1&amp;"_XCCYBASIS"</f>
        <v>TRY_XCCYBASIS</v>
      </c>
      <c r="BO2" s="5"/>
      <c r="BP2" s="5"/>
      <c r="BQ2" s="5"/>
      <c r="BR2" s="5"/>
      <c r="CM2" s="308"/>
      <c r="CN2" s="300"/>
      <c r="CO2" s="206"/>
      <c r="CP2" s="206"/>
      <c r="CQ2" s="206"/>
      <c r="CR2" s="206"/>
    </row>
    <row r="3" spans="1:96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9"/>
      <c r="CM3" s="286"/>
      <c r="CN3" s="300"/>
      <c r="CO3" s="206"/>
      <c r="CP3" s="206"/>
      <c r="CQ3" s="206"/>
      <c r="CR3" s="206"/>
    </row>
    <row r="4" spans="1:96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3"/>
      <c r="CM4" s="286"/>
      <c r="CN4" s="300"/>
      <c r="CO4" s="206"/>
      <c r="CP4" s="206"/>
      <c r="CQ4" s="206"/>
      <c r="CR4" s="206"/>
    </row>
    <row r="5" spans="1:96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Y5" s="54" t="s">
        <v>822</v>
      </c>
      <c r="BZ5" s="262"/>
      <c r="CC5" s="50"/>
      <c r="CD5" s="54" t="s">
        <v>1140</v>
      </c>
      <c r="CE5" s="228"/>
      <c r="CF5" s="53"/>
      <c r="CI5" s="50"/>
      <c r="CJ5" s="54" t="s">
        <v>1140</v>
      </c>
      <c r="CK5" s="228"/>
      <c r="CL5" s="53"/>
      <c r="CM5" s="286"/>
      <c r="CN5" s="300"/>
      <c r="CO5" s="206"/>
      <c r="CP5" s="206"/>
      <c r="CQ5" s="206"/>
      <c r="CR5" s="206"/>
    </row>
    <row r="6" spans="1:96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0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3"/>
      <c r="CM6" s="286"/>
      <c r="CN6" s="300"/>
      <c r="CO6" s="206"/>
      <c r="CP6" s="206"/>
      <c r="CQ6" s="206"/>
      <c r="CR6" s="206"/>
    </row>
    <row r="7" spans="1:96" x14ac:dyDescent="0.25">
      <c r="F7" s="50"/>
      <c r="G7" s="59" t="s">
        <v>711</v>
      </c>
      <c r="H7" s="211" t="str">
        <f>$A$1&amp;"_OIS"</f>
        <v>TRY_OIS</v>
      </c>
      <c r="I7" s="53"/>
      <c r="K7" t="s">
        <v>298</v>
      </c>
      <c r="L7" s="358">
        <f>O7+N7/10000</f>
        <v>9.9628999999999995E-2</v>
      </c>
      <c r="M7" s="5" t="b">
        <v>1</v>
      </c>
      <c r="N7" s="5">
        <f>$N$4</f>
        <v>0</v>
      </c>
      <c r="O7" s="5">
        <f>TRY_DATA!M7</f>
        <v>9.9628999999999995E-2</v>
      </c>
      <c r="Q7" s="50"/>
      <c r="R7" s="59" t="s">
        <v>711</v>
      </c>
      <c r="S7" s="211" t="str">
        <f>$A$1&amp;"_SWAP_"&amp;"3M"</f>
        <v>TRY_SWAP_3M</v>
      </c>
      <c r="T7" s="53"/>
      <c r="V7" t="s">
        <v>298</v>
      </c>
      <c r="W7" s="367">
        <f t="shared" ref="W7:W21" si="0">Z7+Y7/10000</f>
        <v>0.11122</v>
      </c>
      <c r="X7" s="5" t="b">
        <v>0</v>
      </c>
      <c r="Y7" s="5">
        <f t="shared" ref="Y7:Y21" si="1">$Y$4</f>
        <v>0</v>
      </c>
      <c r="Z7" s="368">
        <f>TRY_DATA!U7</f>
        <v>0.11122</v>
      </c>
      <c r="AA7" s="203"/>
      <c r="AB7" s="50"/>
      <c r="AC7" s="59" t="s">
        <v>711</v>
      </c>
      <c r="AD7" s="211" t="str">
        <f>$A$1&amp;"_BASIS_3M6M"</f>
        <v>TRY_BASIS_3M6M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RUB_DATA!Z7</f>
        <v>1E-3</v>
      </c>
      <c r="AL7" s="207"/>
      <c r="AM7" s="50"/>
      <c r="AN7" s="59" t="s">
        <v>711</v>
      </c>
      <c r="AO7" s="211" t="str">
        <f>A1&amp;"_BASIS_3X12"</f>
        <v>TRY_BASIS_3X12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TRY_BASIS_1X3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TRY_XCCY</v>
      </c>
      <c r="BL7" s="53"/>
      <c r="BN7" t="s">
        <v>2</v>
      </c>
      <c r="BO7" s="5" t="s">
        <v>264</v>
      </c>
      <c r="BP7" s="5">
        <f>FX!U2</f>
        <v>7.4934000000000003</v>
      </c>
      <c r="BQ7" s="5"/>
      <c r="BR7" s="391"/>
      <c r="BT7" s="50"/>
      <c r="BU7" s="270" t="s">
        <v>830</v>
      </c>
      <c r="BV7" s="271" t="str">
        <f>"FX_CURVE_"&amp;"USD"&amp;$A$1</f>
        <v>FX_CURVE_USDTRY</v>
      </c>
      <c r="BW7" s="52"/>
      <c r="BX7" s="299"/>
      <c r="BY7" t="s">
        <v>836</v>
      </c>
      <c r="BZ7" s="296">
        <f>TRY_DATA!AW7</f>
        <v>7.4916999999999998</v>
      </c>
      <c r="CA7" s="296">
        <f>TRY_DATA!AX7</f>
        <v>7.4950999999999999</v>
      </c>
      <c r="CC7" s="50"/>
      <c r="CD7" s="59" t="s">
        <v>711</v>
      </c>
      <c r="CE7" s="211" t="str">
        <f>$A$1&amp;"_EURCSA"</f>
        <v>TRY_EURCSA</v>
      </c>
      <c r="CF7" s="53"/>
      <c r="CI7" s="50"/>
      <c r="CJ7" s="59" t="s">
        <v>711</v>
      </c>
      <c r="CK7" s="211" t="str">
        <f>$A$1&amp;"_JPYCSA"</f>
        <v>TRY_JPYCSA</v>
      </c>
      <c r="CL7" s="53"/>
      <c r="CM7" s="286"/>
      <c r="CN7" s="300"/>
      <c r="CO7" s="206"/>
      <c r="CP7" s="206"/>
      <c r="CQ7" s="206"/>
      <c r="CR7" s="206"/>
    </row>
    <row r="8" spans="1:96" x14ac:dyDescent="0.25">
      <c r="F8" s="50"/>
      <c r="G8" s="72" t="s">
        <v>670</v>
      </c>
      <c r="H8" s="35" t="str">
        <f>IF(H$6,_xll.meLWOCurveGeneratorCreate(H$7,"CURVEPROPERTIES",G12:H18,"OIS",G23:H37),"Disabled")</f>
        <v>TRY_OIS@330:6</v>
      </c>
      <c r="I8" s="53" t="s">
        <v>424</v>
      </c>
      <c r="K8" t="s">
        <v>305</v>
      </c>
      <c r="L8" s="648">
        <f t="shared" ref="L8:L24" si="2">O8+N8/10000</f>
        <v>0.10249999999999999</v>
      </c>
      <c r="M8" s="5" t="b">
        <v>1</v>
      </c>
      <c r="N8" s="5">
        <f t="shared" ref="N8:N26" si="3">$N$4</f>
        <v>0</v>
      </c>
      <c r="O8" s="5">
        <f>TRY_DATA!M8</f>
        <v>0.10249999999999999</v>
      </c>
      <c r="Q8" s="50"/>
      <c r="R8" s="72" t="s">
        <v>670</v>
      </c>
      <c r="S8" s="35" t="str">
        <f>IF(S$6,_xll.meLWOCurveGeneratorCreate(S$7,"CURVEPROPERTIES",R12:S25,"MONEYMARKET",R28:S30,"LIBORFIXINGS",R33:S37,"FRAS",R40:S45,"FUTURES",R48:S54,"SWAPS",R57:S70),"Disabled")</f>
        <v>TRY_SWAP_3M@334:6</v>
      </c>
      <c r="T8" s="53" t="s">
        <v>424</v>
      </c>
      <c r="V8" t="s">
        <v>300</v>
      </c>
      <c r="W8" s="367">
        <f t="shared" si="0"/>
        <v>0.11122</v>
      </c>
      <c r="X8" s="5" t="b">
        <v>0</v>
      </c>
      <c r="Y8" s="5">
        <f t="shared" si="1"/>
        <v>0</v>
      </c>
      <c r="Z8" s="368">
        <f>TRY_DATA!U7</f>
        <v>0.11122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TRY_BASIS_3M6M@333:6</v>
      </c>
      <c r="AE8" s="53" t="s">
        <v>424</v>
      </c>
      <c r="AG8" t="s">
        <v>308</v>
      </c>
      <c r="AH8" s="358">
        <f t="shared" ref="AH8:AH16" si="4">AK8+AJ8/10000</f>
        <v>1E-3</v>
      </c>
      <c r="AI8" s="5" t="b">
        <v>1</v>
      </c>
      <c r="AJ8" s="5">
        <f t="shared" ref="AJ8:AJ16" si="5">$AJ$4</f>
        <v>0</v>
      </c>
      <c r="AK8" s="357">
        <f>RUB_DATA!Z8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Disabled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TRY_BASIS_1X3@303:7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TRY_XCCY@331:6</v>
      </c>
      <c r="BL8" s="53" t="s">
        <v>424</v>
      </c>
      <c r="BN8" t="s">
        <v>298</v>
      </c>
      <c r="BO8" s="5">
        <f>BR8</f>
        <v>16.489999999999998</v>
      </c>
      <c r="BP8" s="5" t="b">
        <v>1</v>
      </c>
      <c r="BQ8" s="5"/>
      <c r="BR8" s="391">
        <f>TRY_DATA!AZ8</f>
        <v>16.489999999999998</v>
      </c>
      <c r="BT8" s="50"/>
      <c r="BU8" t="s">
        <v>670</v>
      </c>
      <c r="BV8" s="263" t="str">
        <f>IF(BV6,_xll.meLWOCurveGeneratorCreate(BV7,"CURVEPROPERTIES",BU12:BV15,"FXFWDS",BU20:BV25),"DISABLED")</f>
        <v>FX_CURVE_USDTRY@332:6</v>
      </c>
      <c r="BW8" s="52"/>
      <c r="BX8" s="299"/>
      <c r="BY8" s="15" t="s">
        <v>298</v>
      </c>
      <c r="BZ8" s="593">
        <f>TRY_DATA!AW8</f>
        <v>13.42</v>
      </c>
      <c r="CA8" s="593">
        <f>TRY_DATA!AX8</f>
        <v>18.52</v>
      </c>
      <c r="CC8" s="50"/>
      <c r="CD8" s="72" t="s">
        <v>670</v>
      </c>
      <c r="CE8" s="35" t="str">
        <f>IF(CE$6,_xll.meLWOCurveGeneratorCreate(CE$7,"CURVEPROPERTIES",CD12:CE20,"FWDFXCONST",CD27:CE31),"Disabled")</f>
        <v>TRY_EURCSA@329:6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TRY_JPYCSA@335:6</v>
      </c>
      <c r="CL8" s="53" t="s">
        <v>424</v>
      </c>
      <c r="CM8" s="286"/>
      <c r="CN8" s="300"/>
      <c r="CO8" s="206"/>
      <c r="CP8" s="206"/>
      <c r="CQ8" s="206"/>
      <c r="CR8" s="206"/>
    </row>
    <row r="9" spans="1:96" x14ac:dyDescent="0.25">
      <c r="F9" s="50"/>
      <c r="G9" s="289"/>
      <c r="H9" s="289"/>
      <c r="I9" s="53" t="s">
        <v>424</v>
      </c>
      <c r="K9" t="s">
        <v>313</v>
      </c>
      <c r="L9" s="648">
        <f t="shared" si="2"/>
        <v>0.10249999999999999</v>
      </c>
      <c r="M9" s="5" t="b">
        <v>1</v>
      </c>
      <c r="N9" s="5">
        <f t="shared" si="3"/>
        <v>0</v>
      </c>
      <c r="O9" s="5">
        <f>TRY_DATA!M9</f>
        <v>0.10249999999999999</v>
      </c>
      <c r="Q9" s="50"/>
      <c r="R9" s="52"/>
      <c r="S9" s="52"/>
      <c r="T9" s="53"/>
      <c r="V9" t="s">
        <v>49</v>
      </c>
      <c r="W9" s="367">
        <f t="shared" si="0"/>
        <v>0.12</v>
      </c>
      <c r="X9" s="5" t="b">
        <v>1</v>
      </c>
      <c r="Y9" s="5">
        <f t="shared" si="1"/>
        <v>0</v>
      </c>
      <c r="Z9" s="368">
        <f>TRY_DATA!U8</f>
        <v>0.12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RUB_DATA!Z9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5">
        <f t="shared" ref="BO9:BO16" si="6">BR9</f>
        <v>18.579999999999998</v>
      </c>
      <c r="BP9" s="5" t="b">
        <v>1</v>
      </c>
      <c r="BQ9" s="5"/>
      <c r="BR9" s="391">
        <f>TRY_DATA!AZ9</f>
        <v>18.579999999999998</v>
      </c>
      <c r="BT9" s="50"/>
      <c r="BU9" s="57"/>
      <c r="BV9" s="57"/>
      <c r="BW9" s="52"/>
      <c r="BX9" s="299"/>
      <c r="BY9" s="25" t="s">
        <v>506</v>
      </c>
      <c r="BZ9" s="593">
        <f>TRY_DATA!AW9</f>
        <v>15.32</v>
      </c>
      <c r="CA9" s="593">
        <f>TRY_DATA!AX9</f>
        <v>19.95</v>
      </c>
      <c r="CC9" s="50"/>
      <c r="CD9" s="52"/>
      <c r="CE9" s="52"/>
      <c r="CF9" s="53"/>
      <c r="CI9" s="50"/>
      <c r="CJ9" s="52"/>
      <c r="CK9" s="52"/>
      <c r="CL9" s="53"/>
      <c r="CM9" s="286"/>
      <c r="CN9" s="300"/>
      <c r="CO9" s="206"/>
      <c r="CP9" s="206"/>
      <c r="CQ9" s="206"/>
      <c r="CR9" s="206"/>
    </row>
    <row r="10" spans="1:96" x14ac:dyDescent="0.25">
      <c r="F10" s="50"/>
      <c r="G10" s="289"/>
      <c r="H10" s="289"/>
      <c r="I10" s="53"/>
      <c r="K10" t="s">
        <v>300</v>
      </c>
      <c r="L10" s="648">
        <f t="shared" si="2"/>
        <v>0.107</v>
      </c>
      <c r="M10" s="5" t="b">
        <v>1</v>
      </c>
      <c r="N10" s="5">
        <f t="shared" si="3"/>
        <v>0</v>
      </c>
      <c r="O10" s="5">
        <f>TRY_DATA!M10</f>
        <v>0.107</v>
      </c>
      <c r="Q10" s="50"/>
      <c r="R10" s="52"/>
      <c r="S10" s="52"/>
      <c r="T10" s="53"/>
      <c r="V10" t="s">
        <v>46</v>
      </c>
      <c r="W10" s="367">
        <f t="shared" si="0"/>
        <v>0.12167600000000001</v>
      </c>
      <c r="X10" s="5" t="b">
        <v>0</v>
      </c>
      <c r="Y10" s="5">
        <f t="shared" si="1"/>
        <v>0</v>
      </c>
      <c r="Z10" s="368">
        <f>TRY_DATA!U9</f>
        <v>0.12167600000000001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RUB_DATA!Z10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5">
        <f t="shared" si="6"/>
        <v>179.5</v>
      </c>
      <c r="BP10" s="5" t="b">
        <v>1</v>
      </c>
      <c r="BQ10" s="5"/>
      <c r="BR10" s="391">
        <f>TRY_DATA!AZ10</f>
        <v>179.5</v>
      </c>
      <c r="BT10" s="50"/>
      <c r="BU10" s="57"/>
      <c r="BV10" s="57"/>
      <c r="BW10" s="52"/>
      <c r="BX10" s="299"/>
      <c r="BY10" s="25" t="s">
        <v>305</v>
      </c>
      <c r="BZ10" s="593">
        <f>TRY_DATA!AW10</f>
        <v>150.81</v>
      </c>
      <c r="CA10" s="593">
        <f>TRY_DATA!AX10</f>
        <v>207.59</v>
      </c>
      <c r="CC10" s="50"/>
      <c r="CD10" s="52"/>
      <c r="CE10" s="52"/>
      <c r="CF10" s="53"/>
      <c r="CI10" s="50"/>
      <c r="CJ10" s="52"/>
      <c r="CK10" s="52"/>
      <c r="CL10" s="53"/>
      <c r="CM10" s="286"/>
      <c r="CN10" s="300"/>
      <c r="CO10" s="206"/>
      <c r="CP10" s="206"/>
      <c r="CQ10" s="206"/>
      <c r="CR10" s="206"/>
    </row>
    <row r="11" spans="1:96" x14ac:dyDescent="0.25">
      <c r="F11" s="50"/>
      <c r="G11" s="54" t="s">
        <v>671</v>
      </c>
      <c r="H11" s="52"/>
      <c r="I11" s="53"/>
      <c r="K11" t="s">
        <v>335</v>
      </c>
      <c r="L11" s="648">
        <f t="shared" si="2"/>
        <v>0.11349999999999999</v>
      </c>
      <c r="M11" s="5" t="b">
        <v>1</v>
      </c>
      <c r="N11" s="5">
        <f t="shared" si="3"/>
        <v>0</v>
      </c>
      <c r="O11" s="5">
        <f>TRY_DATA!M11</f>
        <v>0.11349999999999999</v>
      </c>
      <c r="Q11" s="50"/>
      <c r="R11" s="54" t="s">
        <v>671</v>
      </c>
      <c r="S11" s="52" t="s">
        <v>713</v>
      </c>
      <c r="T11" s="53"/>
      <c r="V11" t="s">
        <v>376</v>
      </c>
      <c r="W11" s="367">
        <f t="shared" si="0"/>
        <v>0.12231199999999999</v>
      </c>
      <c r="X11" s="5" t="b">
        <v>0</v>
      </c>
      <c r="Y11" s="5">
        <f t="shared" si="1"/>
        <v>0</v>
      </c>
      <c r="Z11" s="368">
        <f>TRY_DATA!U10</f>
        <v>0.12231199999999999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RUB_DATA!Z11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313</v>
      </c>
      <c r="BO11" s="5">
        <f t="shared" si="6"/>
        <v>384.14</v>
      </c>
      <c r="BP11" s="5" t="b">
        <v>1</v>
      </c>
      <c r="BQ11" s="5"/>
      <c r="BR11" s="391">
        <f>TRY_DATA!AZ11</f>
        <v>384.14</v>
      </c>
      <c r="BT11" s="50"/>
      <c r="BU11" s="56" t="s">
        <v>671</v>
      </c>
      <c r="BV11" s="272" t="s">
        <v>825</v>
      </c>
      <c r="BW11" s="52"/>
      <c r="BX11" s="299"/>
      <c r="BY11" s="25" t="s">
        <v>313</v>
      </c>
      <c r="BZ11" s="593">
        <f>TRY_DATA!AW11</f>
        <v>329.02</v>
      </c>
      <c r="CA11" s="593">
        <f>TRY_DATA!AX11</f>
        <v>445.33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M11" s="286"/>
      <c r="CN11" s="300"/>
      <c r="CO11" s="206"/>
      <c r="CP11" s="206"/>
      <c r="CQ11" s="206"/>
      <c r="CR11" s="206"/>
    </row>
    <row r="12" spans="1:96" x14ac:dyDescent="0.25">
      <c r="F12" s="50"/>
      <c r="G12" s="212" t="s">
        <v>435</v>
      </c>
      <c r="H12" s="213" t="s">
        <v>426</v>
      </c>
      <c r="I12" s="53"/>
      <c r="K12" t="s">
        <v>49</v>
      </c>
      <c r="L12" s="648">
        <f t="shared" si="2"/>
        <v>0.12300000000000001</v>
      </c>
      <c r="M12" s="5" t="b">
        <v>1</v>
      </c>
      <c r="N12" s="5">
        <f t="shared" si="3"/>
        <v>0</v>
      </c>
      <c r="O12" s="5">
        <f>TRY_DATA!M12</f>
        <v>0.12300000000000001</v>
      </c>
      <c r="Q12" s="50"/>
      <c r="R12" s="220" t="s">
        <v>435</v>
      </c>
      <c r="S12" s="221" t="s">
        <v>463</v>
      </c>
      <c r="T12" s="53"/>
      <c r="V12" t="s">
        <v>47</v>
      </c>
      <c r="W12" s="367">
        <f t="shared" si="0"/>
        <v>0.1295</v>
      </c>
      <c r="X12" s="5" t="b">
        <v>1</v>
      </c>
      <c r="Y12" s="5">
        <f t="shared" si="1"/>
        <v>0</v>
      </c>
      <c r="Z12" s="368">
        <f>TRY_DATA!U11</f>
        <v>0.1295</v>
      </c>
      <c r="AA12" s="203"/>
      <c r="AB12" s="50"/>
      <c r="AC12" s="220" t="s">
        <v>434</v>
      </c>
      <c r="AD12" s="238" t="str">
        <f>$A$1</f>
        <v>TRY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RUB_DATA!Z12</f>
        <v>1E-3</v>
      </c>
      <c r="AL12" s="207"/>
      <c r="AM12" s="50"/>
      <c r="AN12" s="220" t="s">
        <v>434</v>
      </c>
      <c r="AO12" s="238" t="str">
        <f>$A$1</f>
        <v>TRY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$A$1</f>
        <v>TRY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6"/>
        <v>1049.7</v>
      </c>
      <c r="BP12" s="5" t="b">
        <v>1</v>
      </c>
      <c r="BQ12" s="5"/>
      <c r="BR12" s="391">
        <f>TRY_DATA!AZ12</f>
        <v>1049.7</v>
      </c>
      <c r="BT12" s="50"/>
      <c r="BU12" s="238" t="s">
        <v>434</v>
      </c>
      <c r="BV12" s="238" t="s">
        <v>967</v>
      </c>
      <c r="BW12" s="52"/>
      <c r="BX12" s="299"/>
      <c r="BY12" s="25" t="s">
        <v>300</v>
      </c>
      <c r="BZ12" s="593">
        <f>TRY_DATA!AW12</f>
        <v>957.85</v>
      </c>
      <c r="CA12" s="593">
        <f>TRY_DATA!AX12</f>
        <v>1141.55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M12" s="286"/>
      <c r="CN12" s="300"/>
      <c r="CO12" s="206"/>
      <c r="CP12" s="206"/>
      <c r="CQ12" s="206"/>
      <c r="CR12" s="206"/>
    </row>
    <row r="13" spans="1:96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46</v>
      </c>
      <c r="L13" s="648">
        <f t="shared" si="2"/>
        <v>0.13619999999999999</v>
      </c>
      <c r="M13" s="5" t="b">
        <v>1</v>
      </c>
      <c r="N13" s="5">
        <f t="shared" si="3"/>
        <v>0</v>
      </c>
      <c r="O13" s="5">
        <f>TRY_DATA!M13</f>
        <v>0.13619999999999999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308</v>
      </c>
      <c r="W13" s="367">
        <f t="shared" si="0"/>
        <v>0.13930000000000001</v>
      </c>
      <c r="X13" s="5" t="b">
        <v>1</v>
      </c>
      <c r="Y13" s="5">
        <f t="shared" si="1"/>
        <v>0</v>
      </c>
      <c r="Z13" s="368">
        <f>TRY_DATA!U12</f>
        <v>0.13930000000000001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RUB_DATA!Z13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">
        <v>1077</v>
      </c>
      <c r="BL13" s="53"/>
      <c r="BN13" t="s">
        <v>335</v>
      </c>
      <c r="BO13" s="5">
        <f t="shared" si="6"/>
        <v>1941.25</v>
      </c>
      <c r="BP13" s="5" t="b">
        <v>1</v>
      </c>
      <c r="BQ13" s="5"/>
      <c r="BR13" s="391">
        <f>TRY_DATA!AZ13</f>
        <v>1941.25</v>
      </c>
      <c r="BT13" s="50"/>
      <c r="BU13" s="216" t="s">
        <v>724</v>
      </c>
      <c r="BV13" s="216" t="s">
        <v>1568</v>
      </c>
      <c r="BW13" s="52"/>
      <c r="BX13" s="299"/>
      <c r="BY13" s="25" t="s">
        <v>335</v>
      </c>
      <c r="BZ13" s="593">
        <f>TRY_DATA!AW13</f>
        <v>1815.03</v>
      </c>
      <c r="CA13" s="593">
        <f>TRY_DATA!AX13</f>
        <v>2067.4699999999998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M13" s="286"/>
      <c r="CN13" s="300"/>
      <c r="CO13" s="206"/>
      <c r="CP13" s="206"/>
      <c r="CQ13" s="206"/>
      <c r="CR13" s="206"/>
    </row>
    <row r="14" spans="1:96" x14ac:dyDescent="0.25">
      <c r="F14" s="50"/>
      <c r="G14" s="214" t="s">
        <v>672</v>
      </c>
      <c r="H14" s="215" t="s">
        <v>426</v>
      </c>
      <c r="I14" s="53"/>
      <c r="K14" t="s">
        <v>376</v>
      </c>
      <c r="L14" s="648">
        <f t="shared" si="2"/>
        <v>0.1406</v>
      </c>
      <c r="M14" s="5" t="b">
        <v>1</v>
      </c>
      <c r="N14" s="5">
        <f t="shared" si="3"/>
        <v>0</v>
      </c>
      <c r="O14" s="5">
        <f>TRY_DATA!M14</f>
        <v>0.1406</v>
      </c>
      <c r="Q14" s="50"/>
      <c r="R14" s="222" t="s">
        <v>672</v>
      </c>
      <c r="S14" s="223" t="s">
        <v>714</v>
      </c>
      <c r="T14" s="53"/>
      <c r="V14" t="s">
        <v>316</v>
      </c>
      <c r="W14" s="367">
        <f t="shared" si="0"/>
        <v>0.1346</v>
      </c>
      <c r="X14" s="5" t="b">
        <v>1</v>
      </c>
      <c r="Y14" s="5">
        <f t="shared" si="1"/>
        <v>0</v>
      </c>
      <c r="Z14" s="368">
        <f>TRY_DATA!U13</f>
        <v>0.1346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RUB_DATA!Z14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6"/>
        <v>2921.01</v>
      </c>
      <c r="BP14" s="5" t="b">
        <v>1</v>
      </c>
      <c r="BQ14" s="5"/>
      <c r="BR14" s="391">
        <f>TRY_DATA!AZ14</f>
        <v>2921.01</v>
      </c>
      <c r="BT14" s="50"/>
      <c r="BU14" s="216" t="s">
        <v>435</v>
      </c>
      <c r="BV14" s="216" t="s">
        <v>820</v>
      </c>
      <c r="BW14" s="52"/>
      <c r="BX14" s="299"/>
      <c r="BY14" s="25" t="s">
        <v>49</v>
      </c>
      <c r="BZ14" s="593">
        <f>TRY_DATA!AW14</f>
        <v>2738.36</v>
      </c>
      <c r="CA14" s="593">
        <f>TRY_DATA!AX14</f>
        <v>3103.66</v>
      </c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M14" s="286"/>
      <c r="CN14" s="300"/>
      <c r="CO14" s="206"/>
      <c r="CP14" s="206"/>
      <c r="CQ14" s="206"/>
      <c r="CR14" s="206"/>
    </row>
    <row r="15" spans="1:96" x14ac:dyDescent="0.25">
      <c r="F15" s="50"/>
      <c r="G15" s="235" t="s">
        <v>673</v>
      </c>
      <c r="H15" s="236" t="str">
        <f>H14&amp;":"&amp;$A$1&amp;H12</f>
        <v>OIS:TRYOIS</v>
      </c>
      <c r="I15" s="53" t="s">
        <v>424</v>
      </c>
      <c r="K15" t="s">
        <v>47</v>
      </c>
      <c r="L15" s="648">
        <f t="shared" si="2"/>
        <v>0.14269999999999999</v>
      </c>
      <c r="M15" s="5" t="b">
        <v>1</v>
      </c>
      <c r="N15" s="5">
        <f t="shared" si="3"/>
        <v>0</v>
      </c>
      <c r="O15" s="5">
        <f>TRY_DATA!M15</f>
        <v>0.14269999999999999</v>
      </c>
      <c r="Q15" s="50"/>
      <c r="R15" s="233" t="s">
        <v>673</v>
      </c>
      <c r="S15" s="230" t="str">
        <f>"STD:"&amp;$A$1&amp;"3M"</f>
        <v>STD:TRY3M</v>
      </c>
      <c r="T15" s="53"/>
      <c r="V15" t="s">
        <v>324</v>
      </c>
      <c r="W15" s="367">
        <f t="shared" si="0"/>
        <v>0.13390000000000002</v>
      </c>
      <c r="X15" s="5" t="b">
        <v>1</v>
      </c>
      <c r="Y15" s="5">
        <f t="shared" si="1"/>
        <v>0</v>
      </c>
      <c r="Z15" s="368">
        <f>TRY_DATA!U14</f>
        <v>0.13390000000000002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RUB_DATA!Z15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841</v>
      </c>
      <c r="BL15" s="53"/>
      <c r="BN15" t="s">
        <v>46</v>
      </c>
      <c r="BO15" s="5">
        <f t="shared" si="6"/>
        <v>6290.03</v>
      </c>
      <c r="BP15" s="5" t="b">
        <v>1</v>
      </c>
      <c r="BQ15" s="5"/>
      <c r="BR15" s="391">
        <f>TRY_DATA!AZ17</f>
        <v>6290.03</v>
      </c>
      <c r="BT15" s="50"/>
      <c r="BU15" s="219" t="s">
        <v>826</v>
      </c>
      <c r="BV15" s="219" t="s">
        <v>828</v>
      </c>
      <c r="BW15" s="52"/>
      <c r="BX15" s="299"/>
      <c r="BY15" s="25" t="s">
        <v>46</v>
      </c>
      <c r="BZ15" s="593">
        <f>TRY_DATA!AW17</f>
        <v>6101.91</v>
      </c>
      <c r="CA15" s="593">
        <f>TRY_DATA!AX17</f>
        <v>6478.14</v>
      </c>
      <c r="CC15" s="50"/>
      <c r="CD15" s="222" t="s">
        <v>673</v>
      </c>
      <c r="CE15" s="216" t="s">
        <v>1141</v>
      </c>
      <c r="CF15" s="53"/>
      <c r="CI15" s="50"/>
      <c r="CJ15" s="222" t="s">
        <v>673</v>
      </c>
      <c r="CK15" s="216" t="s">
        <v>1144</v>
      </c>
      <c r="CL15" s="53"/>
      <c r="CM15" s="286"/>
      <c r="CN15" s="300"/>
      <c r="CO15" s="206"/>
      <c r="CP15" s="206"/>
      <c r="CQ15" s="206"/>
      <c r="CR15" s="206"/>
    </row>
    <row r="16" spans="1:96" x14ac:dyDescent="0.25">
      <c r="F16" s="50"/>
      <c r="G16" s="214" t="s">
        <v>434</v>
      </c>
      <c r="H16" s="216" t="str">
        <f>$A$1</f>
        <v>TRY</v>
      </c>
      <c r="I16" s="53"/>
      <c r="K16" t="s">
        <v>308</v>
      </c>
      <c r="L16" s="648">
        <f t="shared" si="2"/>
        <v>0.14349999999999999</v>
      </c>
      <c r="M16" s="5" t="b">
        <v>1</v>
      </c>
      <c r="N16" s="5">
        <f t="shared" si="3"/>
        <v>0</v>
      </c>
      <c r="O16" s="5">
        <f>TRY_DATA!M16</f>
        <v>0.14349999999999999</v>
      </c>
      <c r="Q16" s="50"/>
      <c r="R16" s="222" t="s">
        <v>434</v>
      </c>
      <c r="S16" s="223" t="str">
        <f>$A$1</f>
        <v>TRY</v>
      </c>
      <c r="T16" s="53"/>
      <c r="V16" t="s">
        <v>331</v>
      </c>
      <c r="W16" s="367">
        <f t="shared" si="0"/>
        <v>0.12990000000000002</v>
      </c>
      <c r="X16" s="5" t="b">
        <v>1</v>
      </c>
      <c r="Y16" s="5">
        <f t="shared" si="1"/>
        <v>0</v>
      </c>
      <c r="Z16" s="368">
        <f>TRY_DATA!U15</f>
        <v>0.12990000000000002</v>
      </c>
      <c r="AA16" s="203"/>
      <c r="AB16" s="50"/>
      <c r="AC16" s="233" t="s">
        <v>673</v>
      </c>
      <c r="AD16" s="230" t="s">
        <v>840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RUB_DATA!Z16</f>
        <v>1E-3</v>
      </c>
      <c r="AL16" s="207"/>
      <c r="AM16" s="50"/>
      <c r="AN16" s="233" t="s">
        <v>673</v>
      </c>
      <c r="AO16" s="230" t="str">
        <f>"3M12MBasis:"&amp;$A$1&amp;"12M"</f>
        <v>3M12MBasis:TRY12M</v>
      </c>
      <c r="AP16" s="53"/>
      <c r="AR16" t="s">
        <v>349</v>
      </c>
      <c r="AT16" t="b">
        <v>1</v>
      </c>
      <c r="AX16" s="50"/>
      <c r="AY16" s="233" t="s">
        <v>673</v>
      </c>
      <c r="AZ16" s="230" t="str">
        <f>"1M3MBasis:"&amp;A1&amp;"3M"</f>
        <v>1M3MBasis:TRY3M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TRY</v>
      </c>
      <c r="BL16" s="53"/>
      <c r="BN16" t="s">
        <v>376</v>
      </c>
      <c r="BO16" s="5">
        <f t="shared" si="6"/>
        <v>9888.7900000000009</v>
      </c>
      <c r="BP16" s="5" t="b">
        <v>1</v>
      </c>
      <c r="BQ16" s="5"/>
      <c r="BR16" s="391">
        <f>TRY_DATA!AZ18</f>
        <v>9888.7900000000009</v>
      </c>
      <c r="BT16" s="50"/>
      <c r="BU16" s="57"/>
      <c r="BV16" s="57"/>
      <c r="BW16" s="52"/>
      <c r="BX16" s="299"/>
      <c r="BY16" s="25" t="s">
        <v>376</v>
      </c>
      <c r="BZ16" s="593">
        <f>TRY_DATA!AW18</f>
        <v>9605.48</v>
      </c>
      <c r="CA16" s="593">
        <f>TRY_DATA!AX18</f>
        <v>10172.11</v>
      </c>
      <c r="CC16" s="50"/>
      <c r="CD16" s="233" t="s">
        <v>434</v>
      </c>
      <c r="CE16" s="230" t="s">
        <v>264</v>
      </c>
      <c r="CF16" s="53"/>
      <c r="CI16" s="50"/>
      <c r="CJ16" s="233" t="s">
        <v>434</v>
      </c>
      <c r="CK16" s="230" t="s">
        <v>264</v>
      </c>
      <c r="CL16" s="53"/>
      <c r="CM16" s="286"/>
      <c r="CN16" s="300"/>
      <c r="CO16" s="206"/>
      <c r="CP16" s="206"/>
      <c r="CQ16" s="206"/>
      <c r="CR16" s="206"/>
    </row>
    <row r="17" spans="6:96" x14ac:dyDescent="0.25">
      <c r="F17" s="50"/>
      <c r="G17" s="217" t="s">
        <v>674</v>
      </c>
      <c r="H17" s="216" t="s">
        <v>675</v>
      </c>
      <c r="I17" s="53"/>
      <c r="K17" t="s">
        <v>316</v>
      </c>
      <c r="L17" s="648">
        <f t="shared" si="2"/>
        <v>0.1404</v>
      </c>
      <c r="M17" s="5" t="b">
        <v>1</v>
      </c>
      <c r="N17" s="5">
        <f t="shared" si="3"/>
        <v>0</v>
      </c>
      <c r="O17" s="5">
        <f>TRY_DATA!M17</f>
        <v>0.1404</v>
      </c>
      <c r="Q17" s="50"/>
      <c r="R17" s="222" t="s">
        <v>674</v>
      </c>
      <c r="S17" s="223" t="s">
        <v>715</v>
      </c>
      <c r="T17" s="53"/>
      <c r="V17" t="s">
        <v>339</v>
      </c>
      <c r="W17" s="367">
        <f t="shared" si="0"/>
        <v>0.13070000000000001</v>
      </c>
      <c r="X17" s="5" t="b">
        <v>1</v>
      </c>
      <c r="Y17" s="5">
        <f t="shared" si="1"/>
        <v>0</v>
      </c>
      <c r="Z17" s="368">
        <f>TRY_DATA!U16</f>
        <v>0.13070000000000001</v>
      </c>
      <c r="AA17" s="203"/>
      <c r="AB17" s="50"/>
      <c r="AC17" s="222" t="s">
        <v>674</v>
      </c>
      <c r="AD17" s="216" t="s">
        <v>675</v>
      </c>
      <c r="AE17" s="53"/>
      <c r="AH17" s="358"/>
      <c r="AI17" s="5"/>
      <c r="AJ17" s="5"/>
      <c r="AK17" s="357"/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675</v>
      </c>
      <c r="BL17" s="53"/>
      <c r="BN17" t="s">
        <v>322</v>
      </c>
      <c r="BO17" s="386">
        <f>BR17+BQ17/10000</f>
        <v>0.17929999999999999</v>
      </c>
      <c r="BP17" s="5" t="b">
        <v>1</v>
      </c>
      <c r="BQ17" s="5">
        <f t="shared" ref="BQ17:BQ29" si="7">$BQ$4</f>
        <v>0</v>
      </c>
      <c r="BR17" s="357">
        <f>TRY_DATA!AZ26</f>
        <v>0.17929999999999999</v>
      </c>
      <c r="BT17" s="50"/>
      <c r="BU17" s="57"/>
      <c r="BV17" s="57"/>
      <c r="BW17" s="52"/>
      <c r="BX17" s="299"/>
      <c r="BY17" s="25" t="s">
        <v>322</v>
      </c>
      <c r="BZ17" s="593">
        <f>TRY_DATA!AW19</f>
        <v>13160.55</v>
      </c>
      <c r="CA17" s="593">
        <f>TRY_DATA!AX19</f>
        <v>13624.09</v>
      </c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3"/>
      <c r="CM17" s="286"/>
      <c r="CN17" s="300"/>
      <c r="CO17" s="206"/>
      <c r="CP17" s="206"/>
      <c r="CQ17" s="206"/>
      <c r="CR17" s="206"/>
    </row>
    <row r="18" spans="6:96" x14ac:dyDescent="0.25">
      <c r="F18" s="50"/>
      <c r="G18" s="214" t="s">
        <v>676</v>
      </c>
      <c r="H18" s="216" t="s">
        <v>675</v>
      </c>
      <c r="I18" s="53"/>
      <c r="K18" t="s">
        <v>324</v>
      </c>
      <c r="L18" s="648">
        <f t="shared" si="2"/>
        <v>0.13600000000000001</v>
      </c>
      <c r="M18" s="5" t="b">
        <v>1</v>
      </c>
      <c r="N18" s="5">
        <f t="shared" si="3"/>
        <v>0</v>
      </c>
      <c r="O18" s="5">
        <f>TRY_DATA!M18</f>
        <v>0.13600000000000001</v>
      </c>
      <c r="Q18" s="50"/>
      <c r="R18" s="222" t="s">
        <v>676</v>
      </c>
      <c r="S18" s="223" t="s">
        <v>715</v>
      </c>
      <c r="T18" s="53"/>
      <c r="V18" t="s">
        <v>342</v>
      </c>
      <c r="W18" s="367">
        <f t="shared" si="0"/>
        <v>0.1268</v>
      </c>
      <c r="X18" s="5" t="b">
        <v>1</v>
      </c>
      <c r="Y18" s="5">
        <f t="shared" si="1"/>
        <v>0</v>
      </c>
      <c r="Z18" s="368">
        <f>TRY_DATA!U17</f>
        <v>0.1268</v>
      </c>
      <c r="AA18" s="203"/>
      <c r="AB18" s="50"/>
      <c r="AC18" s="222" t="s">
        <v>676</v>
      </c>
      <c r="AD18" s="216" t="s">
        <v>675</v>
      </c>
      <c r="AE18" s="53"/>
      <c r="AH18" s="358"/>
      <c r="AI18" s="5"/>
      <c r="AJ18" s="5"/>
      <c r="AK18" s="357"/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675</v>
      </c>
      <c r="BL18" s="53"/>
      <c r="BN18" t="s">
        <v>308</v>
      </c>
      <c r="BO18" s="358">
        <f>BR18+BQ18/10000</f>
        <v>0.1681</v>
      </c>
      <c r="BP18" s="5" t="b">
        <v>1</v>
      </c>
      <c r="BQ18" s="5">
        <f t="shared" si="7"/>
        <v>0</v>
      </c>
      <c r="BR18" s="357">
        <f>TRY_DATA!AZ27</f>
        <v>0.1681</v>
      </c>
      <c r="BT18" s="50"/>
      <c r="BU18" s="57"/>
      <c r="BV18" s="57"/>
      <c r="BW18" s="52"/>
      <c r="BX18" s="299"/>
      <c r="BY18" s="25" t="s">
        <v>501</v>
      </c>
      <c r="BZ18" s="593">
        <f>TRY_DATA!AW20</f>
        <v>19795.419999999998</v>
      </c>
      <c r="CA18" s="593">
        <f>TRY_DATA!AX20</f>
        <v>20491.75</v>
      </c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3"/>
      <c r="CM18" s="286"/>
      <c r="CN18" s="300"/>
      <c r="CO18" s="206"/>
      <c r="CP18" s="206"/>
      <c r="CQ18" s="206"/>
      <c r="CR18" s="206"/>
    </row>
    <row r="19" spans="6:96" x14ac:dyDescent="0.25">
      <c r="F19" s="50"/>
      <c r="G19" s="214"/>
      <c r="H19" s="216"/>
      <c r="I19" s="53"/>
      <c r="K19" t="s">
        <v>331</v>
      </c>
      <c r="L19" s="648">
        <f t="shared" si="2"/>
        <v>0.13250000000000001</v>
      </c>
      <c r="M19" s="5" t="b">
        <v>1</v>
      </c>
      <c r="N19" s="5">
        <f t="shared" si="3"/>
        <v>0</v>
      </c>
      <c r="O19" s="5">
        <f>TRY_DATA!M19</f>
        <v>0.13250000000000001</v>
      </c>
      <c r="Q19" s="50"/>
      <c r="R19" s="222" t="s">
        <v>716</v>
      </c>
      <c r="S19" s="223" t="s">
        <v>715</v>
      </c>
      <c r="T19" s="53"/>
      <c r="V19" t="s">
        <v>355</v>
      </c>
      <c r="W19" s="367">
        <f t="shared" si="0"/>
        <v>0.125</v>
      </c>
      <c r="X19" s="5" t="b">
        <v>1</v>
      </c>
      <c r="Y19" s="5">
        <f t="shared" si="1"/>
        <v>0</v>
      </c>
      <c r="Z19" s="368">
        <f>TRY_DATA!U18</f>
        <v>0.125</v>
      </c>
      <c r="AA19" s="203"/>
      <c r="AB19" s="50"/>
      <c r="AC19" s="222" t="s">
        <v>746</v>
      </c>
      <c r="AD19" s="216" t="s">
        <v>675</v>
      </c>
      <c r="AE19" s="53"/>
      <c r="AH19" s="358"/>
      <c r="AI19" s="5"/>
      <c r="AJ19" s="5"/>
      <c r="AK19" s="357"/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675</v>
      </c>
      <c r="BL19" s="53"/>
      <c r="BN19" t="s">
        <v>316</v>
      </c>
      <c r="BO19" s="358">
        <f t="shared" ref="BO19:BO29" si="8">BR19+BQ19/10000</f>
        <v>0.15820000000000001</v>
      </c>
      <c r="BP19" s="5" t="b">
        <v>1</v>
      </c>
      <c r="BQ19" s="5">
        <f t="shared" si="7"/>
        <v>0</v>
      </c>
      <c r="BR19" s="357">
        <f>TRY_DATA!AZ28</f>
        <v>0.15820000000000001</v>
      </c>
      <c r="BT19" s="50"/>
      <c r="BU19" s="56" t="s">
        <v>814</v>
      </c>
      <c r="BV19" s="57"/>
      <c r="BW19" s="262"/>
      <c r="BX19" s="303"/>
      <c r="BY19" s="25" t="s">
        <v>308</v>
      </c>
      <c r="BZ19" s="593">
        <f>TRY_DATA!AW21</f>
        <v>26858.18</v>
      </c>
      <c r="CA19" s="593">
        <f>TRY_DATA!AX21</f>
        <v>27858.13</v>
      </c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3"/>
      <c r="CM19" s="286"/>
      <c r="CN19" s="300"/>
      <c r="CO19" s="206"/>
      <c r="CP19" s="206"/>
      <c r="CQ19" s="206"/>
      <c r="CR19" s="206"/>
    </row>
    <row r="20" spans="6:96" x14ac:dyDescent="0.25">
      <c r="F20" s="50"/>
      <c r="G20" s="218"/>
      <c r="H20" s="219"/>
      <c r="I20" s="53"/>
      <c r="K20" s="620" t="s">
        <v>339</v>
      </c>
      <c r="L20" s="648">
        <f t="shared" si="2"/>
        <v>0.12960000000000002</v>
      </c>
      <c r="M20" s="5" t="b">
        <v>1</v>
      </c>
      <c r="N20" s="5">
        <f t="shared" si="3"/>
        <v>0</v>
      </c>
      <c r="O20" s="5">
        <f>TRY_DATA!M20</f>
        <v>0.12960000000000002</v>
      </c>
      <c r="Q20" s="50"/>
      <c r="R20" s="233" t="s">
        <v>717</v>
      </c>
      <c r="S20" s="230" t="b">
        <v>0</v>
      </c>
      <c r="T20" s="53"/>
      <c r="V20" t="s">
        <v>364</v>
      </c>
      <c r="W20" s="367">
        <f t="shared" si="0"/>
        <v>0.1225</v>
      </c>
      <c r="X20" s="5" t="b">
        <v>1</v>
      </c>
      <c r="Y20" s="5">
        <f t="shared" si="1"/>
        <v>0</v>
      </c>
      <c r="Z20" s="368">
        <f>TRY_DATA!U19</f>
        <v>0.1225</v>
      </c>
      <c r="AA20" s="203"/>
      <c r="AB20" s="50"/>
      <c r="AC20" s="222" t="s">
        <v>747</v>
      </c>
      <c r="AD20" s="216" t="s">
        <v>720</v>
      </c>
      <c r="AE20" s="53"/>
      <c r="AH20" s="358"/>
      <c r="AI20" s="5"/>
      <c r="AJ20" s="5"/>
      <c r="AK20" s="357"/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324</v>
      </c>
      <c r="BO20" s="358">
        <f t="shared" si="8"/>
        <v>0.15090000000000001</v>
      </c>
      <c r="BP20" s="5" t="b">
        <v>1</v>
      </c>
      <c r="BQ20" s="5">
        <f t="shared" si="7"/>
        <v>0</v>
      </c>
      <c r="BR20" s="357">
        <f>TRY_DATA!AZ29</f>
        <v>0.15090000000000001</v>
      </c>
      <c r="BT20" s="50"/>
      <c r="BU20" s="147" t="s">
        <v>704</v>
      </c>
      <c r="BV20" s="221" t="str">
        <f>INDEX('STATIC DATA'!C30:AB30,1,MATCH($A$1,'STATIC DATA'!$C$4:$AB$4,0))</f>
        <v>ISB:NYB</v>
      </c>
      <c r="BW20" s="52"/>
      <c r="BX20" s="299"/>
      <c r="BY20" s="25" t="s">
        <v>316</v>
      </c>
      <c r="BZ20" s="593">
        <f>TRY_DATA!AW22</f>
        <v>40013.129999999997</v>
      </c>
      <c r="CA20" s="593">
        <f>TRY_DATA!AX22</f>
        <v>41621.9</v>
      </c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M20" s="286"/>
      <c r="CN20" s="300"/>
      <c r="CO20" s="206"/>
      <c r="CP20" s="206"/>
      <c r="CQ20" s="206"/>
      <c r="CR20" s="206"/>
    </row>
    <row r="21" spans="6:96" x14ac:dyDescent="0.25">
      <c r="F21" s="50"/>
      <c r="G21" s="52"/>
      <c r="H21" s="52"/>
      <c r="I21" s="53"/>
      <c r="K21" t="s">
        <v>342</v>
      </c>
      <c r="L21" s="648">
        <f t="shared" si="2"/>
        <v>0.12759999999999999</v>
      </c>
      <c r="M21" s="5" t="b">
        <v>1</v>
      </c>
      <c r="N21" s="5">
        <f t="shared" si="3"/>
        <v>0</v>
      </c>
      <c r="O21" s="5">
        <f>TRY_DATA!M21</f>
        <v>0.12759999999999999</v>
      </c>
      <c r="Q21" s="50"/>
      <c r="R21" s="233" t="s">
        <v>719</v>
      </c>
      <c r="S21" s="230" t="s">
        <v>720</v>
      </c>
      <c r="T21" s="53"/>
      <c r="V21" t="s">
        <v>349</v>
      </c>
      <c r="W21" s="367">
        <f t="shared" si="0"/>
        <v>0.122</v>
      </c>
      <c r="X21" s="5" t="b">
        <v>1</v>
      </c>
      <c r="Y21" s="5">
        <f t="shared" si="1"/>
        <v>0</v>
      </c>
      <c r="Z21" s="368">
        <f>TRY_DATA!U20</f>
        <v>0.122</v>
      </c>
      <c r="AA21" s="203"/>
      <c r="AB21" s="50"/>
      <c r="AC21" s="234" t="s">
        <v>748</v>
      </c>
      <c r="AD21" s="232" t="s">
        <v>965</v>
      </c>
      <c r="AE21" s="53"/>
      <c r="AH21" s="358"/>
      <c r="AI21" s="5"/>
      <c r="AJ21" s="5"/>
      <c r="AK21" s="357"/>
      <c r="AL21" s="207"/>
      <c r="AM21" s="50"/>
      <c r="AN21" s="234" t="s">
        <v>748</v>
      </c>
      <c r="AO21" s="232" t="s">
        <v>426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426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331</v>
      </c>
      <c r="BO21" s="358">
        <f t="shared" si="8"/>
        <v>0.14480000000000001</v>
      </c>
      <c r="BP21" s="5" t="b">
        <v>1</v>
      </c>
      <c r="BQ21" s="5">
        <f t="shared" si="7"/>
        <v>0</v>
      </c>
      <c r="BR21" s="357">
        <f>TRY_DATA!AZ30</f>
        <v>0.14480000000000001</v>
      </c>
      <c r="BT21" s="50"/>
      <c r="BU21" s="149" t="s">
        <v>732</v>
      </c>
      <c r="BV21" s="223" t="str">
        <f>INDEX('STATIC DATA'!C19:AB19,1,MATCH($A$1,'STATIC DATA'!$C$4:$AB$4,0))</f>
        <v>1D</v>
      </c>
      <c r="BW21" s="52"/>
      <c r="BX21" s="299"/>
      <c r="BY21" s="25" t="s">
        <v>324</v>
      </c>
      <c r="BZ21" s="593">
        <f>TRY_DATA!AW23</f>
        <v>54782.64</v>
      </c>
      <c r="CA21" s="593">
        <f>TRY_DATA!AX23</f>
        <v>56434.11</v>
      </c>
      <c r="CM21" s="286"/>
      <c r="CN21" s="300"/>
      <c r="CO21" s="206"/>
      <c r="CP21" s="206"/>
      <c r="CQ21" s="206"/>
      <c r="CR21" s="206"/>
    </row>
    <row r="22" spans="6:96" x14ac:dyDescent="0.25">
      <c r="F22" s="50"/>
      <c r="G22" s="54" t="s">
        <v>426</v>
      </c>
      <c r="H22" s="52"/>
      <c r="I22" s="53"/>
      <c r="K22" s="620" t="s">
        <v>355</v>
      </c>
      <c r="L22" s="648">
        <f t="shared" si="2"/>
        <v>0.126</v>
      </c>
      <c r="M22" s="5" t="b">
        <v>1</v>
      </c>
      <c r="N22" s="5">
        <f t="shared" si="3"/>
        <v>0</v>
      </c>
      <c r="O22" s="5">
        <f>TRY_DATA!M22</f>
        <v>0.126</v>
      </c>
      <c r="Q22" s="50"/>
      <c r="R22" s="222" t="s">
        <v>706</v>
      </c>
      <c r="S22" s="223" t="s">
        <v>721</v>
      </c>
      <c r="T22" s="53"/>
      <c r="W22" s="367"/>
      <c r="X22" s="5"/>
      <c r="Z22" s="368"/>
      <c r="AA22" s="203"/>
      <c r="AB22" s="50"/>
      <c r="AC22" s="222" t="s">
        <v>713</v>
      </c>
      <c r="AD22" s="216" t="s">
        <v>713</v>
      </c>
      <c r="AE22" s="53"/>
      <c r="AH22" s="358"/>
      <c r="AI22" s="5"/>
      <c r="AJ22" s="5"/>
      <c r="AK22" s="357"/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0</v>
      </c>
      <c r="BL22" s="53"/>
      <c r="BN22" t="s">
        <v>339</v>
      </c>
      <c r="BO22" s="358">
        <f t="shared" si="8"/>
        <v>0.13970000000000002</v>
      </c>
      <c r="BP22" s="5" t="b">
        <v>1</v>
      </c>
      <c r="BQ22" s="5">
        <f t="shared" si="7"/>
        <v>0</v>
      </c>
      <c r="BR22" s="357">
        <f>TRY_DATA!AZ31</f>
        <v>0.13970000000000002</v>
      </c>
      <c r="BT22" s="50"/>
      <c r="BU22" s="149" t="s">
        <v>707</v>
      </c>
      <c r="BV22" s="223" t="s">
        <v>687</v>
      </c>
      <c r="BW22" s="52"/>
      <c r="BX22" s="299"/>
      <c r="BY22" s="25" t="s">
        <v>331</v>
      </c>
      <c r="BZ22" s="593">
        <f>TRY_DATA!AW24</f>
        <v>69192.94</v>
      </c>
      <c r="CA22" s="593">
        <f>TRY_DATA!AX24</f>
        <v>71316</v>
      </c>
      <c r="CM22" s="286"/>
      <c r="CN22" s="300"/>
      <c r="CO22" s="206"/>
      <c r="CP22" s="206"/>
      <c r="CQ22" s="206"/>
      <c r="CR22" s="206"/>
    </row>
    <row r="23" spans="6:96" x14ac:dyDescent="0.25">
      <c r="F23" s="50"/>
      <c r="G23" s="220" t="s">
        <v>677</v>
      </c>
      <c r="H23" s="221" t="str">
        <f>INDEX('STATIC DATA'!C43:AB43,1,MATCH($A$1,'STATIC DATA'!$C$4:$AB$4,0))</f>
        <v>ISB</v>
      </c>
      <c r="I23" s="53"/>
      <c r="K23" s="620" t="s">
        <v>364</v>
      </c>
      <c r="L23" s="648">
        <f t="shared" si="2"/>
        <v>0.1245</v>
      </c>
      <c r="M23" s="5" t="b">
        <v>1</v>
      </c>
      <c r="N23" s="5">
        <f t="shared" si="3"/>
        <v>0</v>
      </c>
      <c r="O23" s="5">
        <f>TRY_DATA!M23</f>
        <v>0.1245</v>
      </c>
      <c r="Q23" s="50"/>
      <c r="R23" s="222" t="s">
        <v>722</v>
      </c>
      <c r="S23" s="223" t="s">
        <v>718</v>
      </c>
      <c r="T23" s="53"/>
      <c r="W23" s="367"/>
      <c r="X23" s="5"/>
      <c r="Z23" s="368"/>
      <c r="AA23" s="203"/>
      <c r="AB23" s="50"/>
      <c r="AC23" s="234" t="s">
        <v>713</v>
      </c>
      <c r="AD23" s="232" t="s">
        <v>713</v>
      </c>
      <c r="AE23" s="53"/>
      <c r="AH23" s="358"/>
      <c r="AI23" s="5"/>
      <c r="AJ23" s="5"/>
      <c r="AK23" s="357"/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342</v>
      </c>
      <c r="BO23" s="358">
        <f t="shared" si="8"/>
        <v>0.13570000000000002</v>
      </c>
      <c r="BP23" s="5" t="b">
        <v>1</v>
      </c>
      <c r="BQ23" s="5">
        <f t="shared" si="7"/>
        <v>0</v>
      </c>
      <c r="BR23" s="357">
        <f>TRY_DATA!AZ32</f>
        <v>0.13570000000000002</v>
      </c>
      <c r="BT23" s="50"/>
      <c r="BU23" s="149" t="s">
        <v>689</v>
      </c>
      <c r="BV23" s="223" t="b">
        <v>1</v>
      </c>
      <c r="BW23" s="52"/>
      <c r="BX23" s="299"/>
      <c r="CM23" s="286"/>
      <c r="CN23" s="300"/>
      <c r="CO23" s="206"/>
      <c r="CP23" s="206"/>
      <c r="CQ23" s="206"/>
      <c r="CR23" s="206"/>
    </row>
    <row r="24" spans="6:96" x14ac:dyDescent="0.25">
      <c r="F24" s="50"/>
      <c r="G24" s="222" t="s">
        <v>678</v>
      </c>
      <c r="H24" s="223" t="str">
        <f>INDEX('STATIC DATA'!C59:AB59,1,MATCH($A$1,'STATIC DATA'!C4:AB4,0))</f>
        <v>ACT/365</v>
      </c>
      <c r="I24" s="53"/>
      <c r="K24" t="s">
        <v>349</v>
      </c>
      <c r="L24" s="648">
        <f t="shared" si="2"/>
        <v>0.1232</v>
      </c>
      <c r="M24" s="5" t="b">
        <v>1</v>
      </c>
      <c r="N24" s="5">
        <f t="shared" si="3"/>
        <v>0</v>
      </c>
      <c r="O24" s="5">
        <f>TRY_DATA!M24</f>
        <v>0.1232</v>
      </c>
      <c r="Q24" s="50"/>
      <c r="R24" s="222" t="s">
        <v>723</v>
      </c>
      <c r="S24" s="223" t="s">
        <v>718</v>
      </c>
      <c r="T24" s="53"/>
      <c r="W24" s="367"/>
      <c r="X24" s="5"/>
      <c r="Z24" s="368"/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355</v>
      </c>
      <c r="BO24" s="358">
        <f t="shared" si="8"/>
        <v>0.13239999999999999</v>
      </c>
      <c r="BP24" s="5" t="b">
        <v>1</v>
      </c>
      <c r="BQ24" s="5">
        <f t="shared" si="7"/>
        <v>0</v>
      </c>
      <c r="BR24" s="357">
        <f>TRY_DATA!AZ33</f>
        <v>0.13239999999999999</v>
      </c>
      <c r="BT24" s="50"/>
      <c r="BU24" s="149" t="s">
        <v>688</v>
      </c>
      <c r="BV24" s="223">
        <v>31</v>
      </c>
      <c r="BW24" s="52"/>
      <c r="BX24" s="299"/>
      <c r="CM24" s="286"/>
      <c r="CN24" s="300"/>
      <c r="CO24" s="206"/>
      <c r="CP24" s="206"/>
      <c r="CQ24" s="206"/>
      <c r="CR24" s="206"/>
    </row>
    <row r="25" spans="6:96" x14ac:dyDescent="0.25">
      <c r="F25" s="50"/>
      <c r="G25" s="222" t="s">
        <v>679</v>
      </c>
      <c r="H25" s="223" t="s">
        <v>1120</v>
      </c>
      <c r="I25" s="53"/>
      <c r="K25" t="s">
        <v>374</v>
      </c>
      <c r="L25" s="358">
        <v>0.1</v>
      </c>
      <c r="M25" s="5" t="b">
        <v>0</v>
      </c>
      <c r="N25" s="5">
        <f t="shared" si="3"/>
        <v>0</v>
      </c>
      <c r="O25" s="5" t="s">
        <v>668</v>
      </c>
      <c r="Q25" s="50"/>
      <c r="R25" s="234" t="s">
        <v>724</v>
      </c>
      <c r="S25" s="232" t="s">
        <v>426</v>
      </c>
      <c r="T25" s="53"/>
      <c r="W25" s="367"/>
      <c r="X25" s="5"/>
      <c r="Z25" s="368"/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N25" t="s">
        <v>364</v>
      </c>
      <c r="BO25" s="358">
        <f t="shared" si="8"/>
        <v>0.12990000000000002</v>
      </c>
      <c r="BP25" s="5" t="b">
        <v>1</v>
      </c>
      <c r="BQ25" s="5">
        <f t="shared" si="7"/>
        <v>0</v>
      </c>
      <c r="BR25" s="357">
        <f>TRY_DATA!AZ34</f>
        <v>0.12990000000000002</v>
      </c>
      <c r="BT25" s="50"/>
      <c r="BU25" s="151" t="s">
        <v>819</v>
      </c>
      <c r="BV25" s="226" t="b">
        <v>0</v>
      </c>
      <c r="BW25" s="52"/>
      <c r="BX25" s="299"/>
      <c r="CM25" s="286"/>
      <c r="CN25" s="300"/>
      <c r="CO25" s="206"/>
      <c r="CP25" s="206"/>
      <c r="CQ25" s="206"/>
      <c r="CR25" s="206"/>
    </row>
    <row r="26" spans="6:96" x14ac:dyDescent="0.25">
      <c r="F26" s="50"/>
      <c r="G26" s="222" t="s">
        <v>681</v>
      </c>
      <c r="H26" s="223" t="s">
        <v>682</v>
      </c>
      <c r="I26" s="53"/>
      <c r="K26" t="s">
        <v>389</v>
      </c>
      <c r="L26" s="358">
        <v>0.1</v>
      </c>
      <c r="M26" s="5" t="b">
        <v>0</v>
      </c>
      <c r="N26" s="5">
        <f t="shared" si="3"/>
        <v>0</v>
      </c>
      <c r="O26" s="5" t="s">
        <v>668</v>
      </c>
      <c r="Q26" s="50"/>
      <c r="R26" s="52" t="s">
        <v>713</v>
      </c>
      <c r="S26" s="52" t="s">
        <v>713</v>
      </c>
      <c r="T26" s="53"/>
      <c r="W26" s="367"/>
      <c r="X26" s="5"/>
      <c r="Z26" s="368"/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807</v>
      </c>
      <c r="BK26" s="85"/>
      <c r="BL26" s="53"/>
      <c r="BN26" t="s">
        <v>349</v>
      </c>
      <c r="BO26" s="358">
        <f t="shared" si="8"/>
        <v>0.1278</v>
      </c>
      <c r="BP26" s="5" t="b">
        <v>1</v>
      </c>
      <c r="BQ26" s="5">
        <f t="shared" si="7"/>
        <v>0</v>
      </c>
      <c r="BR26" s="357">
        <f>TRY_DATA!AZ35</f>
        <v>0.1278</v>
      </c>
      <c r="BT26" s="50"/>
      <c r="BU26" s="52"/>
      <c r="BV26" s="52"/>
      <c r="BW26" s="52"/>
      <c r="BX26" s="299"/>
      <c r="CD26" s="442" t="s">
        <v>1084</v>
      </c>
      <c r="CE26" t="s">
        <v>713</v>
      </c>
      <c r="CJ26" s="442" t="s">
        <v>1084</v>
      </c>
      <c r="CK26" t="s">
        <v>713</v>
      </c>
      <c r="CM26" s="286"/>
      <c r="CN26" s="300"/>
      <c r="CO26" s="206"/>
      <c r="CP26" s="206"/>
      <c r="CQ26" s="206"/>
      <c r="CR26" s="206"/>
    </row>
    <row r="27" spans="6:96" x14ac:dyDescent="0.25">
      <c r="F27" s="50"/>
      <c r="G27" s="222" t="s">
        <v>683</v>
      </c>
      <c r="H27" s="223" t="str">
        <f>INDEX('STATIC DATA'!C60:AB60,1,MATCH($A$1,'STATIC DATA'!C4:AB4,0))</f>
        <v>1D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W27" s="367"/>
      <c r="X27" s="5"/>
      <c r="Z27" s="368"/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45" t="s">
        <v>749</v>
      </c>
      <c r="BK27" s="243" t="s">
        <v>803</v>
      </c>
      <c r="BL27" s="53"/>
      <c r="BN27" t="s">
        <v>358</v>
      </c>
      <c r="BO27" s="358" t="e">
        <f t="shared" si="8"/>
        <v>#VALUE!</v>
      </c>
      <c r="BP27" s="5" t="b">
        <v>0</v>
      </c>
      <c r="BQ27" s="5">
        <f t="shared" si="7"/>
        <v>0</v>
      </c>
      <c r="BR27" s="357" t="e">
        <f>TRY_DATA!AZ36</f>
        <v>#VALUE!</v>
      </c>
      <c r="BT27" s="50"/>
      <c r="BU27" s="52"/>
      <c r="BV27" s="52"/>
      <c r="BW27" s="52"/>
      <c r="BX27" s="299"/>
      <c r="CD27" s="57" t="s">
        <v>1085</v>
      </c>
      <c r="CE27" s="57" t="s">
        <v>1093</v>
      </c>
      <c r="CJ27" s="57" t="s">
        <v>1085</v>
      </c>
      <c r="CK27" s="57" t="s">
        <v>1128</v>
      </c>
      <c r="CM27" s="286"/>
      <c r="CN27" s="300"/>
      <c r="CO27" s="206"/>
      <c r="CP27" s="206"/>
      <c r="CQ27" s="206"/>
      <c r="CR27" s="206"/>
    </row>
    <row r="28" spans="6:96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ISB</v>
      </c>
      <c r="T28" s="53"/>
      <c r="W28" s="367"/>
      <c r="X28" s="5"/>
      <c r="Z28" s="368"/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b">
        <v>0</v>
      </c>
      <c r="BA28" s="53"/>
      <c r="BI28" s="50"/>
      <c r="BJ28" s="233" t="s">
        <v>750</v>
      </c>
      <c r="BK28" s="230" t="b">
        <v>0</v>
      </c>
      <c r="BL28" s="53"/>
      <c r="BN28" t="s">
        <v>367</v>
      </c>
      <c r="BO28" s="358" t="e">
        <f t="shared" si="8"/>
        <v>#VALUE!</v>
      </c>
      <c r="BP28" s="5" t="b">
        <v>0</v>
      </c>
      <c r="BQ28" s="5">
        <f t="shared" si="7"/>
        <v>0</v>
      </c>
      <c r="BR28" s="357" t="e">
        <f>TRY_DATA!AZ37</f>
        <v>#VALUE!</v>
      </c>
      <c r="BT28" s="50"/>
      <c r="BU28" s="52"/>
      <c r="BV28" s="52"/>
      <c r="BW28" s="52"/>
      <c r="BX28" s="299"/>
      <c r="CD28" s="57" t="s">
        <v>1086</v>
      </c>
      <c r="CE28" s="57" t="s">
        <v>1089</v>
      </c>
      <c r="CJ28" s="57" t="s">
        <v>1086</v>
      </c>
      <c r="CK28" s="57" t="s">
        <v>1129</v>
      </c>
      <c r="CM28" s="286"/>
      <c r="CN28" s="300"/>
      <c r="CO28" s="206"/>
      <c r="CP28" s="206"/>
      <c r="CQ28" s="206"/>
      <c r="CR28" s="206"/>
    </row>
    <row r="29" spans="6:96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ACT/360</v>
      </c>
      <c r="T29" s="53"/>
      <c r="W29" s="367"/>
      <c r="X29" s="5"/>
      <c r="Z29" s="368"/>
      <c r="AA29" s="203"/>
      <c r="AB29" s="50"/>
      <c r="AC29" s="222" t="s">
        <v>751</v>
      </c>
      <c r="AD29" s="216" t="str">
        <f>INDEX('STATIC DATA'!C39:AB39,1,MATCH($A$1,'STATIC DATA'!$C$4:$AB$4,0))</f>
        <v>ISB</v>
      </c>
      <c r="AE29" s="53"/>
      <c r="AH29" s="5"/>
      <c r="AI29" s="5"/>
      <c r="AJ29" s="5"/>
      <c r="AK29" s="5"/>
      <c r="AM29" s="50"/>
      <c r="AN29" s="222" t="s">
        <v>751</v>
      </c>
      <c r="AO29" s="216" t="str">
        <f>INDEX('STATIC DATA'!C39:AB39,1,MATCH($A$1,'STATIC DATA'!$C$4:$AB$4,0))</f>
        <v>ISB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2" t="s">
        <v>751</v>
      </c>
      <c r="BK29" s="216" t="str">
        <f>INDEX('STATIC DATA'!C30:AB30,1,MATCH($A$1,'STATIC DATA'!$C$4:$AB$4,0))</f>
        <v>ISB:NYB</v>
      </c>
      <c r="BL29" s="53"/>
      <c r="BN29" t="s">
        <v>374</v>
      </c>
      <c r="BO29" s="358" t="e">
        <f t="shared" si="8"/>
        <v>#VALUE!</v>
      </c>
      <c r="BP29" s="5" t="b">
        <v>0</v>
      </c>
      <c r="BQ29" s="5">
        <f t="shared" si="7"/>
        <v>0</v>
      </c>
      <c r="BR29" s="357" t="e">
        <f>BR28</f>
        <v>#VALUE!</v>
      </c>
      <c r="BT29" s="50"/>
      <c r="BU29" s="52"/>
      <c r="BV29" s="52"/>
      <c r="BW29" s="55"/>
      <c r="BX29" s="332"/>
      <c r="CD29" s="57" t="s">
        <v>1087</v>
      </c>
      <c r="CE29" s="57" t="s">
        <v>1142</v>
      </c>
      <c r="CJ29" s="57" t="s">
        <v>1087</v>
      </c>
      <c r="CK29" s="57" t="s">
        <v>1142</v>
      </c>
      <c r="CM29" s="286"/>
      <c r="CN29" s="300"/>
      <c r="CO29" s="206"/>
      <c r="CP29" s="206"/>
      <c r="CQ29" s="206"/>
      <c r="CR29" s="206"/>
    </row>
    <row r="30" spans="6:96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W30" s="367"/>
      <c r="X30" s="5"/>
      <c r="Z30" s="368"/>
      <c r="AA30" s="203"/>
      <c r="AB30" s="50"/>
      <c r="AC30" s="222" t="s">
        <v>752</v>
      </c>
      <c r="AD30" s="216" t="str">
        <f>INDEX('STATIC DATA'!C55:AB55,1,MATCH($A$1,'STATIC DATA'!C4:AB4,0))</f>
        <v>ACT/360</v>
      </c>
      <c r="AE30" s="53"/>
      <c r="AH30" s="5"/>
      <c r="AI30" s="5"/>
      <c r="AJ30" s="5"/>
      <c r="AK30" s="5"/>
      <c r="AM30" s="50"/>
      <c r="AN30" s="222" t="s">
        <v>752</v>
      </c>
      <c r="AO30" s="216" t="str">
        <f>INDEX('STATIC DATA'!C55:AB55,1,MATCH($A$1,'STATIC DATA'!C4:AB4,0))</f>
        <v>ACT/360</v>
      </c>
      <c r="AP30" s="53"/>
      <c r="AX30" s="50"/>
      <c r="AY30" s="222" t="s">
        <v>752</v>
      </c>
      <c r="AZ30" s="216" t="str">
        <f>INDEX('STATIC DATA'!Y55:AY55,1,MATCH($A$1,'STATIC DATA'!Y4:AV4,0))</f>
        <v>ACT/360</v>
      </c>
      <c r="BA30" s="53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O30" s="5"/>
      <c r="BP30" s="5"/>
      <c r="BQ30" s="5"/>
      <c r="BR30" s="5"/>
      <c r="BT30" s="50"/>
      <c r="BU30" s="55"/>
      <c r="BV30" s="55"/>
      <c r="BW30" s="55"/>
      <c r="BX30" s="332"/>
      <c r="BY30" s="302"/>
      <c r="BZ30" s="302"/>
      <c r="CA30" s="302"/>
      <c r="CB30" s="302"/>
      <c r="CD30" s="57" t="s">
        <v>1088</v>
      </c>
      <c r="CE30" s="443" t="s">
        <v>1142</v>
      </c>
      <c r="CJ30" s="57" t="s">
        <v>1088</v>
      </c>
      <c r="CK30" s="443" t="s">
        <v>1142</v>
      </c>
      <c r="CM30" s="286"/>
      <c r="CN30" s="300"/>
      <c r="CO30" s="206"/>
      <c r="CP30" s="206"/>
      <c r="CQ30" s="206"/>
      <c r="CR30" s="206"/>
    </row>
    <row r="31" spans="6:96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W31" s="367"/>
      <c r="X31" s="5"/>
      <c r="Z31" s="368"/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753</v>
      </c>
      <c r="BK31" s="219" t="s">
        <v>458</v>
      </c>
      <c r="BL31" s="249"/>
      <c r="BO31" s="5"/>
      <c r="BP31" s="5"/>
      <c r="BQ31" s="5"/>
      <c r="BR31" s="5"/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M31" s="286"/>
      <c r="CN31" s="300"/>
      <c r="CO31" s="206"/>
      <c r="CP31" s="206"/>
      <c r="CQ31" s="206"/>
      <c r="CR31" s="206"/>
    </row>
    <row r="32" spans="6:96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W32" s="367"/>
      <c r="X32" s="5"/>
      <c r="Z32" s="368"/>
      <c r="AA32" s="203"/>
      <c r="AB32" s="50"/>
      <c r="AC32" s="222" t="s">
        <v>754</v>
      </c>
      <c r="AD32" s="216" t="s">
        <v>687</v>
      </c>
      <c r="AE32" s="53"/>
      <c r="AH32" s="5"/>
      <c r="AI32" s="5"/>
      <c r="AJ32" s="5"/>
      <c r="AK32" s="5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754</v>
      </c>
      <c r="BK32" s="216" t="s">
        <v>687</v>
      </c>
      <c r="BL32" s="53"/>
      <c r="BO32" s="5"/>
      <c r="BP32" s="5"/>
      <c r="BQ32" s="5"/>
      <c r="BR32" s="5"/>
      <c r="BT32" s="50"/>
      <c r="BU32" s="55"/>
      <c r="BV32" s="55"/>
      <c r="BW32" s="55"/>
      <c r="BX32" s="332"/>
      <c r="BY32" s="206"/>
      <c r="BZ32" s="206"/>
      <c r="CA32" s="299"/>
      <c r="CB32" s="299"/>
      <c r="CM32" s="286"/>
      <c r="CN32" s="300"/>
      <c r="CO32" s="206"/>
      <c r="CP32" s="206"/>
      <c r="CQ32" s="206"/>
      <c r="CR32" s="206"/>
    </row>
    <row r="33" spans="6:96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ISB</v>
      </c>
      <c r="T33" s="53"/>
      <c r="W33" s="5"/>
      <c r="X33" s="5"/>
      <c r="Z33" s="5"/>
      <c r="AB33" s="50"/>
      <c r="AC33" s="222" t="s">
        <v>755</v>
      </c>
      <c r="AD33" s="216" t="str">
        <f>INDEX('STATIC DATA'!C7:AB7,1,MATCH($A$1,'STATIC DATA'!C4:AB4,0))</f>
        <v>2D</v>
      </c>
      <c r="AE33" s="53"/>
      <c r="AM33" s="50"/>
      <c r="AN33" s="222" t="s">
        <v>755</v>
      </c>
      <c r="AO33" s="216" t="str">
        <f>INDEX('STATIC DATA'!C7:AB7,1,MATCH($A$1,'STATIC DATA'!C4:AB4,0))</f>
        <v>2D</v>
      </c>
      <c r="AP33" s="53"/>
      <c r="AX33" s="50"/>
      <c r="AY33" s="222" t="s">
        <v>755</v>
      </c>
      <c r="AZ33" s="216" t="str">
        <f>INDEX('STATIC DATA'!N7:AL7,1,MATCH($A$1,'STATIC DATA'!N4:AL4,0))</f>
        <v>2D</v>
      </c>
      <c r="BA33" s="53"/>
      <c r="BI33" s="50"/>
      <c r="BJ33" s="222" t="s">
        <v>755</v>
      </c>
      <c r="BK33" s="216" t="str">
        <f>INDEX('STATIC DATA'!N29:AL29,1,MATCH($A$1,'STATIC DATA'!N4:AL4,0))</f>
        <v>2D</v>
      </c>
      <c r="BL33" s="53"/>
      <c r="BO33" s="5"/>
      <c r="BP33" s="5"/>
      <c r="BQ33" s="5"/>
      <c r="BR33" s="5"/>
      <c r="BT33" s="50"/>
      <c r="BU33" s="55"/>
      <c r="BV33" s="55"/>
      <c r="BW33" s="55"/>
      <c r="BX33" s="332"/>
      <c r="BY33" s="206"/>
      <c r="BZ33" s="206"/>
      <c r="CA33" s="305"/>
      <c r="CB33" s="299"/>
      <c r="CM33" s="286"/>
      <c r="CN33" s="300"/>
      <c r="CO33" s="206"/>
      <c r="CP33" s="206"/>
      <c r="CQ33" s="206"/>
      <c r="CR33" s="206"/>
    </row>
    <row r="34" spans="6:96" x14ac:dyDescent="0.25">
      <c r="F34" s="50"/>
      <c r="G34" s="222" t="s">
        <v>697</v>
      </c>
      <c r="H34" s="224">
        <v>1E-8</v>
      </c>
      <c r="I34" s="53"/>
      <c r="L34" s="5"/>
      <c r="M34" s="5"/>
      <c r="N34" s="5"/>
      <c r="O34" s="5"/>
      <c r="Q34" s="50"/>
      <c r="R34" s="222" t="s">
        <v>678</v>
      </c>
      <c r="S34" s="223" t="str">
        <f>INDEX('STATIC DATA'!C55:AB55,1,MATCH($A$1,'STATIC DATA'!C4:AB4,0))</f>
        <v>ACT/360</v>
      </c>
      <c r="T34" s="53"/>
      <c r="W34" s="5"/>
      <c r="X34" s="5"/>
      <c r="Z34" s="5"/>
      <c r="AB34" s="50"/>
      <c r="AC34" s="245" t="s">
        <v>756</v>
      </c>
      <c r="AD34" s="247" t="str">
        <f>$A$1&amp;"3M"</f>
        <v>TRY3M</v>
      </c>
      <c r="AE34" s="249" t="s">
        <v>801</v>
      </c>
      <c r="AM34" s="50"/>
      <c r="AN34" s="234" t="s">
        <v>756</v>
      </c>
      <c r="AO34" s="247" t="str">
        <f>$A$1&amp;"3M"</f>
        <v>TRY3M</v>
      </c>
      <c r="AP34" s="249" t="s">
        <v>801</v>
      </c>
      <c r="AX34" s="50"/>
      <c r="AY34" s="245" t="s">
        <v>756</v>
      </c>
      <c r="AZ34" s="244" t="str">
        <f>"AGAINST:"&amp;$A$1&amp;"3M"</f>
        <v>AGAINST:TRY3M</v>
      </c>
      <c r="BA34" s="53"/>
      <c r="BI34" s="50"/>
      <c r="BJ34" s="234" t="s">
        <v>757</v>
      </c>
      <c r="BK34" s="260" t="s">
        <v>773</v>
      </c>
      <c r="BL34" s="53"/>
      <c r="BO34" s="5"/>
      <c r="BP34" s="5"/>
      <c r="BQ34" s="5"/>
      <c r="BR34" s="5"/>
      <c r="BT34" s="50"/>
      <c r="BU34" s="55"/>
      <c r="BV34" s="55"/>
      <c r="BW34" s="55"/>
      <c r="BX34" s="332"/>
      <c r="BY34" s="206"/>
      <c r="BZ34" s="206"/>
      <c r="CA34" s="305"/>
      <c r="CB34" s="299"/>
      <c r="CM34" s="288"/>
      <c r="CN34" s="300"/>
      <c r="CO34" s="206"/>
      <c r="CP34" s="206"/>
      <c r="CQ34" s="206"/>
      <c r="CR34" s="206"/>
    </row>
    <row r="35" spans="6:96" x14ac:dyDescent="0.25">
      <c r="F35" s="50"/>
      <c r="G35" s="222" t="s">
        <v>698</v>
      </c>
      <c r="H35" s="223">
        <v>1000</v>
      </c>
      <c r="I35" s="53"/>
      <c r="Q35" s="50"/>
      <c r="R35" s="222" t="s">
        <v>679</v>
      </c>
      <c r="S35" s="223" t="s">
        <v>729</v>
      </c>
      <c r="T35" s="53"/>
      <c r="AB35" s="50"/>
      <c r="AC35" s="233" t="s">
        <v>757</v>
      </c>
      <c r="AD35" s="229" t="s">
        <v>714</v>
      </c>
      <c r="AE35" s="53"/>
      <c r="AM35" s="50"/>
      <c r="AN35" s="234" t="s">
        <v>757</v>
      </c>
      <c r="AO35" s="229" t="s">
        <v>426</v>
      </c>
      <c r="AP35" s="53"/>
      <c r="AX35" s="50"/>
      <c r="AY35" s="233" t="s">
        <v>757</v>
      </c>
      <c r="AZ35" s="244" t="str">
        <f>"AGAINST:OIS"</f>
        <v>AGAINST:OIS</v>
      </c>
      <c r="BA35" s="53"/>
      <c r="BI35" s="50"/>
      <c r="BJ35" s="234" t="s">
        <v>756</v>
      </c>
      <c r="BK35" s="260" t="s">
        <v>809</v>
      </c>
      <c r="BL35" s="53"/>
      <c r="BT35" s="50"/>
      <c r="BU35" s="55"/>
      <c r="BV35" s="55"/>
      <c r="BW35" s="55"/>
      <c r="BX35" s="332"/>
      <c r="BY35" s="299"/>
      <c r="BZ35" s="299"/>
      <c r="CA35" s="313"/>
      <c r="CB35" s="299"/>
      <c r="CM35" s="299"/>
      <c r="CN35" s="300"/>
      <c r="CO35" s="206"/>
      <c r="CP35" s="206"/>
      <c r="CQ35" s="206"/>
      <c r="CR35" s="206"/>
    </row>
    <row r="36" spans="6:96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DATA'!C7:AB7,1,MATCH($A$1,'STATIC DATA'!C4:AB4,0))</f>
        <v>2D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M36" s="299"/>
      <c r="CN36" s="300"/>
      <c r="CO36" s="206"/>
      <c r="CP36" s="206"/>
      <c r="CQ36" s="206"/>
      <c r="CR36" s="206"/>
    </row>
    <row r="37" spans="6:96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ACT/360</v>
      </c>
      <c r="AE37" s="53"/>
      <c r="AG37" s="2" t="s">
        <v>662</v>
      </c>
      <c r="AM37" s="50"/>
      <c r="AN37" s="222" t="s">
        <v>759</v>
      </c>
      <c r="AO37" s="216" t="str">
        <f>INDEX('STATIC DATA'!C55:AB55,1,MATCH($A$1,'STATIC DATA'!C4:AB4,0))</f>
        <v>ACT/360</v>
      </c>
      <c r="AP37" s="53"/>
      <c r="AX37" s="50"/>
      <c r="AY37" s="222" t="s">
        <v>759</v>
      </c>
      <c r="AZ37" s="216" t="str">
        <f>INDEX('STATIC DATA'!Y55:AY55,1,MATCH($A$1,'STATIC DATA'!Y4:AV4,0))</f>
        <v>ACT/360</v>
      </c>
      <c r="BA37" s="53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M37" s="299"/>
      <c r="CN37" s="300"/>
      <c r="CO37" s="206"/>
      <c r="CP37" s="206"/>
      <c r="CQ37" s="206"/>
      <c r="CR37" s="206"/>
    </row>
    <row r="38" spans="6:96" x14ac:dyDescent="0.25">
      <c r="F38" s="50"/>
      <c r="G38" s="222"/>
      <c r="H38" s="223"/>
      <c r="I38" s="53"/>
      <c r="K38" t="s">
        <v>434</v>
      </c>
      <c r="L38" t="str">
        <f>$A$1</f>
        <v>TRY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TRY</v>
      </c>
      <c r="AB38" s="50"/>
      <c r="AC38" s="222" t="s">
        <v>760</v>
      </c>
      <c r="AD38" s="216" t="str">
        <f>INDEX('STATIC DATA'!C39:AB39,1,MATCH($A$1,'STATIC DATA'!$C$4:$AB$4,0))</f>
        <v>ISB</v>
      </c>
      <c r="AE38" s="53"/>
      <c r="AG38" t="s">
        <v>434</v>
      </c>
      <c r="AH38" t="str">
        <f>$A$1</f>
        <v>TRY</v>
      </c>
      <c r="AM38" s="50"/>
      <c r="AN38" s="222" t="s">
        <v>760</v>
      </c>
      <c r="AO38" s="216" t="str">
        <f>INDEX('STATIC DATA'!C39:AB39,1,MATCH($A$1,'STATIC DATA'!$C$4:$AB$4,0))</f>
        <v>ISB</v>
      </c>
      <c r="AP38" s="53"/>
      <c r="AX38" s="50"/>
      <c r="AY38" s="222" t="s">
        <v>760</v>
      </c>
      <c r="AZ38" s="216" t="str">
        <f>INDEX('STATIC DATA'!C39:AB39,1,MATCH($A$1,'STATIC DATA'!$C$4:$AB$4,0))</f>
        <v>ISB</v>
      </c>
      <c r="BA38" s="53"/>
      <c r="BI38" s="50"/>
      <c r="BJ38" s="222" t="s">
        <v>760</v>
      </c>
      <c r="BK38" s="216" t="str">
        <f>INDEX('STATIC DATA'!C30:AB30,1,MATCH($A$1,'STATIC DATA'!$C$4:$AB$4,0))</f>
        <v>ISB:NYB</v>
      </c>
      <c r="BL38" s="53"/>
      <c r="BN38" t="s">
        <v>434</v>
      </c>
      <c r="BO38" t="str">
        <f>$A$1</f>
        <v>TRY</v>
      </c>
      <c r="BT38" s="50"/>
      <c r="BU38" s="55"/>
      <c r="BV38" s="55"/>
      <c r="BW38" s="55"/>
      <c r="BX38" s="332"/>
      <c r="BY38" s="147" t="s">
        <v>434</v>
      </c>
      <c r="BZ38" s="238" t="str">
        <f>"USD/"&amp;$A$1</f>
        <v>USD/TRY</v>
      </c>
      <c r="CA38" s="305"/>
      <c r="CB38" s="299"/>
      <c r="CD38" t="s">
        <v>434</v>
      </c>
      <c r="CE38" t="str">
        <f>$A$1</f>
        <v>TRY</v>
      </c>
      <c r="CJ38" t="s">
        <v>434</v>
      </c>
      <c r="CK38" t="str">
        <f>$A$1</f>
        <v>TRY</v>
      </c>
      <c r="CM38" s="299"/>
      <c r="CN38" s="300"/>
      <c r="CO38" s="206"/>
      <c r="CP38" s="206"/>
      <c r="CQ38" s="206"/>
      <c r="CR38" s="206"/>
    </row>
    <row r="39" spans="6:96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M39" s="299"/>
      <c r="CN39" s="300"/>
      <c r="CO39" s="206"/>
      <c r="CP39" s="206"/>
      <c r="CQ39" s="206"/>
      <c r="CR39" s="206"/>
    </row>
    <row r="40" spans="6:96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ISB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ISB</v>
      </c>
      <c r="AE40" s="53"/>
      <c r="AG40" t="s">
        <v>438</v>
      </c>
      <c r="AH40" t="s">
        <v>459</v>
      </c>
      <c r="AM40" s="50"/>
      <c r="AN40" s="225" t="s">
        <v>762</v>
      </c>
      <c r="AO40" s="219" t="str">
        <f>INDEX('STATIC DATA'!C39:AB39,1,MATCH($A$1,'STATIC DATA'!$C$4:$AB$4,0))</f>
        <v>ISB</v>
      </c>
      <c r="AP40" s="53"/>
      <c r="AX40" s="50"/>
      <c r="AY40" s="225" t="s">
        <v>762</v>
      </c>
      <c r="AZ40" s="219" t="str">
        <f>INDEX('STATIC DATA'!C39:AB39,1,MATCH($A$1,'STATIC DATA'!$C$4:$AB$4,0))</f>
        <v>ISB</v>
      </c>
      <c r="BA40" s="53"/>
      <c r="BI40" s="50"/>
      <c r="BJ40" s="225" t="s">
        <v>762</v>
      </c>
      <c r="BK40" s="219" t="str">
        <f>INDEX('STATIC DATA'!C30:AB30,1,MATCH($A$1,'STATIC DATA'!$C$4:$AB$4,0))</f>
        <v>ISB:NYB</v>
      </c>
      <c r="BL40" s="53"/>
      <c r="BN40" t="s">
        <v>438</v>
      </c>
      <c r="BO40" t="s">
        <v>1077</v>
      </c>
      <c r="BT40" s="50"/>
      <c r="BU40" s="55"/>
      <c r="BV40" s="55"/>
      <c r="BW40" s="55"/>
      <c r="BX40" s="332"/>
      <c r="BY40" s="149" t="s">
        <v>440</v>
      </c>
      <c r="BZ40" s="215">
        <f>BO41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M40" s="299"/>
      <c r="CN40" s="300"/>
      <c r="CO40" s="206"/>
      <c r="CP40" s="206"/>
      <c r="CQ40" s="206"/>
      <c r="CR40" s="206"/>
    </row>
    <row r="41" spans="6:96" x14ac:dyDescent="0.25">
      <c r="F41" s="50"/>
      <c r="G41" s="293" t="s">
        <v>833</v>
      </c>
      <c r="H41" s="223"/>
      <c r="I41" s="53"/>
      <c r="K41" t="s">
        <v>440</v>
      </c>
      <c r="L41" s="200">
        <f>StaticData.Today</f>
        <v>44083</v>
      </c>
      <c r="Q41" s="50"/>
      <c r="R41" s="222" t="s">
        <v>731</v>
      </c>
      <c r="S41" s="223" t="str">
        <f>INDEX('STATIC DATA'!C55:AB55,1,MATCH($A$1,'STATIC DATA'!C4:AB4,0))</f>
        <v>ACT/360</v>
      </c>
      <c r="T41" s="53"/>
      <c r="V41" t="s">
        <v>440</v>
      </c>
      <c r="W41" s="200">
        <f>L41</f>
        <v>44083</v>
      </c>
      <c r="AB41" s="50"/>
      <c r="AC41" s="225" t="s">
        <v>763</v>
      </c>
      <c r="AD41" s="219" t="str">
        <f>INDEX('STATIC DATA'!C7:AB7,1,MATCH($A$1,'STATIC DATA'!C4:AB4,0))</f>
        <v>2D</v>
      </c>
      <c r="AE41" s="53"/>
      <c r="AG41" t="s">
        <v>440</v>
      </c>
      <c r="AH41" s="200">
        <f>W41</f>
        <v>44083</v>
      </c>
      <c r="AM41" s="50"/>
      <c r="AN41" s="225" t="s">
        <v>763</v>
      </c>
      <c r="AO41" s="219" t="str">
        <f>INDEX('STATIC DATA'!C7:AB7,1,MATCH($A$1,'STATIC DATA'!C4:AB4,0))</f>
        <v>2D</v>
      </c>
      <c r="AP41" s="53"/>
      <c r="AX41" s="50"/>
      <c r="AY41" s="225" t="s">
        <v>763</v>
      </c>
      <c r="AZ41" s="216" t="str">
        <f>INDEX('STATIC DATA'!C7:AB7,1,MATCH($A$1,'STATIC DATA'!C4:AB4,0))</f>
        <v>2D</v>
      </c>
      <c r="BA41" s="53"/>
      <c r="BI41" s="50"/>
      <c r="BJ41" s="225" t="s">
        <v>763</v>
      </c>
      <c r="BK41" s="219" t="str">
        <f>INDEX('STATIC DATA'!N29:AL29,1,MATCH($A$1,'STATIC DATA'!N4:AL4,0))</f>
        <v>2D</v>
      </c>
      <c r="BL41" s="53"/>
      <c r="BN41" t="s">
        <v>440</v>
      </c>
      <c r="BO41" s="200">
        <f>AH41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BZ40</f>
        <v>44083</v>
      </c>
      <c r="CJ41" t="s">
        <v>440</v>
      </c>
      <c r="CK41" s="275">
        <f>CE41</f>
        <v>44083</v>
      </c>
      <c r="CM41" s="299"/>
      <c r="CN41" s="300"/>
      <c r="CO41" s="206"/>
      <c r="CP41" s="206"/>
      <c r="CQ41" s="206"/>
      <c r="CR41" s="206"/>
    </row>
    <row r="42" spans="6:96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tr">
        <f>INDEX('STATIC DATA'!C7:AB7,1,MATCH($A$1,'STATIC DATA'!C4:AB4,0))</f>
        <v>2D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M42" s="299"/>
      <c r="CN42" s="300"/>
      <c r="CO42" s="206"/>
      <c r="CP42" s="206"/>
      <c r="CQ42" s="206"/>
      <c r="CR42" s="206"/>
    </row>
    <row r="43" spans="6:96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ISB</v>
      </c>
      <c r="AE43" s="53"/>
      <c r="AG43" s="2" t="s">
        <v>441</v>
      </c>
      <c r="AM43" s="50"/>
      <c r="AN43" s="222" t="s">
        <v>765</v>
      </c>
      <c r="AO43" s="216" t="str">
        <f>INDEX('STATIC DATA'!C39:AB39,1,MATCH($A$1,'STATIC DATA'!$C$4:$AB$4,0))</f>
        <v>ISB</v>
      </c>
      <c r="AP43" s="53"/>
      <c r="AX43" s="50"/>
      <c r="AY43" s="222" t="s">
        <v>765</v>
      </c>
      <c r="AZ43" s="216" t="str">
        <f>INDEX('STATIC DATA'!C39:AB39,1,MATCH($A$1,'STATIC DATA'!$C$4:$AB$4,0))</f>
        <v>ISB</v>
      </c>
      <c r="BA43" s="53"/>
      <c r="BI43" s="50"/>
      <c r="BJ43" s="222" t="s">
        <v>765</v>
      </c>
      <c r="BK43" s="216" t="str">
        <f>INDEX('STATIC DATA'!C30:AB30,1,MATCH($A$1,'STATIC DATA'!$C$4:$AB$4,0))</f>
        <v>ISB:NYB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M43" s="299"/>
      <c r="CN43" s="300"/>
      <c r="CO43" s="206"/>
      <c r="CP43" s="206"/>
      <c r="CQ43" s="206"/>
      <c r="CR43" s="206"/>
    </row>
    <row r="44" spans="6:96" x14ac:dyDescent="0.25">
      <c r="F44" s="50"/>
      <c r="G44" s="222"/>
      <c r="H44" s="223"/>
      <c r="I44" s="53"/>
      <c r="K44" t="s">
        <v>442</v>
      </c>
      <c r="L44" s="206" t="str">
        <f>L38&amp;"_"&amp;L39&amp;"_CURVE_MARKETDATA"</f>
        <v>TRY_OIS_CURVE_MARKETDATA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TRY_SWAP_3M_CURVE_MARKETDATA</v>
      </c>
      <c r="AB44" s="50"/>
      <c r="AC44" s="222" t="s">
        <v>766</v>
      </c>
      <c r="AD44" s="216" t="str">
        <f>INDEX('STATIC DATA'!C55:AB55,1,MATCH($A$1,'STATIC DATA'!C4:AB4,0))</f>
        <v>ACT/360</v>
      </c>
      <c r="AE44" s="53"/>
      <c r="AG44" t="s">
        <v>442</v>
      </c>
      <c r="AH44" t="str">
        <f>A1&amp;"_BASIS_3M6M_MARKETDATA"</f>
        <v>TRY_BASIS_3M6M_MARKETDATA</v>
      </c>
      <c r="AM44" s="50"/>
      <c r="AN44" s="222" t="s">
        <v>766</v>
      </c>
      <c r="AO44" s="216" t="str">
        <f>INDEX('STATIC DATA'!C55:AB55,1,MATCH($A$1,'STATIC DATA'!C4:AB4,0))</f>
        <v>ACT/360</v>
      </c>
      <c r="AP44" s="53"/>
      <c r="AX44" s="50"/>
      <c r="AY44" s="222" t="s">
        <v>766</v>
      </c>
      <c r="AZ44" s="216" t="str">
        <f>INDEX('STATIC DATA'!Y55:AY55,1,MATCH($A$1,'STATIC DATA'!Y4:AV4,0))</f>
        <v>ACT/360</v>
      </c>
      <c r="BA44" s="53"/>
      <c r="BI44" s="50"/>
      <c r="BJ44" s="222" t="s">
        <v>766</v>
      </c>
      <c r="BK44" s="216" t="str">
        <f>INDEX('STATIC DATA'!C55:AB55,1,MATCH($A$1,'STATIC DATA'!C4:AB4,0))</f>
        <v>ACT/360</v>
      </c>
      <c r="BL44" s="53"/>
      <c r="BN44" t="s">
        <v>442</v>
      </c>
      <c r="BO44" t="str">
        <f>A1&amp;"_"&amp;BO39&amp;"_CURVE_MARKETDATA"</f>
        <v>TRY_XCCYBASIS_CURVE_MARKETDATA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968</v>
      </c>
      <c r="CA44" s="325"/>
      <c r="CB44" s="303"/>
      <c r="CD44" t="s">
        <v>442</v>
      </c>
      <c r="CE44" t="str">
        <f>$A$1&amp;"_FXFWD_MARKET_DATA"</f>
        <v>TRY_FXFWD_MARKET_DATA</v>
      </c>
      <c r="CJ44" t="s">
        <v>442</v>
      </c>
      <c r="CK44" t="str">
        <f>$A$1&amp;"_FXFWD_MARKET_DATA"</f>
        <v>TRY_FXFWD_MARKET_DATA</v>
      </c>
      <c r="CM44" s="299"/>
      <c r="CN44" s="300"/>
      <c r="CO44" s="206"/>
      <c r="CP44" s="206"/>
      <c r="CQ44" s="206"/>
      <c r="CR44" s="206"/>
    </row>
    <row r="45" spans="6:96" x14ac:dyDescent="0.25">
      <c r="F45" s="50"/>
      <c r="G45" s="222"/>
      <c r="H45" s="223"/>
      <c r="I45" s="53"/>
      <c r="K45" t="s">
        <v>444</v>
      </c>
      <c r="L45" s="206" t="str">
        <f>_xll.meLWOCurveMarketDataCreate(L44,"MarketDataProperties",K38:L41,"OIS",K7:L26)</f>
        <v>TRY_OIS_CURVE_MARKETDATA@53:42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_xll.meLWOCurveMarketDataCreate(W44,V37,V38:W42,"LIBORFIXINGS",V7:X11,"SWAPS",V12:X21)</f>
        <v>TRY_SWAP_3M_CURVE_MARKETDATA@55:42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_xll.meLWOCurveMarketDataCreate(AH44,AG37,AG38:AH42,"BASISSWAPS",AG7:AI16)</f>
        <v>TRY_BASIS_3M6M_MARKETDATA@45:42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22" t="s">
        <v>767</v>
      </c>
      <c r="BK45" s="216" t="s">
        <v>680</v>
      </c>
      <c r="BL45" s="53"/>
      <c r="BN45" t="s">
        <v>444</v>
      </c>
      <c r="BO45" t="str">
        <f>_xll.meLWOCurveMarketDataCreate(BO44,BN37,BN38:BO41,"XCCYSWAPS",BN17:BP26,"FXSPOTS",BN7:BP7,"FXFWDS",BN8:BP16)</f>
        <v>TRY_XCCYBASIS_CURVE_MARKETDATA@52:42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_xll.meLWOCurveMarketDataCreate(BZ44,"MARKETDATAPROPERTIES",BY38:BZ41,"FXSPOTS",BZ7:CA7,"FXFWDS",BY8:CA22)</f>
        <v>MKTDATA_USDTRY@285:42</v>
      </c>
      <c r="CA45" s="313"/>
      <c r="CB45" s="313"/>
      <c r="CD45" t="s">
        <v>444</v>
      </c>
      <c r="CE45" t="str">
        <f>_xll.meLWOCurveMarketDataCreate(CE44,CD37,CD38:CE41)</f>
        <v>TRY_FXFWD_MARKET_DATA@46:42</v>
      </c>
      <c r="CJ45" t="s">
        <v>444</v>
      </c>
      <c r="CK45" t="str">
        <f>_xll.meLWOCurveMarketDataCreate(CK44,CJ37,CJ38:CK41)</f>
        <v>TRY_FXFWD_MARKET_DATA@47:42</v>
      </c>
      <c r="CM45" s="299"/>
      <c r="CN45" s="300"/>
      <c r="CO45" s="206"/>
      <c r="CP45" s="206"/>
      <c r="CQ45" s="206"/>
      <c r="CR45" s="206"/>
    </row>
    <row r="46" spans="6:96" x14ac:dyDescent="0.25">
      <c r="F46" s="50"/>
      <c r="G46" s="225"/>
      <c r="H46" s="226"/>
      <c r="I46" s="53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458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M46" s="299"/>
      <c r="CN46" s="300"/>
      <c r="CO46" s="206"/>
      <c r="CP46" s="206"/>
      <c r="CQ46" s="206"/>
      <c r="CR46" s="206"/>
    </row>
    <row r="47" spans="6:96" x14ac:dyDescent="0.25">
      <c r="F47" s="50"/>
      <c r="G47" s="52"/>
      <c r="H47" s="52"/>
      <c r="I47" s="53"/>
      <c r="K47" s="2" t="s">
        <v>447</v>
      </c>
      <c r="L47" s="206"/>
      <c r="Q47" s="50"/>
      <c r="R47" s="54" t="s">
        <v>461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22" t="s">
        <v>770</v>
      </c>
      <c r="BK47" s="216" t="str">
        <f>INDEX('STATIC DATA'!N29:AL29,1,MATCH($A$1,'STATIC DATA'!N4:AL4,0))</f>
        <v>2D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M47" s="299"/>
      <c r="CN47" s="300"/>
      <c r="CO47" s="206"/>
      <c r="CP47" s="206"/>
      <c r="CQ47" s="206"/>
      <c r="CR47" s="206"/>
    </row>
    <row r="48" spans="6:96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TRY_OIS_CURVE</v>
      </c>
      <c r="Q48" s="50"/>
      <c r="R48" s="220" t="s">
        <v>677</v>
      </c>
      <c r="S48" s="221" t="str">
        <f>INDEX('STATIC DATA'!C39:AB39,1,MATCH($A$1,'STATIC DATA'!$C$4:$AB$4,0))</f>
        <v>ISB</v>
      </c>
      <c r="T48" s="53"/>
      <c r="V48" t="s">
        <v>442</v>
      </c>
      <c r="W48" t="str">
        <f>W38&amp;"_"&amp;W39&amp;"_"&amp;INDEX('STATIC DATA'!$C$56:$AB$56,1,MATCH($W38,'STATIC DATA'!$C$4:$AB$4,0))&amp;"_CURVE"</f>
        <v>TRY_SWAP_3M_CURVE</v>
      </c>
      <c r="AB48" s="50"/>
      <c r="AC48" s="225" t="s">
        <v>770</v>
      </c>
      <c r="AD48" s="219" t="str">
        <f>INDEX('STATIC DATA'!C7:AB7,1,MATCH($A$1,'STATIC DATA'!C4:AB4,0))</f>
        <v>2D</v>
      </c>
      <c r="AE48" s="53"/>
      <c r="AG48" t="s">
        <v>442</v>
      </c>
      <c r="AH48" t="str">
        <f>A1&amp;"_BASIS_3M6M_CURVE"</f>
        <v>TRY_BASIS_3M6M_CURVE</v>
      </c>
      <c r="AM48" s="50"/>
      <c r="AN48" s="225" t="s">
        <v>770</v>
      </c>
      <c r="AO48" s="219" t="str">
        <f>INDEX('STATIC DATA'!C7:AB7,1,MATCH($A$1,'STATIC DATA'!C4:AB4,0))</f>
        <v>2D</v>
      </c>
      <c r="AP48" s="53"/>
      <c r="AX48" s="50"/>
      <c r="AY48" s="225" t="s">
        <v>770</v>
      </c>
      <c r="AZ48" s="216" t="str">
        <f>INDEX('STATIC DATA'!C7:AB7,1,MATCH($A$1,'STATIC DATA'!C4:AB4,0))</f>
        <v>2D</v>
      </c>
      <c r="BA48" s="53"/>
      <c r="BI48" s="50"/>
      <c r="BJ48" s="234" t="s">
        <v>772</v>
      </c>
      <c r="BK48" s="247" t="s">
        <v>842</v>
      </c>
      <c r="BL48" s="249" t="s">
        <v>801</v>
      </c>
      <c r="BN48" t="s">
        <v>442</v>
      </c>
      <c r="BO48" t="str">
        <f>A1&amp;"_"&amp;BO39&amp;"_CURVE"</f>
        <v>TRY_XCCYBASIS_CURVE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1143</v>
      </c>
      <c r="CJ48" t="s">
        <v>442</v>
      </c>
      <c r="CK48" t="s">
        <v>1145</v>
      </c>
      <c r="CM48" s="299"/>
      <c r="CN48" s="300"/>
      <c r="CO48" s="206"/>
      <c r="CP48" s="206"/>
      <c r="CQ48" s="206"/>
      <c r="CR48" s="206"/>
    </row>
    <row r="49" spans="6:96" x14ac:dyDescent="0.25">
      <c r="F49" s="50"/>
      <c r="G49" s="220" t="s">
        <v>704</v>
      </c>
      <c r="H49" s="221" t="str">
        <f>INDEX('STATIC DATA'!C43:AB43,1,MATCH(A1,'STATIC DATA'!$C$4:$AB$4,0))</f>
        <v>ISB</v>
      </c>
      <c r="I49" s="53"/>
      <c r="K49" t="s">
        <v>450</v>
      </c>
      <c r="L49" s="206" t="str">
        <f>H8</f>
        <v>TRY_OIS@330:6</v>
      </c>
      <c r="Q49" s="50"/>
      <c r="R49" s="222" t="s">
        <v>678</v>
      </c>
      <c r="S49" s="223" t="str">
        <f>INDEX('STATIC DATA'!C55:AB55,1,MATCH($A$1,'STATIC DATA'!C4:AB4,0))</f>
        <v>ACT/360</v>
      </c>
      <c r="T49" s="53"/>
      <c r="V49" t="s">
        <v>450</v>
      </c>
      <c r="W49" t="str">
        <f>S8</f>
        <v>TRY_SWAP_3M@334:6</v>
      </c>
      <c r="AB49" s="50"/>
      <c r="AC49" s="234" t="s">
        <v>771</v>
      </c>
      <c r="AD49" s="242" t="str">
        <f>"AGAINST:"&amp;$A$1&amp;"3M"</f>
        <v>AGAINST:TRY3M</v>
      </c>
      <c r="AE49" s="53"/>
      <c r="AG49" t="s">
        <v>450</v>
      </c>
      <c r="AH49" t="str">
        <f>AD8</f>
        <v>TRY_BASIS_3M6M@333:6</v>
      </c>
      <c r="AM49" s="50"/>
      <c r="AN49" s="234" t="s">
        <v>771</v>
      </c>
      <c r="AO49" s="242" t="str">
        <f>"AGAINST:"&amp;A1&amp;"3M"</f>
        <v>AGAINST:TRY3M</v>
      </c>
      <c r="AP49" s="53"/>
      <c r="AX49" s="50"/>
      <c r="AY49" s="234" t="s">
        <v>771</v>
      </c>
      <c r="AZ49" s="248" t="str">
        <f>$A$1&amp;"3M"</f>
        <v>TRY3M</v>
      </c>
      <c r="BA49" s="249" t="s">
        <v>801</v>
      </c>
      <c r="BI49" s="50"/>
      <c r="BJ49" s="234" t="s">
        <v>771</v>
      </c>
      <c r="BK49" s="242" t="s">
        <v>842</v>
      </c>
      <c r="BL49" s="53"/>
      <c r="BN49" t="s">
        <v>450</v>
      </c>
      <c r="BO49" t="str">
        <f>BK8</f>
        <v>TRY_XCCY@331:6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TRY_EURCSA@329:6</v>
      </c>
      <c r="CJ49" t="s">
        <v>450</v>
      </c>
      <c r="CK49" t="str">
        <f>CK8</f>
        <v>TRY_JPYCSA@335:6</v>
      </c>
      <c r="CM49" s="299"/>
      <c r="CN49" s="300"/>
      <c r="CO49" s="206"/>
      <c r="CP49" s="206"/>
      <c r="CQ49" s="206"/>
      <c r="CR49" s="206"/>
    </row>
    <row r="50" spans="6:96" x14ac:dyDescent="0.25">
      <c r="F50" s="50"/>
      <c r="G50" s="222" t="s">
        <v>705</v>
      </c>
      <c r="H50" s="223" t="str">
        <f>INDEX('STATIC DATA'!C55:AB55,1,MATCH(A1,'STATIC DATA'!C4:AB4,0))</f>
        <v>ACT/360</v>
      </c>
      <c r="I50" s="53"/>
      <c r="K50" t="s">
        <v>452</v>
      </c>
      <c r="L50" s="206" t="str">
        <f>$A$1&amp;"YC"</f>
        <v>TRYYC</v>
      </c>
      <c r="Q50" s="50"/>
      <c r="R50" s="222" t="s">
        <v>683</v>
      </c>
      <c r="S50" s="223" t="str">
        <f>INDEX('STATIC DATA'!C7:AB7,1,MATCH($A$1,'STATIC DATA'!C4:AB4,0))</f>
        <v>2D</v>
      </c>
      <c r="T50" s="53"/>
      <c r="V50" t="s">
        <v>452</v>
      </c>
      <c r="W50" t="str">
        <f>$A$1&amp;"YC"</f>
        <v>TRYYC</v>
      </c>
      <c r="AB50" s="50"/>
      <c r="AC50" s="234" t="s">
        <v>772</v>
      </c>
      <c r="AD50" s="242" t="s">
        <v>966</v>
      </c>
      <c r="AE50" s="53"/>
      <c r="AG50" t="s">
        <v>452</v>
      </c>
      <c r="AH50" t="str">
        <f>A1&amp;"YC"</f>
        <v>TRYYC</v>
      </c>
      <c r="AM50" s="50"/>
      <c r="AN50" s="234" t="s">
        <v>772</v>
      </c>
      <c r="AO50" s="242" t="str">
        <f>"AGAINST:OIS"</f>
        <v>AGAINST:OIS</v>
      </c>
      <c r="AP50" s="53"/>
      <c r="AX50" s="50"/>
      <c r="AY50" s="234" t="s">
        <v>772</v>
      </c>
      <c r="AZ50" s="242" t="s">
        <v>426</v>
      </c>
      <c r="BA50" s="53"/>
      <c r="BI50" s="50"/>
      <c r="BJ50" s="245" t="s">
        <v>774</v>
      </c>
      <c r="BK50" s="244" t="s">
        <v>322</v>
      </c>
      <c r="BL50" s="53"/>
      <c r="BN50" t="s">
        <v>452</v>
      </c>
      <c r="BO50" t="str">
        <f>A1&amp;"YC"</f>
        <v>TRYYC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999</v>
      </c>
      <c r="CJ50" t="s">
        <v>452</v>
      </c>
      <c r="CK50" t="s">
        <v>999</v>
      </c>
      <c r="CM50" s="299"/>
      <c r="CN50" s="300"/>
      <c r="CO50" s="206"/>
      <c r="CP50" s="206"/>
      <c r="CQ50" s="206"/>
      <c r="CR50" s="206"/>
    </row>
    <row r="51" spans="6:96" x14ac:dyDescent="0.25">
      <c r="F51" s="50"/>
      <c r="G51" s="222" t="s">
        <v>706</v>
      </c>
      <c r="H51" s="223" t="s">
        <v>680</v>
      </c>
      <c r="I51" s="53"/>
      <c r="K51" t="s">
        <v>453</v>
      </c>
      <c r="L51" s="206"/>
      <c r="Q51" s="50"/>
      <c r="R51" s="222" t="s">
        <v>686</v>
      </c>
      <c r="S51" s="223" t="s">
        <v>687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2" t="s">
        <v>775</v>
      </c>
      <c r="BK51" s="216" t="str">
        <f>INDEX('STATIC DATA'!C55:AB55,1,MATCH($A$1,'STATIC DATA'!C4:AB4,0))</f>
        <v>ACT/360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M51" s="299"/>
      <c r="CN51" s="300"/>
      <c r="CO51" s="206"/>
      <c r="CP51" s="206"/>
      <c r="CQ51" s="206"/>
      <c r="CR51" s="206"/>
    </row>
    <row r="52" spans="6:96" x14ac:dyDescent="0.25">
      <c r="F52" s="50"/>
      <c r="G52" s="225" t="s">
        <v>707</v>
      </c>
      <c r="H52" s="226" t="s">
        <v>687</v>
      </c>
      <c r="I52" s="53"/>
      <c r="Q52" s="50"/>
      <c r="R52" s="233" t="s">
        <v>733</v>
      </c>
      <c r="S52" s="231">
        <v>0.03</v>
      </c>
      <c r="T52" s="53"/>
      <c r="AB52" s="50"/>
      <c r="AC52" s="222" t="s">
        <v>775</v>
      </c>
      <c r="AD52" s="216" t="str">
        <f>INDEX('STATIC DATA'!C55:AB55,1,MATCH($A$1,'STATIC DATA'!C4:AB4,0))</f>
        <v>ACT/360</v>
      </c>
      <c r="AE52" s="53"/>
      <c r="AM52" s="50"/>
      <c r="AN52" s="222" t="s">
        <v>775</v>
      </c>
      <c r="AO52" s="216" t="str">
        <f>INDEX('STATIC DATA'!C55:AB55,1,MATCH($A$1,'STATIC DATA'!C4:AB4,0))</f>
        <v>ACT/360</v>
      </c>
      <c r="AP52" s="53"/>
      <c r="AX52" s="50"/>
      <c r="AY52" s="222" t="s">
        <v>775</v>
      </c>
      <c r="AZ52" s="216" t="str">
        <f>INDEX('STATIC DATA'!Y55:AY55,1,MATCH($A$1,'STATIC DATA'!Y4:AV4,0))</f>
        <v>ACT/360</v>
      </c>
      <c r="BA52" s="53"/>
      <c r="BI52" s="50"/>
      <c r="BJ52" s="222" t="s">
        <v>776</v>
      </c>
      <c r="BK52" s="216" t="str">
        <f>INDEX('STATIC DATA'!C39:AB39,1,MATCH($A$1,'STATIC DATA'!$C$4:$AB$4,0))</f>
        <v>ISB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M52" s="299"/>
      <c r="CN52" s="300"/>
      <c r="CO52" s="206"/>
      <c r="CP52" s="206"/>
      <c r="CQ52" s="206"/>
      <c r="CR52" s="206"/>
    </row>
    <row r="53" spans="6:96" x14ac:dyDescent="0.25">
      <c r="F53" s="50"/>
      <c r="G53" s="52"/>
      <c r="H53" s="52"/>
      <c r="I53" s="53"/>
      <c r="K53" s="2" t="s">
        <v>454</v>
      </c>
      <c r="Q53" s="50"/>
      <c r="R53" s="222"/>
      <c r="S53" s="223"/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ISB</v>
      </c>
      <c r="AE53" s="53"/>
      <c r="AG53" s="2" t="s">
        <v>454</v>
      </c>
      <c r="AM53" s="50"/>
      <c r="AN53" s="222" t="s">
        <v>776</v>
      </c>
      <c r="AO53" s="216" t="str">
        <f>INDEX('STATIC DATA'!C39:AB39,1,MATCH($A$1,'STATIC DATA'!$C$4:$AB$4,0))</f>
        <v>ISB</v>
      </c>
      <c r="AP53" s="53"/>
      <c r="AX53" s="50"/>
      <c r="AY53" s="222" t="s">
        <v>776</v>
      </c>
      <c r="AZ53" s="216" t="str">
        <f>INDEX('STATIC DATA'!C39:AB39,1,MATCH($A$1,'STATIC DATA'!$C$4:$AB$4,0))</f>
        <v>ISB</v>
      </c>
      <c r="BA53" s="53"/>
      <c r="BI53" s="50"/>
      <c r="BJ53" s="222" t="s">
        <v>777</v>
      </c>
      <c r="BK53" s="216" t="s">
        <v>721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M53" s="332"/>
      <c r="CN53" s="300"/>
      <c r="CO53" s="206"/>
      <c r="CP53" s="206"/>
      <c r="CQ53" s="206"/>
      <c r="CR53" s="206"/>
    </row>
    <row r="54" spans="6:96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TRY_OIS_CURVE@54:10</v>
      </c>
      <c r="Q54" s="50"/>
      <c r="R54" s="225"/>
      <c r="S54" s="226"/>
      <c r="T54" s="53"/>
      <c r="V54" t="s">
        <v>442</v>
      </c>
      <c r="W54" s="647" t="str">
        <f t="array" ref="W54:W57">IF(ExistsTRYOIS,_xll.meLWOCurveCalibrate(W48,W49,W45,W50),"LOAD DEPENDENCY")</f>
        <v>TRY_SWAP_3M_CURVE@444:10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IF(ExistsTRY3M,_xll.meLWOCurveCalibrate($AH$48,$AH$49,$AH$45,$AH$50),"LOAD DEPENDENCY")</f>
        <v>TRY_BASIS_3M6M_CURVE@445:10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778</v>
      </c>
      <c r="BK54" s="216" t="str">
        <f>INDEX('STATIC DATA'!C40:AB40,1,MATCH($A$1,'STATIC DATA'!$C$4:$AB$4,0))</f>
        <v>ISB</v>
      </c>
      <c r="BL54" s="53"/>
      <c r="BN54" t="s">
        <v>442</v>
      </c>
      <c r="BO54" s="647" t="str">
        <f t="array" ref="BO54:BO57">IF(AND(ExistsTRY3M,ExistsUSD3M),_xll.meLWOCurveCalibrate($BO$48,$BO$49,$BO$45,$BO$50,$BO$51),"LOAD DEPENDENCY")</f>
        <v>TRY_XCCYBASIS_CURVE@484:2</v>
      </c>
      <c r="BT54" s="50"/>
      <c r="BU54" s="55"/>
      <c r="BV54" s="55"/>
      <c r="BW54" s="55"/>
      <c r="BX54" s="332"/>
      <c r="BY54" s="270" t="s">
        <v>831</v>
      </c>
      <c r="BZ54" s="271" t="s">
        <v>969</v>
      </c>
      <c r="CA54" s="283"/>
      <c r="CB54" s="299"/>
      <c r="CD54" t="s">
        <v>442</v>
      </c>
      <c r="CE54" s="647" t="str">
        <f t="array" ref="CE54:CE57">IF(AND(ExistsTRYXCCY,ExistsEURXCCY),_xll.meLWOCurveCalibrate(CE48,CE49,CE45,CE50,CE51),"LOAD TRYDF_USDCSA")</f>
        <v>TRY_EURCSA_CURVE@522:2</v>
      </c>
      <c r="CJ54" t="s">
        <v>442</v>
      </c>
      <c r="CK54" s="647" t="str">
        <f t="array" ref="CK54:CK57">IF(AND(ExistsTRYXCCY,ExistsJPYXCCY),_xll.meLWOCurveCalibrate(CK48,CK49,CK45,CK50,CK51),"LOAD DEPENDENCY")</f>
        <v>TRY_JPYCSA_CURVE@500:2</v>
      </c>
      <c r="CM54" s="332"/>
      <c r="CN54" s="300"/>
      <c r="CO54" s="206"/>
      <c r="CP54" s="206"/>
      <c r="CQ54" s="206"/>
      <c r="CR54" s="206"/>
    </row>
    <row r="55" spans="6:96" x14ac:dyDescent="0.25">
      <c r="F55" s="50"/>
      <c r="G55" s="220" t="s">
        <v>677</v>
      </c>
      <c r="H55" s="221" t="str">
        <f>INDEX('STATIC DATA'!C43:AB43,1,MATCH(A1,'STATIC DATA'!$C$4:$AB$4,0))</f>
        <v>ISB</v>
      </c>
      <c r="I55" s="53"/>
      <c r="K55" t="s">
        <v>455</v>
      </c>
      <c r="L55" t="str">
        <v>TRYYC</v>
      </c>
      <c r="Q55" s="50"/>
      <c r="R55" s="52" t="s">
        <v>713</v>
      </c>
      <c r="S55" s="52" t="s">
        <v>713</v>
      </c>
      <c r="T55" s="53"/>
      <c r="V55" t="s">
        <v>455</v>
      </c>
      <c r="W55" s="206" t="str">
        <v>TRYYC</v>
      </c>
      <c r="AB55" s="50"/>
      <c r="AC55" s="222" t="s">
        <v>778</v>
      </c>
      <c r="AD55" s="216" t="str">
        <f>INDEX('STATIC DATA'!C39:AB39,1,MATCH($A$1,'STATIC DATA'!$C$4:$AB$4,0))</f>
        <v>ISB</v>
      </c>
      <c r="AE55" s="53"/>
      <c r="AG55" t="s">
        <v>455</v>
      </c>
      <c r="AH55" t="str">
        <v>TRYYC</v>
      </c>
      <c r="AM55" s="50"/>
      <c r="AN55" s="222" t="s">
        <v>778</v>
      </c>
      <c r="AO55" s="216" t="str">
        <f>INDEX('STATIC DATA'!C39:AB39,1,MATCH($A$1,'STATIC DATA'!$C$4:$AB$4,0))</f>
        <v>ISB</v>
      </c>
      <c r="AP55" s="53"/>
      <c r="AX55" s="50"/>
      <c r="AY55" s="222" t="s">
        <v>778</v>
      </c>
      <c r="AZ55" s="216" t="str">
        <f>INDEX('STATIC DATA'!C39:AB39,1,MATCH($A$1,'STATIC DATA'!$C$4:$AB$4,0))</f>
        <v>ISB</v>
      </c>
      <c r="BA55" s="53"/>
      <c r="BI55" s="50"/>
      <c r="BJ55" s="222" t="s">
        <v>779</v>
      </c>
      <c r="BK55" s="216" t="str">
        <f>INDEX('STATIC DATA'!N29:AL29,1,MATCH($A$1,'STATIC DATA'!N4:AL4,0))</f>
        <v>2D</v>
      </c>
      <c r="BL55" s="53"/>
      <c r="BN55" t="s">
        <v>455</v>
      </c>
      <c r="BO55" t="str">
        <v>TRYYC</v>
      </c>
      <c r="BT55" s="50"/>
      <c r="BU55" s="55"/>
      <c r="BV55" s="55"/>
      <c r="BW55" s="55"/>
      <c r="BX55" s="332"/>
      <c r="BZ55" s="263" t="str">
        <f>_xll.meLWOFXCurveCreate(BZ54,BV8,BZ45)</f>
        <v>FX_CURVE_USDTRY@286:10</v>
      </c>
      <c r="CA55" s="283"/>
      <c r="CB55" s="299"/>
      <c r="CD55" t="s">
        <v>455</v>
      </c>
      <c r="CE55" t="str">
        <v>TRYYC</v>
      </c>
      <c r="CJ55" t="s">
        <v>455</v>
      </c>
      <c r="CK55" t="str">
        <v>TRYYC</v>
      </c>
      <c r="CM55" s="332"/>
      <c r="CN55" s="300"/>
      <c r="CO55" s="206"/>
      <c r="CP55" s="206"/>
      <c r="CQ55" s="206"/>
      <c r="CR55" s="206"/>
    </row>
    <row r="56" spans="6:96" x14ac:dyDescent="0.25">
      <c r="F56" s="50"/>
      <c r="G56" s="222" t="s">
        <v>709</v>
      </c>
      <c r="H56" s="223" t="str">
        <f>INDEX('STATIC DATA'!C53:AB53,1,MATCH(A1,'STATIC DATA'!C4:AB4,0))</f>
        <v>ACT/360</v>
      </c>
      <c r="I56" s="53"/>
      <c r="K56" t="s">
        <v>456</v>
      </c>
      <c r="L56" t="str">
        <v>OIS:TRYOIS</v>
      </c>
      <c r="Q56" s="50"/>
      <c r="R56" s="54" t="s">
        <v>428</v>
      </c>
      <c r="S56" s="52" t="s">
        <v>713</v>
      </c>
      <c r="T56" s="53"/>
      <c r="V56" t="s">
        <v>456</v>
      </c>
      <c r="W56" s="206" t="str">
        <v>STD:TRY3M</v>
      </c>
      <c r="AB56" s="50"/>
      <c r="AC56" s="222" t="s">
        <v>779</v>
      </c>
      <c r="AD56" s="216" t="str">
        <f>INDEX('STATIC DATA'!C7:AB7,1,MATCH($A$1,'STATIC DATA'!C4:AB4,0))</f>
        <v>2D</v>
      </c>
      <c r="AE56" s="53"/>
      <c r="AG56" t="s">
        <v>456</v>
      </c>
      <c r="AH56" t="str">
        <v>3M6MBasis:TRY6M</v>
      </c>
      <c r="AM56" s="50"/>
      <c r="AN56" s="222" t="s">
        <v>779</v>
      </c>
      <c r="AO56" s="216" t="str">
        <f>INDEX('STATIC DATA'!C7:AB7,1,MATCH($A$1,'STATIC DATA'!C4:AB4,0))</f>
        <v>2D</v>
      </c>
      <c r="AP56" s="53"/>
      <c r="AX56" s="50"/>
      <c r="AY56" s="222" t="s">
        <v>779</v>
      </c>
      <c r="AZ56" s="216" t="str">
        <f>INDEX('STATIC DATA'!C7:AB7,1,MATCH($A$1,'STATIC DATA'!C4:AB4,0))</f>
        <v>2D</v>
      </c>
      <c r="BA56" s="53"/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XccyBasis:TRYDF_USDCSA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FwdFXConstEUR:TRYDF_EURCSA</v>
      </c>
      <c r="CJ56" t="s">
        <v>456</v>
      </c>
      <c r="CK56" t="str">
        <v>FwdFXConstJPY:TRYDF_JPYCSA</v>
      </c>
      <c r="CM56" s="332"/>
      <c r="CN56" s="300"/>
      <c r="CO56" s="206"/>
      <c r="CP56" s="206"/>
      <c r="CQ56" s="206"/>
      <c r="CR56" s="206"/>
    </row>
    <row r="57" spans="6:96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ANNUAL</v>
      </c>
      <c r="I57" s="53"/>
      <c r="K57" t="s">
        <v>664</v>
      </c>
      <c r="L57" t="str">
        <v>0.061000 sec</v>
      </c>
      <c r="Q57" s="50"/>
      <c r="R57" s="220" t="s">
        <v>704</v>
      </c>
      <c r="S57" s="221" t="str">
        <f>INDEX('STATIC DATA'!C43:AB43,1,MATCH($A$1,'STATIC DATA'!$C$4:$AB$4,0))</f>
        <v>ISB</v>
      </c>
      <c r="T57" s="53"/>
      <c r="V57" t="s">
        <v>664</v>
      </c>
      <c r="W57" s="206" t="str">
        <v>0.005000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0.005000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33" t="s">
        <v>781</v>
      </c>
      <c r="BK57" s="241" t="s">
        <v>810</v>
      </c>
      <c r="BL57" s="53"/>
      <c r="BN57" t="s">
        <v>664</v>
      </c>
      <c r="BO57" t="str">
        <v>0.007000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M57" s="332"/>
      <c r="CN57" s="300"/>
      <c r="CO57" s="206"/>
      <c r="CP57" s="206"/>
      <c r="CQ57" s="206"/>
      <c r="CR57" s="206"/>
    </row>
    <row r="58" spans="6:96" x14ac:dyDescent="0.25">
      <c r="F58" s="50"/>
      <c r="G58" s="225" t="s">
        <v>686</v>
      </c>
      <c r="H58" s="226" t="s">
        <v>687</v>
      </c>
      <c r="I58" s="53"/>
      <c r="Q58" s="50"/>
      <c r="R58" s="222" t="s">
        <v>731</v>
      </c>
      <c r="S58" s="223" t="str">
        <f>INDEX('STATIC DATA'!C53:AB53,1,MATCH(A1,'STATIC DATA'!C4:AB4,0))</f>
        <v>ACT/360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M58" s="332"/>
      <c r="CN58" s="300"/>
      <c r="CO58" s="206"/>
      <c r="CP58" s="206"/>
      <c r="CQ58" s="206"/>
      <c r="CR58" s="206"/>
    </row>
    <row r="59" spans="6:96" x14ac:dyDescent="0.25">
      <c r="F59" s="50"/>
      <c r="G59" s="52"/>
      <c r="H59" s="52"/>
      <c r="I59" s="53"/>
      <c r="Q59" s="50"/>
      <c r="R59" s="222" t="s">
        <v>734</v>
      </c>
      <c r="S59" s="223" t="str">
        <f>INDEX('STATIC DATA'!C55:AB55,1,MATCH(A1,'STATIC DATA'!C4:AB4,0))</f>
        <v>ACT/360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M59" s="332"/>
      <c r="CN59" s="300"/>
      <c r="CO59" s="206"/>
      <c r="CP59" s="206"/>
      <c r="CQ59" s="206"/>
      <c r="CR59" s="206"/>
    </row>
    <row r="60" spans="6:96" x14ac:dyDescent="0.25">
      <c r="F60" s="50"/>
      <c r="G60" s="52"/>
      <c r="H60" s="52"/>
      <c r="I60" s="53"/>
      <c r="Q60" s="50"/>
      <c r="R60" s="222" t="s">
        <v>706</v>
      </c>
      <c r="S60" s="223" t="str">
        <f>IF(INDEX('STATIC DATA'!C54:AB54,1,MATCH(A1,'STATIC DATA'!C4:AB4,0))="1Y","ANNUAL",(IF(INDEX('STATIC DATA'!C54:AB54,1,MATCH(A1,'STATIC DATA'!C4:AB4,0))="6M","SEMI-ANNUAL", "QUARTERLY")))</f>
        <v>ANNUAL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M60" s="332"/>
      <c r="CN60" s="300"/>
      <c r="CO60" s="206"/>
      <c r="CP60" s="206"/>
      <c r="CQ60" s="206"/>
      <c r="CR60" s="206"/>
    </row>
    <row r="61" spans="6:96" x14ac:dyDescent="0.25">
      <c r="F61" s="50"/>
      <c r="G61" s="52"/>
      <c r="H61" s="52"/>
      <c r="I61" s="53"/>
      <c r="Q61" s="50"/>
      <c r="R61" s="222" t="s">
        <v>735</v>
      </c>
      <c r="S61" s="223" t="str">
        <f>IF(INDEX('STATIC DATA'!C56:AB56,1,MATCH(A1,'STATIC DATA'!C4:AB4,0))="1Y","ANNUAL",(IF(INDEX('STATIC DATA'!C56:AB56,1,MATCH(A1,'STATIC DATA'!C4:AB4,0))="6M","SEMI-ANNUAL", "QUARTERLY")))</f>
        <v>QUARTERLY</v>
      </c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M61" s="299"/>
      <c r="CN61" s="300"/>
      <c r="CO61" s="206"/>
      <c r="CP61" s="206"/>
      <c r="CQ61" s="206"/>
      <c r="CR61" s="206"/>
    </row>
    <row r="62" spans="6:96" x14ac:dyDescent="0.25">
      <c r="F62" s="50"/>
      <c r="G62" s="52"/>
      <c r="H62" s="52"/>
      <c r="I62" s="53"/>
      <c r="Q62" s="50"/>
      <c r="R62" s="222" t="s">
        <v>736</v>
      </c>
      <c r="S62" s="223" t="s">
        <v>718</v>
      </c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M62" s="299"/>
      <c r="CN62" s="300"/>
      <c r="CO62" s="206"/>
      <c r="CP62" s="206"/>
      <c r="CQ62" s="206"/>
      <c r="CR62" s="206"/>
    </row>
    <row r="63" spans="6:96" x14ac:dyDescent="0.25">
      <c r="F63" s="50"/>
      <c r="G63" s="52"/>
      <c r="H63" s="52"/>
      <c r="I63" s="53"/>
      <c r="Q63" s="50"/>
      <c r="R63" s="222" t="s">
        <v>737</v>
      </c>
      <c r="S63" s="223">
        <v>31</v>
      </c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300"/>
      <c r="CO63" s="206"/>
      <c r="CP63" s="206"/>
      <c r="CQ63" s="206"/>
      <c r="CR63" s="206"/>
    </row>
    <row r="64" spans="6:96" x14ac:dyDescent="0.25">
      <c r="F64" s="50"/>
      <c r="G64" s="52"/>
      <c r="H64" s="52"/>
      <c r="I64" s="53"/>
      <c r="Q64" s="50"/>
      <c r="R64" s="222" t="s">
        <v>738</v>
      </c>
      <c r="S64" s="223" t="s">
        <v>718</v>
      </c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33"/>
      <c r="BK64" s="246"/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300"/>
      <c r="CO64" s="206"/>
      <c r="CP64" s="206"/>
      <c r="CQ64" s="206"/>
      <c r="CR64" s="206"/>
    </row>
    <row r="65" spans="6:97" x14ac:dyDescent="0.25">
      <c r="F65" s="50"/>
      <c r="G65" s="52"/>
      <c r="H65" s="52"/>
      <c r="I65" s="53"/>
      <c r="Q65" s="50"/>
      <c r="R65" s="222" t="s">
        <v>739</v>
      </c>
      <c r="S65" s="223" t="s">
        <v>621</v>
      </c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300"/>
      <c r="CO65" s="206"/>
      <c r="CP65" s="206"/>
      <c r="CQ65" s="206"/>
      <c r="CR65" s="206"/>
    </row>
    <row r="66" spans="6:97" x14ac:dyDescent="0.25">
      <c r="F66" s="50"/>
      <c r="G66" s="52"/>
      <c r="H66" s="52"/>
      <c r="I66" s="53"/>
      <c r="Q66" s="50"/>
      <c r="R66" s="222" t="s">
        <v>707</v>
      </c>
      <c r="S66" s="223" t="s">
        <v>687</v>
      </c>
      <c r="T66" s="53"/>
      <c r="AB66" s="50"/>
      <c r="AC66" s="225" t="s">
        <v>788</v>
      </c>
      <c r="AD66" s="219" t="s">
        <v>720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300"/>
      <c r="CO66" s="206"/>
      <c r="CP66" s="206"/>
      <c r="CQ66" s="206"/>
      <c r="CR66" s="206"/>
    </row>
    <row r="67" spans="6:97" x14ac:dyDescent="0.25">
      <c r="F67" s="50"/>
      <c r="G67" s="52"/>
      <c r="H67" s="52"/>
      <c r="I67" s="53"/>
      <c r="Q67" s="50"/>
      <c r="R67" s="222" t="s">
        <v>740</v>
      </c>
      <c r="S67" s="223" t="s">
        <v>718</v>
      </c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300"/>
      <c r="CO67" s="206"/>
      <c r="CP67" s="206"/>
      <c r="CQ67" s="206"/>
      <c r="CR67" s="206"/>
    </row>
    <row r="68" spans="6:97" x14ac:dyDescent="0.25">
      <c r="F68" s="50"/>
      <c r="G68" s="52"/>
      <c r="H68" s="52"/>
      <c r="I68" s="53"/>
      <c r="Q68" s="50"/>
      <c r="R68" s="222" t="s">
        <v>697</v>
      </c>
      <c r="S68" s="224">
        <v>1.0000000000000001E-9</v>
      </c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5" t="s">
        <v>677</v>
      </c>
      <c r="BK68" s="240" t="str">
        <f>INDEX('STATIC DATA'!C30:AB30,1,MATCH($A$1,'STATIC DATA'!$C$4:$AB$4,0))</f>
        <v>ISB:NYB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300"/>
      <c r="CO68" s="206"/>
      <c r="CP68" s="206"/>
      <c r="CQ68" s="206"/>
      <c r="CR68" s="206"/>
      <c r="CS68" s="206"/>
    </row>
    <row r="69" spans="6:97" x14ac:dyDescent="0.25">
      <c r="F69" s="50"/>
      <c r="G69" s="52"/>
      <c r="H69" s="52"/>
      <c r="I69" s="53"/>
      <c r="Q69" s="50"/>
      <c r="R69" s="222" t="s">
        <v>698</v>
      </c>
      <c r="S69" s="223">
        <v>1000</v>
      </c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5" t="s">
        <v>683</v>
      </c>
      <c r="BK69" s="257" t="s">
        <v>643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300"/>
      <c r="CO69" s="206"/>
      <c r="CP69" s="206"/>
      <c r="CQ69" s="206"/>
      <c r="CR69" s="206"/>
      <c r="CS69" s="206"/>
    </row>
    <row r="70" spans="6:97" x14ac:dyDescent="0.25">
      <c r="F70" s="50"/>
      <c r="G70" s="52"/>
      <c r="H70" s="52"/>
      <c r="I70" s="53"/>
      <c r="Q70" s="50"/>
      <c r="R70" s="225"/>
      <c r="S70" s="226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5" t="s">
        <v>686</v>
      </c>
      <c r="BK70" s="240" t="s">
        <v>816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300"/>
      <c r="CO70" s="206"/>
      <c r="CP70" s="206"/>
      <c r="CQ70" s="206"/>
      <c r="CR70" s="206"/>
      <c r="CS70" s="206"/>
    </row>
    <row r="71" spans="6:97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300"/>
      <c r="CO71" s="206"/>
      <c r="CP71" s="206"/>
      <c r="CQ71" s="206"/>
      <c r="CR71" s="206"/>
      <c r="CS71" s="206"/>
    </row>
    <row r="72" spans="6:97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300"/>
      <c r="CO72" s="206"/>
      <c r="CP72" s="206"/>
      <c r="CQ72" s="206"/>
      <c r="CR72" s="206"/>
      <c r="CS72" s="206"/>
    </row>
    <row r="73" spans="6:97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300"/>
      <c r="CO73" s="206"/>
      <c r="CP73" s="206"/>
      <c r="CQ73" s="206"/>
      <c r="CR73" s="206"/>
      <c r="CS73" s="206"/>
    </row>
    <row r="74" spans="6:97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300"/>
      <c r="CO74" s="206"/>
      <c r="CP74" s="206"/>
      <c r="CQ74" s="206"/>
      <c r="CR74" s="206"/>
      <c r="CS74" s="206"/>
    </row>
    <row r="75" spans="6:97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300"/>
      <c r="CO75" s="206"/>
      <c r="CP75" s="206"/>
      <c r="CQ75" s="206"/>
      <c r="CR75" s="206"/>
      <c r="CS75" s="206"/>
    </row>
    <row r="76" spans="6:97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300"/>
      <c r="CO76" s="206"/>
      <c r="CP76" s="206"/>
      <c r="CQ76" s="206"/>
      <c r="CR76" s="206"/>
      <c r="CS76" s="206"/>
    </row>
    <row r="77" spans="6:97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300"/>
      <c r="CO77" s="206"/>
      <c r="CP77" s="206"/>
      <c r="CQ77" s="206"/>
      <c r="CR77" s="206"/>
      <c r="CS77" s="206"/>
    </row>
    <row r="78" spans="6:97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300"/>
      <c r="CO78" s="206"/>
      <c r="CP78" s="206"/>
      <c r="CQ78" s="206"/>
      <c r="CR78" s="206"/>
      <c r="CS78" s="206"/>
    </row>
    <row r="79" spans="6:97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300"/>
      <c r="CO79" s="206"/>
      <c r="CP79" s="206"/>
      <c r="CQ79" s="206"/>
      <c r="CR79" s="206"/>
      <c r="CS79" s="206"/>
    </row>
    <row r="80" spans="6:97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300"/>
      <c r="CO80" s="206"/>
      <c r="CP80" s="206"/>
      <c r="CQ80" s="206"/>
      <c r="CR80" s="206"/>
      <c r="CS80" s="206"/>
    </row>
    <row r="81" spans="6:97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300"/>
      <c r="CO81" s="206"/>
      <c r="CP81" s="206"/>
      <c r="CQ81" s="206"/>
      <c r="CR81" s="206"/>
      <c r="CS81" s="206"/>
    </row>
    <row r="82" spans="6:97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300"/>
      <c r="CO82" s="206"/>
      <c r="CP82" s="206"/>
      <c r="CQ82" s="206"/>
      <c r="CR82" s="206"/>
      <c r="CS82" s="206"/>
    </row>
    <row r="83" spans="6:97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300"/>
      <c r="CO83" s="206"/>
      <c r="CP83" s="206"/>
      <c r="CQ83" s="206"/>
      <c r="CR83" s="206"/>
      <c r="CS83" s="206"/>
    </row>
    <row r="84" spans="6:97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299"/>
      <c r="CE84" s="299"/>
      <c r="CF84" s="299"/>
      <c r="CG84" s="299"/>
      <c r="CH84" s="299"/>
      <c r="CI84" s="299"/>
      <c r="CJ84" s="299"/>
      <c r="CK84" s="299"/>
      <c r="CL84" s="299"/>
      <c r="CM84" s="299"/>
      <c r="CN84" s="300"/>
      <c r="CO84" s="206"/>
      <c r="CP84" s="206"/>
      <c r="CQ84" s="206"/>
      <c r="CR84" s="206"/>
      <c r="CS84" s="206"/>
    </row>
    <row r="85" spans="6:97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299"/>
      <c r="CE85" s="299"/>
      <c r="CF85" s="299"/>
      <c r="CG85" s="299"/>
      <c r="CH85" s="299"/>
      <c r="CI85" s="299"/>
      <c r="CJ85" s="299"/>
      <c r="CK85" s="299"/>
      <c r="CL85" s="299"/>
      <c r="CM85" s="299"/>
      <c r="CN85" s="300"/>
      <c r="CO85" s="206"/>
      <c r="CP85" s="206"/>
      <c r="CQ85" s="206"/>
      <c r="CR85" s="206"/>
      <c r="CS85" s="206"/>
    </row>
    <row r="86" spans="6:97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299"/>
      <c r="CE86" s="299"/>
      <c r="CF86" s="299"/>
      <c r="CG86" s="299"/>
      <c r="CH86" s="299"/>
      <c r="CI86" s="299"/>
      <c r="CJ86" s="299"/>
      <c r="CK86" s="299"/>
      <c r="CL86" s="299"/>
      <c r="CM86" s="299"/>
      <c r="CN86" s="300"/>
      <c r="CO86" s="206"/>
      <c r="CP86" s="206"/>
      <c r="CQ86" s="206"/>
      <c r="CR86" s="206"/>
      <c r="CS86" s="206"/>
    </row>
    <row r="87" spans="6:97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299"/>
      <c r="CE87" s="299"/>
      <c r="CF87" s="299"/>
      <c r="CG87" s="299"/>
      <c r="CH87" s="299"/>
      <c r="CI87" s="299"/>
      <c r="CJ87" s="299"/>
      <c r="CK87" s="299"/>
      <c r="CL87" s="299"/>
      <c r="CM87" s="299"/>
      <c r="CN87" s="300"/>
      <c r="CO87" s="206"/>
      <c r="CP87" s="206"/>
      <c r="CQ87" s="206"/>
      <c r="CR87" s="206"/>
      <c r="CS87" s="206"/>
    </row>
    <row r="88" spans="6:97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299"/>
      <c r="CE88" s="299"/>
      <c r="CF88" s="299"/>
      <c r="CG88" s="299"/>
      <c r="CH88" s="299"/>
      <c r="CI88" s="299"/>
      <c r="CJ88" s="299"/>
      <c r="CK88" s="299"/>
      <c r="CL88" s="299"/>
      <c r="CM88" s="299"/>
      <c r="CN88" s="300"/>
      <c r="CO88" s="206"/>
      <c r="CP88" s="206"/>
      <c r="CQ88" s="206"/>
      <c r="CR88" s="206"/>
      <c r="CS88" s="206"/>
    </row>
    <row r="89" spans="6:97" x14ac:dyDescent="0.25">
      <c r="F89" s="50"/>
      <c r="G89" s="52"/>
      <c r="H89" s="52"/>
      <c r="I89" s="53"/>
      <c r="Q89" s="50"/>
      <c r="R89" s="52"/>
      <c r="S89" s="52"/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299"/>
      <c r="CE89" s="299"/>
      <c r="CF89" s="299"/>
      <c r="CG89" s="299"/>
      <c r="CH89" s="299"/>
      <c r="CI89" s="299"/>
      <c r="CJ89" s="299"/>
      <c r="CK89" s="299"/>
      <c r="CL89" s="299"/>
      <c r="CM89" s="299"/>
      <c r="CN89" s="300"/>
      <c r="CO89" s="206"/>
      <c r="CP89" s="206"/>
      <c r="CQ89" s="206"/>
      <c r="CR89" s="206"/>
      <c r="CS89" s="206"/>
    </row>
    <row r="90" spans="6:97" x14ac:dyDescent="0.25">
      <c r="F90" s="50"/>
      <c r="G90" s="52"/>
      <c r="H90" s="52"/>
      <c r="I90" s="53"/>
      <c r="Q90" s="50"/>
      <c r="R90" s="52"/>
      <c r="S90" s="52"/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299"/>
      <c r="CE90" s="299"/>
      <c r="CF90" s="299"/>
      <c r="CG90" s="299"/>
      <c r="CH90" s="299"/>
      <c r="CI90" s="299"/>
      <c r="CJ90" s="299"/>
      <c r="CK90" s="299"/>
      <c r="CL90" s="299"/>
      <c r="CM90" s="299"/>
      <c r="CN90" s="300"/>
      <c r="CO90" s="206"/>
      <c r="CP90" s="206"/>
      <c r="CQ90" s="206"/>
      <c r="CR90" s="206"/>
      <c r="CS90" s="206"/>
    </row>
    <row r="91" spans="6:97" x14ac:dyDescent="0.25">
      <c r="F91" s="50"/>
      <c r="G91" s="52"/>
      <c r="H91" s="52"/>
      <c r="I91" s="53"/>
      <c r="Q91" s="50"/>
      <c r="R91" s="52"/>
      <c r="S91" s="52"/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299"/>
      <c r="CE91" s="299"/>
      <c r="CF91" s="299"/>
      <c r="CG91" s="299"/>
      <c r="CH91" s="299"/>
      <c r="CI91" s="299"/>
      <c r="CJ91" s="299"/>
      <c r="CK91" s="299"/>
      <c r="CL91" s="299"/>
      <c r="CM91" s="299"/>
      <c r="CN91" s="300"/>
      <c r="CO91" s="206"/>
      <c r="CP91" s="206"/>
      <c r="CQ91" s="206"/>
      <c r="CR91" s="206"/>
      <c r="CS91" s="206"/>
    </row>
    <row r="92" spans="6:97" x14ac:dyDescent="0.25">
      <c r="F92" s="50"/>
      <c r="G92" s="52"/>
      <c r="H92" s="52"/>
      <c r="I92" s="53"/>
      <c r="Q92" s="50"/>
      <c r="R92" s="52"/>
      <c r="S92" s="52"/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300"/>
      <c r="CO92" s="206"/>
      <c r="CP92" s="206"/>
      <c r="CQ92" s="206"/>
      <c r="CR92" s="206"/>
      <c r="CS92" s="206"/>
    </row>
    <row r="93" spans="6:97" x14ac:dyDescent="0.25">
      <c r="F93" s="50"/>
      <c r="G93" s="52"/>
      <c r="H93" s="52"/>
      <c r="I93" s="53"/>
      <c r="Q93" s="50"/>
      <c r="R93" s="52"/>
      <c r="S93" s="52"/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300"/>
      <c r="CO93" s="206"/>
      <c r="CP93" s="206"/>
      <c r="CQ93" s="206"/>
      <c r="CR93" s="206"/>
      <c r="CS93" s="206"/>
    </row>
    <row r="94" spans="6:97" x14ac:dyDescent="0.25">
      <c r="F94" s="50"/>
      <c r="G94" s="52"/>
      <c r="H94" s="52"/>
      <c r="I94" s="53"/>
      <c r="Q94" s="50"/>
      <c r="R94" s="52"/>
      <c r="S94" s="52"/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8"/>
      <c r="CE94" s="298"/>
      <c r="CF94" s="298"/>
      <c r="CG94" s="298"/>
      <c r="CH94" s="298"/>
      <c r="CI94" s="298"/>
      <c r="CJ94" s="298"/>
      <c r="CK94" s="298"/>
      <c r="CL94" s="298"/>
      <c r="CM94" s="298"/>
      <c r="CN94" s="301"/>
      <c r="CO94" s="206"/>
      <c r="CP94" s="206"/>
      <c r="CQ94" s="206"/>
      <c r="CR94" s="206"/>
      <c r="CS94" s="206"/>
    </row>
    <row r="95" spans="6:97" x14ac:dyDescent="0.25">
      <c r="F95" s="50"/>
      <c r="G95" s="52"/>
      <c r="H95" s="52"/>
      <c r="I95" s="53"/>
      <c r="Q95" s="50"/>
      <c r="R95" s="52"/>
      <c r="S95" s="52"/>
      <c r="T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06"/>
      <c r="CE95" s="206"/>
      <c r="CF95" s="206"/>
      <c r="CG95" s="206"/>
      <c r="CH95" s="206"/>
      <c r="CI95" s="206"/>
      <c r="CJ95" s="206"/>
      <c r="CK95" s="206"/>
      <c r="CL95" s="206"/>
      <c r="CM95" s="206"/>
      <c r="CN95" s="206"/>
      <c r="CO95" s="206"/>
      <c r="CP95" s="206"/>
      <c r="CQ95" s="206"/>
      <c r="CR95" s="206"/>
      <c r="CS95" s="206"/>
    </row>
    <row r="96" spans="6:97" x14ac:dyDescent="0.25">
      <c r="F96" s="50"/>
      <c r="G96" s="52"/>
      <c r="H96" s="52"/>
      <c r="I96" s="53"/>
      <c r="Q96" s="50"/>
      <c r="R96" s="52"/>
      <c r="S96" s="52"/>
      <c r="T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06"/>
      <c r="CE96" s="206"/>
      <c r="CF96" s="206"/>
      <c r="CG96" s="206"/>
      <c r="CH96" s="206"/>
      <c r="CI96" s="206"/>
      <c r="CJ96" s="206"/>
      <c r="CK96" s="206"/>
      <c r="CL96" s="206"/>
      <c r="CM96" s="206"/>
      <c r="CN96" s="206"/>
      <c r="CO96" s="206"/>
      <c r="CP96" s="206"/>
      <c r="CQ96" s="206"/>
      <c r="CR96" s="206"/>
      <c r="CS96" s="206"/>
    </row>
    <row r="97" spans="6:104" x14ac:dyDescent="0.25">
      <c r="F97" s="50"/>
      <c r="G97" s="52"/>
      <c r="H97" s="52"/>
      <c r="I97" s="53"/>
      <c r="Q97" s="50"/>
      <c r="R97" s="52"/>
      <c r="S97" s="52"/>
      <c r="T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</row>
    <row r="98" spans="6:104" x14ac:dyDescent="0.25">
      <c r="F98" s="75"/>
      <c r="G98" s="76"/>
      <c r="H98" s="76"/>
      <c r="I98" s="77"/>
      <c r="Q98" s="75"/>
      <c r="R98" s="76"/>
      <c r="S98" s="76"/>
      <c r="T98" s="77"/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</row>
    <row r="99" spans="6:104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T99" s="206"/>
      <c r="CU99" s="206"/>
      <c r="CV99" s="206"/>
      <c r="CW99" s="206"/>
      <c r="CX99" s="206"/>
      <c r="CY99" s="206"/>
      <c r="CZ99" s="206"/>
    </row>
    <row r="100" spans="6:104" x14ac:dyDescent="0.25">
      <c r="BT100" s="206"/>
      <c r="BU100" s="206"/>
      <c r="BV100" s="206"/>
      <c r="BW100" s="206"/>
      <c r="BY100" s="299"/>
      <c r="BZ100" s="299"/>
      <c r="CA100" s="299"/>
      <c r="CB100" s="299"/>
      <c r="CC100" s="299"/>
      <c r="CT100" s="206"/>
      <c r="CU100" s="206"/>
      <c r="CV100" s="206"/>
      <c r="CW100" s="206"/>
      <c r="CX100" s="206"/>
      <c r="CY100" s="206"/>
      <c r="CZ100" s="206"/>
    </row>
    <row r="101" spans="6:104" x14ac:dyDescent="0.25">
      <c r="BT101" s="206"/>
      <c r="BU101" s="206"/>
      <c r="BV101" s="206"/>
      <c r="BW101" s="206"/>
      <c r="BY101" s="299"/>
      <c r="BZ101" s="299"/>
      <c r="CA101" s="299"/>
      <c r="CB101" s="299"/>
      <c r="CC101" s="299"/>
      <c r="CT101" s="206"/>
      <c r="CU101" s="206"/>
      <c r="CV101" s="206"/>
      <c r="CW101" s="206"/>
      <c r="CX101" s="206"/>
      <c r="CY101" s="206"/>
      <c r="CZ101" s="206"/>
    </row>
    <row r="102" spans="6:104" x14ac:dyDescent="0.25">
      <c r="BT102" s="206"/>
      <c r="BU102" s="206"/>
      <c r="BV102" s="206"/>
      <c r="BW102" s="206"/>
      <c r="BY102" s="299"/>
      <c r="BZ102" s="299"/>
      <c r="CA102" s="299"/>
      <c r="CB102" s="299"/>
      <c r="CC102" s="299"/>
      <c r="CT102" s="206"/>
      <c r="CU102" s="206"/>
      <c r="CV102" s="206"/>
      <c r="CW102" s="206"/>
      <c r="CX102" s="206"/>
      <c r="CY102" s="206"/>
      <c r="CZ102" s="206"/>
    </row>
    <row r="103" spans="6:104" x14ac:dyDescent="0.25">
      <c r="BT103" s="206"/>
      <c r="BU103" s="206"/>
      <c r="BV103" s="206"/>
      <c r="BW103" s="206"/>
      <c r="BY103" s="299"/>
      <c r="BZ103" s="299"/>
      <c r="CA103" s="299"/>
      <c r="CB103" s="299"/>
      <c r="CC103" s="299"/>
      <c r="CT103" s="206"/>
      <c r="CU103" s="206"/>
      <c r="CV103" s="206"/>
      <c r="CW103" s="206"/>
      <c r="CX103" s="206"/>
      <c r="CY103" s="206"/>
      <c r="CZ103" s="206"/>
    </row>
    <row r="104" spans="6:104" x14ac:dyDescent="0.25">
      <c r="BT104" s="206"/>
      <c r="BU104" s="206"/>
      <c r="BV104" s="206"/>
      <c r="BW104" s="206"/>
      <c r="BY104" s="299"/>
      <c r="BZ104" s="299"/>
      <c r="CA104" s="299"/>
      <c r="CB104" s="299"/>
      <c r="CC104" s="299"/>
      <c r="CT104" s="206"/>
      <c r="CU104" s="206"/>
      <c r="CV104" s="206"/>
      <c r="CW104" s="206"/>
      <c r="CX104" s="206"/>
      <c r="CY104" s="206"/>
      <c r="CZ104" s="206"/>
    </row>
    <row r="105" spans="6:104" x14ac:dyDescent="0.25">
      <c r="BT105" s="206"/>
      <c r="BU105" s="206"/>
      <c r="BV105" s="206"/>
      <c r="BW105" s="206"/>
      <c r="BY105" s="299"/>
      <c r="BZ105" s="299"/>
      <c r="CA105" s="299"/>
      <c r="CB105" s="299"/>
      <c r="CC105" s="299"/>
      <c r="CT105" s="206"/>
      <c r="CU105" s="206"/>
      <c r="CV105" s="206"/>
      <c r="CW105" s="206"/>
      <c r="CX105" s="206"/>
      <c r="CY105" s="206"/>
      <c r="CZ105" s="206"/>
    </row>
    <row r="106" spans="6:104" x14ac:dyDescent="0.25">
      <c r="BT106" s="206"/>
      <c r="BU106" s="206"/>
      <c r="BV106" s="206"/>
      <c r="BW106" s="206"/>
      <c r="BY106" s="299"/>
      <c r="BZ106" s="299"/>
      <c r="CA106" s="299"/>
      <c r="CB106" s="299"/>
      <c r="CC106" s="299"/>
      <c r="CT106" s="206"/>
      <c r="CU106" s="206"/>
      <c r="CV106" s="206"/>
      <c r="CW106" s="206"/>
      <c r="CX106" s="206"/>
      <c r="CY106" s="206"/>
      <c r="CZ106" s="206"/>
    </row>
    <row r="107" spans="6:104" x14ac:dyDescent="0.25">
      <c r="BT107" s="206"/>
      <c r="BU107" s="206"/>
      <c r="BV107" s="206"/>
      <c r="BW107" s="206"/>
      <c r="BY107" s="299"/>
      <c r="BZ107" s="299"/>
      <c r="CA107" s="299"/>
      <c r="CB107" s="299"/>
      <c r="CC107" s="299"/>
      <c r="CT107" s="206"/>
      <c r="CU107" s="206"/>
      <c r="CV107" s="206"/>
      <c r="CW107" s="206"/>
      <c r="CX107" s="206"/>
      <c r="CY107" s="206"/>
      <c r="CZ107" s="206"/>
    </row>
    <row r="108" spans="6:104" x14ac:dyDescent="0.25">
      <c r="BT108" s="206"/>
      <c r="BU108" s="206"/>
      <c r="BV108" s="206"/>
      <c r="BW108" s="206"/>
      <c r="BY108" s="299"/>
      <c r="BZ108" s="299"/>
      <c r="CA108" s="299"/>
      <c r="CB108" s="299"/>
      <c r="CC108" s="299"/>
      <c r="CT108" s="206"/>
      <c r="CU108" s="206"/>
      <c r="CV108" s="206"/>
      <c r="CW108" s="206"/>
      <c r="CX108" s="206"/>
      <c r="CY108" s="206"/>
      <c r="CZ108" s="206"/>
    </row>
    <row r="109" spans="6:104" x14ac:dyDescent="0.25">
      <c r="BT109" s="206"/>
      <c r="BU109" s="206"/>
      <c r="BV109" s="206"/>
      <c r="BW109" s="206"/>
      <c r="BY109" s="299"/>
      <c r="BZ109" s="299"/>
      <c r="CA109" s="299"/>
      <c r="CB109" s="299"/>
      <c r="CC109" s="299"/>
      <c r="CT109" s="206"/>
      <c r="CU109" s="206"/>
      <c r="CV109" s="206"/>
      <c r="CW109" s="206"/>
      <c r="CX109" s="206"/>
      <c r="CY109" s="206"/>
      <c r="CZ109" s="206"/>
    </row>
    <row r="110" spans="6:104" x14ac:dyDescent="0.25">
      <c r="BT110" s="206"/>
      <c r="BU110" s="206"/>
      <c r="BV110" s="206"/>
      <c r="BW110" s="206"/>
      <c r="BY110" s="299"/>
      <c r="BZ110" s="299"/>
      <c r="CA110" s="299"/>
      <c r="CB110" s="299"/>
      <c r="CC110" s="299"/>
      <c r="CT110" s="206"/>
      <c r="CU110" s="206"/>
      <c r="CV110" s="206"/>
      <c r="CW110" s="206"/>
      <c r="CX110" s="206"/>
      <c r="CY110" s="206"/>
      <c r="CZ110" s="206"/>
    </row>
    <row r="111" spans="6:104" x14ac:dyDescent="0.25">
      <c r="BT111" s="206"/>
      <c r="BU111" s="206"/>
      <c r="BV111" s="206"/>
      <c r="BW111" s="206"/>
      <c r="BY111" s="299"/>
      <c r="BZ111" s="299"/>
      <c r="CA111" s="299"/>
      <c r="CB111" s="299"/>
      <c r="CC111" s="299"/>
      <c r="CT111" s="206"/>
      <c r="CU111" s="206"/>
      <c r="CV111" s="206"/>
      <c r="CW111" s="206"/>
      <c r="CX111" s="206"/>
      <c r="CY111" s="206"/>
      <c r="CZ111" s="206"/>
    </row>
    <row r="112" spans="6:104" x14ac:dyDescent="0.25">
      <c r="BT112" s="206"/>
      <c r="BU112" s="206"/>
      <c r="BV112" s="206"/>
      <c r="BW112" s="206"/>
      <c r="BY112" s="299"/>
      <c r="BZ112" s="299"/>
      <c r="CA112" s="299"/>
      <c r="CB112" s="299"/>
      <c r="CC112" s="299"/>
      <c r="CT112" s="206"/>
      <c r="CU112" s="206"/>
      <c r="CV112" s="206"/>
      <c r="CW112" s="206"/>
      <c r="CX112" s="206"/>
      <c r="CY112" s="206"/>
      <c r="CZ112" s="206"/>
    </row>
    <row r="113" spans="72:104" x14ac:dyDescent="0.25">
      <c r="BT113" s="206"/>
      <c r="BU113" s="206"/>
      <c r="BV113" s="206"/>
      <c r="BW113" s="206"/>
      <c r="BY113" s="299"/>
      <c r="BZ113" s="299"/>
      <c r="CA113" s="299"/>
      <c r="CB113" s="299"/>
      <c r="CC113" s="299"/>
      <c r="CT113" s="206"/>
      <c r="CU113" s="206"/>
      <c r="CV113" s="206"/>
      <c r="CW113" s="206"/>
      <c r="CX113" s="206"/>
      <c r="CY113" s="206"/>
      <c r="CZ113" s="206"/>
    </row>
    <row r="114" spans="72:104" x14ac:dyDescent="0.25">
      <c r="BT114" s="206"/>
      <c r="BU114" s="206"/>
      <c r="BV114" s="206"/>
      <c r="BW114" s="206"/>
      <c r="BY114" s="299"/>
      <c r="BZ114" s="299"/>
      <c r="CA114" s="299"/>
      <c r="CB114" s="299"/>
      <c r="CC114" s="299"/>
      <c r="CT114" s="206"/>
      <c r="CU114" s="206"/>
      <c r="CV114" s="206"/>
      <c r="CW114" s="206"/>
      <c r="CX114" s="206"/>
      <c r="CY114" s="206"/>
      <c r="CZ114" s="206"/>
    </row>
    <row r="115" spans="72:104" x14ac:dyDescent="0.25">
      <c r="BT115" s="206"/>
      <c r="BU115" s="206"/>
      <c r="BV115" s="206"/>
      <c r="BW115" s="206"/>
      <c r="BY115" s="299"/>
      <c r="BZ115" s="299"/>
      <c r="CA115" s="299"/>
      <c r="CB115" s="299"/>
      <c r="CC115" s="299"/>
      <c r="CT115" s="206"/>
      <c r="CU115" s="206"/>
      <c r="CV115" s="206"/>
      <c r="CW115" s="206"/>
      <c r="CX115" s="206"/>
      <c r="CY115" s="206"/>
      <c r="CZ115" s="206"/>
    </row>
    <row r="116" spans="72:104" x14ac:dyDescent="0.25">
      <c r="BT116" s="206"/>
      <c r="BU116" s="206"/>
      <c r="BV116" s="206"/>
      <c r="BW116" s="206"/>
      <c r="BY116" s="299"/>
      <c r="BZ116" s="299"/>
      <c r="CA116" s="299"/>
      <c r="CB116" s="299"/>
      <c r="CC116" s="299"/>
      <c r="CT116" s="206"/>
      <c r="CU116" s="206"/>
      <c r="CV116" s="206"/>
      <c r="CW116" s="206"/>
      <c r="CX116" s="206"/>
      <c r="CY116" s="206"/>
      <c r="CZ116" s="206"/>
    </row>
    <row r="117" spans="72:104" x14ac:dyDescent="0.25">
      <c r="BT117" s="206"/>
      <c r="BU117" s="206"/>
      <c r="BV117" s="206"/>
      <c r="BW117" s="206"/>
      <c r="BY117" s="299"/>
      <c r="BZ117" s="299"/>
      <c r="CA117" s="299"/>
      <c r="CB117" s="299"/>
      <c r="CC117" s="299"/>
      <c r="CT117" s="206"/>
      <c r="CU117" s="206"/>
      <c r="CV117" s="206"/>
      <c r="CW117" s="206"/>
      <c r="CX117" s="206"/>
      <c r="CY117" s="206"/>
      <c r="CZ117" s="206"/>
    </row>
    <row r="118" spans="72:104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T118" s="206"/>
      <c r="CU118" s="206"/>
      <c r="CV118" s="206"/>
      <c r="CW118" s="206"/>
      <c r="CX118" s="206"/>
      <c r="CY118" s="206"/>
      <c r="CZ118" s="206"/>
    </row>
    <row r="119" spans="72:104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T119" s="206"/>
      <c r="CU119" s="206"/>
      <c r="CV119" s="206"/>
      <c r="CW119" s="206"/>
      <c r="CX119" s="206"/>
      <c r="CY119" s="206"/>
      <c r="CZ119" s="206"/>
    </row>
    <row r="120" spans="72:104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T120" s="206"/>
      <c r="CU120" s="206"/>
      <c r="CV120" s="206"/>
      <c r="CW120" s="206"/>
      <c r="CX120" s="206"/>
      <c r="CY120" s="206"/>
      <c r="CZ120" s="206"/>
    </row>
    <row r="121" spans="72:104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T121" s="206"/>
      <c r="CU121" s="206"/>
      <c r="CV121" s="206"/>
      <c r="CW121" s="206"/>
      <c r="CX121" s="206"/>
      <c r="CY121" s="206"/>
      <c r="CZ121" s="206"/>
    </row>
    <row r="122" spans="72:104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T122" s="206"/>
      <c r="CU122" s="206"/>
      <c r="CV122" s="206"/>
      <c r="CW122" s="206"/>
      <c r="CX122" s="206"/>
      <c r="CY122" s="206"/>
      <c r="CZ122" s="206"/>
    </row>
    <row r="123" spans="72:104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T123" s="206"/>
      <c r="CU123" s="206"/>
      <c r="CV123" s="206"/>
      <c r="CW123" s="206"/>
      <c r="CX123" s="206"/>
      <c r="CY123" s="206"/>
      <c r="CZ123" s="206"/>
    </row>
    <row r="124" spans="72:104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T124" s="206"/>
      <c r="CU124" s="206"/>
      <c r="CV124" s="206"/>
      <c r="CW124" s="206"/>
      <c r="CX124" s="206"/>
      <c r="CY124" s="206"/>
      <c r="CZ124" s="206"/>
    </row>
    <row r="125" spans="72:104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T125" s="206"/>
      <c r="CU125" s="206"/>
      <c r="CV125" s="206"/>
      <c r="CW125" s="206"/>
      <c r="CX125" s="206"/>
      <c r="CY125" s="206"/>
      <c r="CZ125" s="206"/>
    </row>
    <row r="126" spans="72:104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T126" s="206"/>
      <c r="CU126" s="206"/>
      <c r="CV126" s="206"/>
      <c r="CW126" s="206"/>
      <c r="CX126" s="206"/>
      <c r="CY126" s="206"/>
      <c r="CZ126" s="206"/>
    </row>
    <row r="127" spans="72:104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T127" s="206"/>
      <c r="CU127" s="206"/>
      <c r="CV127" s="206"/>
      <c r="CW127" s="206"/>
      <c r="CX127" s="206"/>
      <c r="CY127" s="206"/>
      <c r="CZ127" s="206"/>
    </row>
  </sheetData>
  <dataValidations count="2"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DB127"/>
  <sheetViews>
    <sheetView showGridLines="0" zoomScale="75" zoomScaleNormal="75" workbookViewId="0"/>
  </sheetViews>
  <sheetFormatPr defaultRowHeight="15" outlineLevelCol="2" x14ac:dyDescent="0.25"/>
  <cols>
    <col min="1" max="2" width="9.140625" customWidth="1"/>
    <col min="6" max="6" width="9.140625" customWidth="1" outlineLevel="2"/>
    <col min="7" max="7" width="30.7109375" customWidth="1" outlineLevel="2"/>
    <col min="8" max="8" width="40.7109375" customWidth="1" outlineLevel="2"/>
    <col min="9" max="9" width="9.140625" customWidth="1" outlineLevel="2"/>
    <col min="10" max="10" width="9.140625" customWidth="1"/>
    <col min="11" max="11" width="18.140625" customWidth="1"/>
    <col min="12" max="15" width="10.7109375" customWidth="1"/>
    <col min="16" max="16" width="9.140625" customWidth="1"/>
    <col min="17" max="17" width="9.140625" customWidth="1" outlineLevel="1"/>
    <col min="18" max="18" width="30.7109375" customWidth="1" outlineLevel="1"/>
    <col min="19" max="19" width="40.7109375" style="209" customWidth="1" outlineLevel="1"/>
    <col min="20" max="20" width="9.140625" customWidth="1" outlineLevel="1"/>
    <col min="21" max="21" width="9.140625" customWidth="1"/>
    <col min="22" max="22" width="25.7109375" bestFit="1" customWidth="1"/>
    <col min="23" max="23" width="43" bestFit="1" customWidth="1"/>
    <col min="24" max="24" width="10.7109375" customWidth="1"/>
    <col min="25" max="25" width="10.7109375" style="5" customWidth="1"/>
    <col min="26" max="26" width="10.7109375" customWidth="1"/>
    <col min="28" max="28" width="9.140625" customWidth="1" outlineLevel="1"/>
    <col min="29" max="29" width="30.7109375" customWidth="1" outlineLevel="1"/>
    <col min="30" max="30" width="40.7109375" style="209" customWidth="1" outlineLevel="1"/>
    <col min="31" max="31" width="9.140625" customWidth="1" outlineLevel="1"/>
    <col min="33" max="33" width="14.5703125" customWidth="1"/>
    <col min="34" max="37" width="10.7109375" customWidth="1"/>
    <col min="39" max="39" width="9.140625" hidden="1" customWidth="1" outlineLevel="2"/>
    <col min="40" max="40" width="30.7109375" hidden="1" customWidth="1" outlineLevel="2"/>
    <col min="41" max="41" width="40.7109375" hidden="1" customWidth="1" outlineLevel="2"/>
    <col min="42" max="42" width="9.140625" hidden="1" customWidth="1" outlineLevel="2"/>
    <col min="43" max="43" width="11" hidden="1" customWidth="1" outlineLevel="2"/>
    <col min="44" max="44" width="16" hidden="1" customWidth="1" outlineLevel="2"/>
    <col min="45" max="48" width="9.140625" hidden="1" customWidth="1" outlineLevel="2"/>
    <col min="49" max="49" width="9.140625" collapsed="1"/>
    <col min="50" max="50" width="9.140625" hidden="1" customWidth="1" outlineLevel="1"/>
    <col min="51" max="51" width="30.7109375" hidden="1" customWidth="1" outlineLevel="1"/>
    <col min="52" max="52" width="40.7109375" hidden="1" customWidth="1" outlineLevel="1"/>
    <col min="53" max="53" width="9.140625" hidden="1" customWidth="1" outlineLevel="1"/>
    <col min="54" max="54" width="0" hidden="1" customWidth="1" outlineLevel="1"/>
    <col min="55" max="55" width="14.28515625" hidden="1" customWidth="1" outlineLevel="1"/>
    <col min="56" max="59" width="10.7109375" hidden="1" customWidth="1" outlineLevel="1"/>
    <col min="60" max="60" width="9.140625" collapsed="1"/>
    <col min="61" max="61" width="9.140625" customWidth="1" outlineLevel="1"/>
    <col min="62" max="62" width="30.7109375" customWidth="1" outlineLevel="1"/>
    <col min="63" max="63" width="68.7109375" customWidth="1" outlineLevel="1"/>
    <col min="64" max="64" width="9.140625" customWidth="1" outlineLevel="1"/>
    <col min="66" max="66" width="25.7109375" bestFit="1" customWidth="1"/>
    <col min="67" max="70" width="10.7109375" customWidth="1"/>
    <col min="72" max="72" width="9.140625" customWidth="1" outlineLevel="1"/>
    <col min="73" max="73" width="28.5703125" customWidth="1" outlineLevel="1"/>
    <col min="74" max="74" width="20.7109375" customWidth="1" outlineLevel="1"/>
    <col min="75" max="75" width="9.140625" customWidth="1" outlineLevel="1"/>
    <col min="76" max="76" width="9.140625" style="206" customWidth="1"/>
    <col min="77" max="77" width="20.7109375" customWidth="1"/>
    <col min="78" max="78" width="25.42578125" bestFit="1" customWidth="1"/>
    <col min="79" max="79" width="9.28515625" bestFit="1" customWidth="1"/>
    <col min="80" max="80" width="9.140625" customWidth="1"/>
    <col min="81" max="81" width="13.5703125" customWidth="1" outlineLevel="1"/>
    <col min="82" max="82" width="20.7109375" customWidth="1" outlineLevel="1"/>
    <col min="83" max="83" width="40.85546875" customWidth="1" outlineLevel="1"/>
    <col min="84" max="84" width="11.5703125" customWidth="1" outlineLevel="1"/>
    <col min="85" max="85" width="10.85546875" customWidth="1" outlineLevel="1"/>
    <col min="86" max="86" width="10.140625" customWidth="1" outlineLevel="1"/>
    <col min="87" max="87" width="6.42578125" customWidth="1" outlineLevel="1"/>
    <col min="88" max="88" width="29.7109375" bestFit="1" customWidth="1" outlineLevel="1"/>
    <col min="89" max="89" width="20.7109375" customWidth="1" outlineLevel="1"/>
    <col min="90" max="90" width="9.140625" customWidth="1" outlineLevel="1"/>
    <col min="91" max="91" width="20.7109375" customWidth="1" outlineLevel="1"/>
    <col min="92" max="92" width="20.7109375" customWidth="1"/>
    <col min="97" max="97" width="10.85546875" bestFit="1" customWidth="1"/>
    <col min="100" max="100" width="10.5703125" bestFit="1" customWidth="1"/>
    <col min="101" max="101" width="13.85546875" bestFit="1" customWidth="1"/>
    <col min="102" max="102" width="14.85546875" bestFit="1" customWidth="1"/>
    <col min="106" max="106" width="22" bestFit="1" customWidth="1"/>
  </cols>
  <sheetData>
    <row r="1" spans="1:106" x14ac:dyDescent="0.25">
      <c r="A1" t="s">
        <v>272</v>
      </c>
      <c r="L1" s="5"/>
      <c r="M1" s="5"/>
      <c r="N1" s="5"/>
      <c r="O1" s="5"/>
      <c r="W1" s="5"/>
      <c r="X1" s="5"/>
      <c r="Z1" s="5"/>
      <c r="AH1" s="5"/>
      <c r="AI1" s="5"/>
      <c r="AJ1" s="5"/>
      <c r="AK1" s="5"/>
      <c r="AM1" s="209"/>
      <c r="AN1" s="209"/>
      <c r="AO1" s="209"/>
      <c r="AP1" s="209"/>
      <c r="AX1" s="209"/>
      <c r="AY1" s="209"/>
      <c r="AZ1" s="209"/>
      <c r="BA1" s="209"/>
      <c r="BI1" s="209"/>
      <c r="BJ1" s="209"/>
      <c r="BK1" s="209"/>
      <c r="BL1" s="209"/>
      <c r="BO1" s="5"/>
      <c r="BP1" s="5"/>
      <c r="BQ1" s="5"/>
      <c r="BR1" s="5"/>
      <c r="BT1" s="209"/>
      <c r="BU1" s="209"/>
      <c r="BV1" s="209"/>
      <c r="BW1" s="209"/>
      <c r="BX1" s="333"/>
      <c r="BY1" s="209"/>
      <c r="BZ1" s="209"/>
      <c r="CA1" s="209"/>
      <c r="CB1" s="209"/>
      <c r="CM1" s="304"/>
      <c r="CN1" s="206"/>
      <c r="CO1" s="390"/>
      <c r="CP1" s="206"/>
      <c r="CQ1" s="206"/>
      <c r="CS1" s="390" t="s">
        <v>992</v>
      </c>
    </row>
    <row r="2" spans="1:106" x14ac:dyDescent="0.25">
      <c r="F2" s="237" t="s">
        <v>712</v>
      </c>
      <c r="K2" s="2" t="str">
        <f>A1&amp;"_OIS"</f>
        <v>ZAR_OIS</v>
      </c>
      <c r="L2" s="5"/>
      <c r="M2" s="5"/>
      <c r="N2" s="5"/>
      <c r="O2" s="5"/>
      <c r="Q2" s="237"/>
      <c r="V2" s="2" t="str">
        <f>A1&amp;"_SWAP_3M"</f>
        <v>ZAR_SWAP_3M</v>
      </c>
      <c r="W2" s="5"/>
      <c r="X2" s="5"/>
      <c r="Z2" s="5"/>
      <c r="AB2" s="237"/>
      <c r="AG2" s="2" t="str">
        <f>A1&amp;"_BASIS_6M"</f>
        <v>ZAR_BASIS_6M</v>
      </c>
      <c r="AH2" s="5"/>
      <c r="AI2" s="5"/>
      <c r="AJ2" s="5"/>
      <c r="AK2" s="5"/>
      <c r="AR2" s="2" t="str">
        <f>A1&amp;"_BASIS_12M"</f>
        <v>ZAR_BASIS_12M</v>
      </c>
      <c r="BC2" s="2" t="str">
        <f>A1&amp;"_BASIS_1M"</f>
        <v>ZAR_BASIS_1M</v>
      </c>
      <c r="BN2" s="2" t="str">
        <f>A1&amp;"_XCCYBASIS"</f>
        <v>ZAR_XCCYBASIS</v>
      </c>
      <c r="BO2" s="5"/>
      <c r="BP2" s="5"/>
      <c r="BQ2" s="5"/>
      <c r="BR2" s="5"/>
      <c r="BY2" s="432" t="s">
        <v>822</v>
      </c>
      <c r="CM2" s="308"/>
      <c r="CN2" s="308"/>
      <c r="CO2" s="393"/>
      <c r="CP2" s="206"/>
      <c r="CQ2" s="206"/>
      <c r="CS2" s="393" t="s">
        <v>1008</v>
      </c>
    </row>
    <row r="3" spans="1:106" x14ac:dyDescent="0.25">
      <c r="F3" s="45"/>
      <c r="G3" s="48"/>
      <c r="H3" s="48"/>
      <c r="I3" s="49"/>
      <c r="L3" s="5"/>
      <c r="M3" s="5"/>
      <c r="N3" s="5"/>
      <c r="O3" s="5"/>
      <c r="Q3" s="45"/>
      <c r="R3" s="48"/>
      <c r="S3" s="48"/>
      <c r="T3" s="49"/>
      <c r="W3" s="5"/>
      <c r="X3" s="5"/>
      <c r="Z3" s="5"/>
      <c r="AB3" s="45"/>
      <c r="AC3" s="48"/>
      <c r="AD3" s="48"/>
      <c r="AE3" s="49"/>
      <c r="AH3" s="5"/>
      <c r="AI3" s="5"/>
      <c r="AJ3" s="5"/>
      <c r="AK3" s="5"/>
      <c r="AM3" s="45"/>
      <c r="AN3" s="48"/>
      <c r="AO3" s="48"/>
      <c r="AP3" s="49"/>
      <c r="AX3" s="45"/>
      <c r="AY3" s="48"/>
      <c r="AZ3" s="48"/>
      <c r="BA3" s="49"/>
      <c r="BI3" s="45"/>
      <c r="BJ3" s="48"/>
      <c r="BK3" s="48"/>
      <c r="BL3" s="49"/>
      <c r="BO3" s="5"/>
      <c r="BP3" s="5"/>
      <c r="BQ3" s="5"/>
      <c r="BR3" s="5"/>
      <c r="BT3" s="45"/>
      <c r="BU3" s="48"/>
      <c r="BV3" s="48"/>
      <c r="BW3" s="48"/>
      <c r="BX3" s="299"/>
      <c r="CC3" s="45"/>
      <c r="CD3" s="48"/>
      <c r="CE3" s="48"/>
      <c r="CF3" s="49"/>
      <c r="CI3" s="45"/>
      <c r="CJ3" s="48"/>
      <c r="CK3" s="48"/>
      <c r="CL3" s="49"/>
      <c r="CM3" s="311"/>
      <c r="CN3" s="312"/>
      <c r="CO3" s="394"/>
      <c r="CP3" s="206"/>
      <c r="CQ3" s="206"/>
      <c r="CS3" s="394" t="s">
        <v>971</v>
      </c>
    </row>
    <row r="4" spans="1:106" x14ac:dyDescent="0.25">
      <c r="F4" s="50"/>
      <c r="G4" s="81"/>
      <c r="H4" s="228"/>
      <c r="I4" s="53"/>
      <c r="L4" s="5"/>
      <c r="M4" s="5"/>
      <c r="N4" s="5">
        <v>0</v>
      </c>
      <c r="O4" s="5"/>
      <c r="Q4" s="50"/>
      <c r="R4" s="81"/>
      <c r="S4" s="228"/>
      <c r="T4" s="53"/>
      <c r="W4" s="5"/>
      <c r="X4" s="5"/>
      <c r="Y4" s="5">
        <v>0</v>
      </c>
      <c r="Z4" s="5"/>
      <c r="AB4" s="50"/>
      <c r="AC4" s="81"/>
      <c r="AD4" s="228"/>
      <c r="AE4" s="53"/>
      <c r="AH4" s="5"/>
      <c r="AI4" s="5"/>
      <c r="AJ4" s="5">
        <v>0</v>
      </c>
      <c r="AK4" s="5"/>
      <c r="AM4" s="50"/>
      <c r="AN4" s="81"/>
      <c r="AO4" s="228"/>
      <c r="AP4" s="53"/>
      <c r="AX4" s="50"/>
      <c r="AY4" s="81"/>
      <c r="AZ4" s="228"/>
      <c r="BA4" s="53"/>
      <c r="BI4" s="50"/>
      <c r="BJ4" s="81"/>
      <c r="BK4" s="228"/>
      <c r="BL4" s="53"/>
      <c r="BO4" s="5"/>
      <c r="BP4" s="5"/>
      <c r="BQ4" s="5">
        <v>0</v>
      </c>
      <c r="BR4" s="5"/>
      <c r="BT4" s="50"/>
      <c r="BU4" s="52"/>
      <c r="BV4" s="52"/>
      <c r="BW4" s="52"/>
      <c r="BX4" s="299"/>
      <c r="CC4" s="50"/>
      <c r="CD4" s="81"/>
      <c r="CE4" s="228"/>
      <c r="CF4" s="53"/>
      <c r="CI4" s="50"/>
      <c r="CJ4" s="81"/>
      <c r="CK4" s="228"/>
      <c r="CL4" s="53"/>
      <c r="CM4" s="318"/>
      <c r="CN4" s="319"/>
      <c r="CO4" s="394"/>
      <c r="CP4" s="206"/>
      <c r="CQ4" s="206"/>
      <c r="CS4" s="394" t="s">
        <v>827</v>
      </c>
    </row>
    <row r="5" spans="1:106" x14ac:dyDescent="0.25">
      <c r="F5" s="50"/>
      <c r="G5" s="54" t="s">
        <v>742</v>
      </c>
      <c r="H5" s="228"/>
      <c r="I5" s="53"/>
      <c r="K5" s="294"/>
      <c r="L5" s="5"/>
      <c r="M5" s="5"/>
      <c r="N5" s="5"/>
      <c r="O5" s="5"/>
      <c r="Q5" s="50"/>
      <c r="R5" s="54" t="s">
        <v>741</v>
      </c>
      <c r="S5" s="228"/>
      <c r="T5" s="53"/>
      <c r="W5" s="366"/>
      <c r="X5" s="5"/>
      <c r="Z5" s="5"/>
      <c r="AB5" s="50"/>
      <c r="AC5" s="54" t="s">
        <v>744</v>
      </c>
      <c r="AD5" s="228"/>
      <c r="AE5" s="53"/>
      <c r="AH5" s="5"/>
      <c r="AI5" s="5"/>
      <c r="AJ5" s="5"/>
      <c r="AK5" s="5"/>
      <c r="AM5" s="50"/>
      <c r="AN5" s="54" t="s">
        <v>744</v>
      </c>
      <c r="AO5" s="228"/>
      <c r="AP5" s="53"/>
      <c r="AX5" s="50"/>
      <c r="AY5" s="54" t="s">
        <v>744</v>
      </c>
      <c r="AZ5" s="228"/>
      <c r="BA5" s="53"/>
      <c r="BI5" s="50"/>
      <c r="BJ5" s="54" t="s">
        <v>802</v>
      </c>
      <c r="BK5" s="228"/>
      <c r="BL5" s="53"/>
      <c r="BO5" s="5"/>
      <c r="BP5" s="5"/>
      <c r="BQ5" s="5"/>
      <c r="BR5" s="5"/>
      <c r="BT5" s="50"/>
      <c r="BU5" s="56" t="s">
        <v>835</v>
      </c>
      <c r="BV5" s="57"/>
      <c r="BW5" s="52"/>
      <c r="BX5" s="299"/>
      <c r="BZ5" s="262"/>
      <c r="CC5" s="50"/>
      <c r="CD5" s="54" t="s">
        <v>1134</v>
      </c>
      <c r="CE5" s="228"/>
      <c r="CF5" s="53"/>
      <c r="CI5" s="50"/>
      <c r="CJ5" s="54" t="s">
        <v>1091</v>
      </c>
      <c r="CK5" s="228"/>
      <c r="CL5" s="53"/>
      <c r="CM5" s="318"/>
      <c r="CN5" s="319"/>
      <c r="CO5" s="394"/>
      <c r="CP5" s="206"/>
      <c r="CQ5" s="206"/>
    </row>
    <row r="6" spans="1:106" x14ac:dyDescent="0.25">
      <c r="F6" s="50"/>
      <c r="G6" s="51" t="s">
        <v>743</v>
      </c>
      <c r="H6" s="210" t="b">
        <v>1</v>
      </c>
      <c r="I6" s="53"/>
      <c r="K6" t="s">
        <v>429</v>
      </c>
      <c r="L6" s="5" t="s">
        <v>430</v>
      </c>
      <c r="M6" s="5" t="s">
        <v>433</v>
      </c>
      <c r="N6" s="5" t="s">
        <v>665</v>
      </c>
      <c r="O6" s="5" t="s">
        <v>666</v>
      </c>
      <c r="Q6" s="50"/>
      <c r="R6" s="51" t="s">
        <v>743</v>
      </c>
      <c r="S6" s="210" t="b">
        <v>1</v>
      </c>
      <c r="T6" s="53"/>
      <c r="V6" t="s">
        <v>429</v>
      </c>
      <c r="W6" s="5" t="s">
        <v>430</v>
      </c>
      <c r="X6" s="5" t="s">
        <v>433</v>
      </c>
      <c r="Y6" s="5" t="s">
        <v>665</v>
      </c>
      <c r="Z6" s="5" t="s">
        <v>666</v>
      </c>
      <c r="AB6" s="50"/>
      <c r="AC6" s="51" t="s">
        <v>743</v>
      </c>
      <c r="AD6" s="210" t="b">
        <v>1</v>
      </c>
      <c r="AE6" s="53"/>
      <c r="AG6" t="s">
        <v>429</v>
      </c>
      <c r="AH6" s="5" t="s">
        <v>430</v>
      </c>
      <c r="AI6" s="5" t="s">
        <v>433</v>
      </c>
      <c r="AJ6" s="5" t="s">
        <v>665</v>
      </c>
      <c r="AK6" s="5" t="s">
        <v>666</v>
      </c>
      <c r="AM6" s="50"/>
      <c r="AN6" s="51" t="s">
        <v>743</v>
      </c>
      <c r="AO6" s="210" t="b">
        <v>1</v>
      </c>
      <c r="AP6" s="53"/>
      <c r="AR6" t="s">
        <v>429</v>
      </c>
      <c r="AS6" t="s">
        <v>430</v>
      </c>
      <c r="AT6" t="s">
        <v>433</v>
      </c>
      <c r="AU6" t="s">
        <v>665</v>
      </c>
      <c r="AV6" t="s">
        <v>666</v>
      </c>
      <c r="AX6" s="50"/>
      <c r="AY6" s="51" t="s">
        <v>743</v>
      </c>
      <c r="AZ6" s="210" t="b">
        <v>1</v>
      </c>
      <c r="BA6" s="53"/>
      <c r="BC6" t="s">
        <v>429</v>
      </c>
      <c r="BD6" t="s">
        <v>430</v>
      </c>
      <c r="BE6" t="s">
        <v>433</v>
      </c>
      <c r="BF6" t="s">
        <v>665</v>
      </c>
      <c r="BG6" t="s">
        <v>666</v>
      </c>
      <c r="BI6" s="50"/>
      <c r="BJ6" s="51" t="s">
        <v>743</v>
      </c>
      <c r="BK6" s="210" t="b">
        <v>1</v>
      </c>
      <c r="BL6" s="53"/>
      <c r="BN6" t="s">
        <v>429</v>
      </c>
      <c r="BO6" s="5" t="s">
        <v>430</v>
      </c>
      <c r="BP6" s="5" t="s">
        <v>433</v>
      </c>
      <c r="BQ6" s="5" t="s">
        <v>665</v>
      </c>
      <c r="BR6" s="5" t="s">
        <v>666</v>
      </c>
      <c r="BT6" s="50"/>
      <c r="BU6" s="270" t="s">
        <v>743</v>
      </c>
      <c r="BV6" s="271" t="b">
        <v>1</v>
      </c>
      <c r="BW6" s="52"/>
      <c r="BX6" s="299"/>
      <c r="BZ6" s="261" t="s">
        <v>502</v>
      </c>
      <c r="CA6" s="261" t="s">
        <v>503</v>
      </c>
      <c r="CC6" s="50"/>
      <c r="CD6" s="51" t="s">
        <v>743</v>
      </c>
      <c r="CE6" s="210" t="b">
        <v>1</v>
      </c>
      <c r="CF6" s="53"/>
      <c r="CI6" s="50"/>
      <c r="CJ6" s="51" t="s">
        <v>743</v>
      </c>
      <c r="CK6" s="210" t="b">
        <v>1</v>
      </c>
      <c r="CL6" s="53"/>
      <c r="CM6" s="318"/>
      <c r="CN6" s="319"/>
      <c r="CO6" s="206"/>
      <c r="CP6" s="206"/>
      <c r="CQ6" s="206"/>
    </row>
    <row r="7" spans="1:106" x14ac:dyDescent="0.25">
      <c r="F7" s="50"/>
      <c r="G7" s="59" t="s">
        <v>711</v>
      </c>
      <c r="H7" s="211" t="str">
        <f>$A$1&amp;"_OIS"</f>
        <v>ZAR_OIS</v>
      </c>
      <c r="I7" s="53"/>
      <c r="K7" t="s">
        <v>298</v>
      </c>
      <c r="L7" s="368">
        <f>O7+N7/10000</f>
        <v>3.3750000000000002E-2</v>
      </c>
      <c r="M7" s="5" t="b">
        <v>1</v>
      </c>
      <c r="N7" s="5">
        <f>$N$4</f>
        <v>0</v>
      </c>
      <c r="O7" s="357">
        <f>Z7</f>
        <v>3.3750000000000002E-2</v>
      </c>
      <c r="Q7" s="50"/>
      <c r="R7" s="59" t="s">
        <v>711</v>
      </c>
      <c r="S7" s="211" t="str">
        <f>$A$1&amp;"_SWAP_"&amp;"3M"</f>
        <v>ZAR_SWAP_3M</v>
      </c>
      <c r="T7" s="53"/>
      <c r="V7" t="s">
        <v>298</v>
      </c>
      <c r="W7" s="367">
        <f t="shared" ref="W7:W32" si="0">Z7+Y7/10000</f>
        <v>3.3750000000000002E-2</v>
      </c>
      <c r="X7" s="5" t="b">
        <v>1</v>
      </c>
      <c r="Y7" s="5">
        <f t="shared" ref="Y7:Y32" si="1">$Y$4</f>
        <v>0</v>
      </c>
      <c r="Z7" s="368">
        <f>ZAR_DATA!U7</f>
        <v>3.3750000000000002E-2</v>
      </c>
      <c r="AA7" s="203"/>
      <c r="AB7" s="50"/>
      <c r="AC7" s="59" t="s">
        <v>711</v>
      </c>
      <c r="AD7" s="211" t="str">
        <f>$A$1&amp;"_BASIS_3M6M"</f>
        <v>ZAR_BASIS_3M6M</v>
      </c>
      <c r="AE7" s="53"/>
      <c r="AG7" t="s">
        <v>47</v>
      </c>
      <c r="AH7" s="358">
        <f>AK7+AJ7/10000</f>
        <v>1E-3</v>
      </c>
      <c r="AI7" s="5" t="b">
        <v>1</v>
      </c>
      <c r="AJ7" s="5">
        <f>$AJ$4</f>
        <v>0</v>
      </c>
      <c r="AK7" s="357">
        <f>ZAR_DATA!Z7</f>
        <v>1E-3</v>
      </c>
      <c r="AL7" s="207"/>
      <c r="AM7" s="50"/>
      <c r="AN7" s="59" t="s">
        <v>711</v>
      </c>
      <c r="AO7" s="211" t="str">
        <f>A1&amp;"_BASIS_3X12"</f>
        <v>ZAR_BASIS_3X12</v>
      </c>
      <c r="AP7" s="53"/>
      <c r="AR7" t="s">
        <v>47</v>
      </c>
      <c r="AT7" t="b">
        <v>1</v>
      </c>
      <c r="AX7" s="50"/>
      <c r="AY7" s="59" t="s">
        <v>711</v>
      </c>
      <c r="AZ7" s="211" t="str">
        <f>A1&amp;"_BASIS_1X3"</f>
        <v>ZAR_BASIS_1X3</v>
      </c>
      <c r="BA7" s="53"/>
      <c r="BC7" t="s">
        <v>47</v>
      </c>
      <c r="BE7" t="b">
        <v>1</v>
      </c>
      <c r="BI7" s="50"/>
      <c r="BJ7" s="59" t="s">
        <v>711</v>
      </c>
      <c r="BK7" s="211" t="str">
        <f>$A$1&amp;"_XCCY"</f>
        <v>ZAR_XCCY</v>
      </c>
      <c r="BL7" s="53"/>
      <c r="BN7" t="s">
        <v>2</v>
      </c>
      <c r="BO7" s="5" t="s">
        <v>272</v>
      </c>
      <c r="BP7" s="5">
        <f>BR7</f>
        <v>16.795200000000001</v>
      </c>
      <c r="BQ7" s="5"/>
      <c r="BR7" s="5">
        <f>ZAR_DATA!BD7</f>
        <v>16.795200000000001</v>
      </c>
      <c r="BT7" s="50"/>
      <c r="BU7" s="270" t="s">
        <v>830</v>
      </c>
      <c r="BV7" s="271" t="str">
        <f>"FX_CURVE_USD"&amp;$A$1</f>
        <v>FX_CURVE_USDZAR</v>
      </c>
      <c r="BW7" s="52"/>
      <c r="BX7" s="299"/>
      <c r="BY7" t="s">
        <v>836</v>
      </c>
      <c r="BZ7" s="296">
        <f>ZAR_DATA!BB7</f>
        <v>16.792100000000001</v>
      </c>
      <c r="CA7" s="296">
        <f>ZAR_DATA!BC7</f>
        <v>16.798200000000001</v>
      </c>
      <c r="CC7" s="50"/>
      <c r="CD7" s="59" t="s">
        <v>711</v>
      </c>
      <c r="CE7" s="211" t="str">
        <f>$A$1&amp;"_EURCSA"</f>
        <v>ZAR_EURCSA</v>
      </c>
      <c r="CF7" s="53"/>
      <c r="CI7" s="50"/>
      <c r="CJ7" s="59" t="s">
        <v>711</v>
      </c>
      <c r="CK7" s="211" t="str">
        <f>$A$1&amp;"_JPYCSA"</f>
        <v>ZAR_JPYCSA</v>
      </c>
      <c r="CL7" s="53"/>
      <c r="CM7" s="318"/>
      <c r="CN7" s="319"/>
      <c r="CO7" s="206"/>
      <c r="CP7" s="206"/>
      <c r="CQ7" s="206"/>
      <c r="CS7" t="str">
        <f t="array" ref="CS7:CV103">_xll.meUtilityResize(_xll.meLWOCurveForwardRatesTable(CS1,CS2:CS5,,,,,,"QUARTERLY"),144,5)</f>
        <v>Fixing Dates</v>
      </c>
      <c r="CT7" t="str">
        <v>ZAROIS</v>
      </c>
      <c r="CU7" t="str">
        <v>JIB3M</v>
      </c>
      <c r="CV7" t="str">
        <v>ZARDF_USDCSA</v>
      </c>
    </row>
    <row r="8" spans="1:106" x14ac:dyDescent="0.25">
      <c r="F8" s="50"/>
      <c r="G8" s="72" t="s">
        <v>670</v>
      </c>
      <c r="H8" s="35" t="str">
        <f>IF(H$6,_xll.meLWOCurveGeneratorCreate(H$7,"CURVEPROPERTIES",G12:H18,"OIS",G23:H37),"Disabled")</f>
        <v>ZAR_OIS@324:6</v>
      </c>
      <c r="I8" s="53" t="s">
        <v>424</v>
      </c>
      <c r="K8" t="s">
        <v>305</v>
      </c>
      <c r="L8" s="368">
        <f t="shared" ref="L8:L26" si="2">O8+N8/10000</f>
        <v>3.3750000000000002E-2</v>
      </c>
      <c r="M8" s="5" t="b">
        <v>1</v>
      </c>
      <c r="N8" s="5">
        <f t="shared" ref="N8:N26" si="3">$N$4</f>
        <v>0</v>
      </c>
      <c r="O8" s="357">
        <f>O7</f>
        <v>3.3750000000000002E-2</v>
      </c>
      <c r="Q8" s="50"/>
      <c r="R8" s="72" t="s">
        <v>670</v>
      </c>
      <c r="S8" s="35" t="str">
        <f>IF(S$6,_xll.meLWOCurveGeneratorCreate(S$7,"CURVEPROPERTIES",R12:S25,"MONEYMARKET",R28:S30,"LIBORFIXINGS",R33:S37,"FRAS",R40:S45,"FUTURES",R48:S54,"SWAPS",R57:S70),"Disabled")</f>
        <v>ZAR_SWAP_3M@326:6</v>
      </c>
      <c r="T8" s="53" t="s">
        <v>424</v>
      </c>
      <c r="V8" t="s">
        <v>300</v>
      </c>
      <c r="W8" s="367">
        <f t="shared" si="0"/>
        <v>3.3750000000000002E-2</v>
      </c>
      <c r="X8" s="5" t="b">
        <v>1</v>
      </c>
      <c r="Y8" s="5">
        <f t="shared" si="1"/>
        <v>0</v>
      </c>
      <c r="Z8" s="368">
        <f>ZAR_DATA!U7</f>
        <v>3.3750000000000002E-2</v>
      </c>
      <c r="AA8" s="203"/>
      <c r="AB8" s="50"/>
      <c r="AC8" s="72" t="s">
        <v>670</v>
      </c>
      <c r="AD8" s="35" t="str">
        <f>IF(AD$6,_xll.meLWOCurveGeneratorCreate(AD$7,"CURVEPROPERTIES",AC12:AD21,"BASISSWAPS",AC27:AD68),"Disabled")</f>
        <v>ZAR_BASIS_3M6M@328:6</v>
      </c>
      <c r="AE8" s="53" t="s">
        <v>424</v>
      </c>
      <c r="AG8" t="s">
        <v>308</v>
      </c>
      <c r="AH8" s="358">
        <f t="shared" ref="AH8:AH23" si="4">AK8+AJ8/10000</f>
        <v>1E-3</v>
      </c>
      <c r="AI8" s="5" t="b">
        <v>1</v>
      </c>
      <c r="AJ8" s="5">
        <f t="shared" ref="AJ8:AJ23" si="5">$AJ$4</f>
        <v>0</v>
      </c>
      <c r="AK8" s="357">
        <f>ZAR_DATA!Z8</f>
        <v>1E-3</v>
      </c>
      <c r="AL8" s="207"/>
      <c r="AM8" s="50"/>
      <c r="AN8" s="72" t="s">
        <v>670</v>
      </c>
      <c r="AO8" s="35" t="str">
        <f>IF(AO$6,_xll.meLWOCurveGeneratorCreate(AO$7,AN11,AN12:AO21,AN26,AN27:AO68),"Disabled")</f>
        <v>ZAR_BASIS_3X12@323:6</v>
      </c>
      <c r="AP8" s="53" t="s">
        <v>424</v>
      </c>
      <c r="AR8" t="s">
        <v>308</v>
      </c>
      <c r="AT8" t="b">
        <v>1</v>
      </c>
      <c r="AX8" s="50"/>
      <c r="AY8" s="72" t="s">
        <v>670</v>
      </c>
      <c r="AZ8" s="35" t="str">
        <f>IF(AZ$6,_xll.meLWOCurveGeneratorCreate(AZ$7,AY11,AY12:AZ21,AY26,AY27:AZ68),"Disabled")</f>
        <v>ZAR_BASIS_1X3@302:7</v>
      </c>
      <c r="BA8" s="53" t="s">
        <v>424</v>
      </c>
      <c r="BC8" t="s">
        <v>308</v>
      </c>
      <c r="BE8" t="b">
        <v>1</v>
      </c>
      <c r="BI8" s="50"/>
      <c r="BJ8" s="72" t="s">
        <v>670</v>
      </c>
      <c r="BK8" s="35" t="str">
        <f>IF(BK$6,_xll.meLWOCurveGeneratorCreate(BK$7,"CURVEPROPERTIES",BJ12:BK23,"XCCYSWAPS",BJ27:BK64,"FXFWDS",BJ68:BK76),"Disabled")</f>
        <v>ZAR_XCCY@321:6</v>
      </c>
      <c r="BL8" s="53" t="s">
        <v>424</v>
      </c>
      <c r="BN8" t="s">
        <v>298</v>
      </c>
      <c r="BO8" s="5">
        <f>BR8</f>
        <v>20.3</v>
      </c>
      <c r="BP8" s="5" t="b">
        <v>1</v>
      </c>
      <c r="BQ8" s="5"/>
      <c r="BR8" s="5">
        <f>ZAR_DATA!BD8</f>
        <v>20.3</v>
      </c>
      <c r="BT8" s="50"/>
      <c r="BU8" t="s">
        <v>670</v>
      </c>
      <c r="BV8" s="263" t="str">
        <f>IF(BV6,_xll.meLWOCurveGeneratorCreate(BV7,"CURVEPROPERTIES",BU12:BV15,"FXFWDS",BU20:BV25),"DISABLED")</f>
        <v>FX_CURVE_USDZAR@327:6</v>
      </c>
      <c r="BW8" s="52"/>
      <c r="BX8" s="299"/>
      <c r="BY8" s="377" t="s">
        <v>298</v>
      </c>
      <c r="BZ8" s="373">
        <f>ZAR_DATA!BB8</f>
        <v>19</v>
      </c>
      <c r="CA8" s="373">
        <f>ZAR_DATA!BC8</f>
        <v>21.5</v>
      </c>
      <c r="CC8" s="50"/>
      <c r="CD8" s="72" t="s">
        <v>670</v>
      </c>
      <c r="CE8" s="35" t="str">
        <f>IF(CE$6,_xll.meLWOCurveGeneratorCreate(CE$7,"CURVEPROPERTIES",CD12:CE20,"FWDFXCONST",CD27:CE31),"Disabled")</f>
        <v>ZAR_EURCSA@325:6</v>
      </c>
      <c r="CF8" s="53" t="s">
        <v>424</v>
      </c>
      <c r="CI8" s="50"/>
      <c r="CJ8" s="72" t="s">
        <v>670</v>
      </c>
      <c r="CK8" s="35" t="str">
        <f>IF(CK$6,_xll.meLWOCurveGeneratorCreate(CK$7,"CURVEPROPERTIES",CJ12:CK20,"FWDFXCONST",CJ27:CK31),"Disabled")</f>
        <v>ZAR_JPYCSA@322:6</v>
      </c>
      <c r="CL8" s="53" t="s">
        <v>424</v>
      </c>
      <c r="CM8" s="318"/>
      <c r="CN8" s="319"/>
      <c r="CO8" s="206"/>
      <c r="CP8" s="206"/>
      <c r="CQ8" s="206"/>
      <c r="CS8" s="200">
        <v>44083</v>
      </c>
      <c r="CT8" s="207">
        <v>3.3742231625578697E-2</v>
      </c>
      <c r="CU8" s="207">
        <v>3.4169999999999701E-2</v>
      </c>
      <c r="CV8" s="207">
        <v>4.0721845025393902E-2</v>
      </c>
      <c r="CW8" s="207"/>
      <c r="CX8" s="207"/>
      <c r="DB8" s="466"/>
    </row>
    <row r="9" spans="1:106" x14ac:dyDescent="0.25">
      <c r="F9" s="50"/>
      <c r="G9" s="289"/>
      <c r="H9" s="289"/>
      <c r="I9" s="53" t="s">
        <v>424</v>
      </c>
      <c r="K9" t="s">
        <v>313</v>
      </c>
      <c r="L9" s="368">
        <f t="shared" si="2"/>
        <v>3.3750000000000002E-2</v>
      </c>
      <c r="M9" s="5" t="b">
        <v>1</v>
      </c>
      <c r="N9" s="5">
        <f t="shared" si="3"/>
        <v>0</v>
      </c>
      <c r="O9" s="357">
        <f>O8</f>
        <v>3.3750000000000002E-2</v>
      </c>
      <c r="Q9" s="50"/>
      <c r="R9" s="52"/>
      <c r="S9" s="52"/>
      <c r="T9" s="53"/>
      <c r="V9" t="s">
        <v>49</v>
      </c>
      <c r="W9" s="367">
        <f t="shared" si="0"/>
        <v>3.4169999999999999E-2</v>
      </c>
      <c r="X9" s="5" t="b">
        <v>1</v>
      </c>
      <c r="Y9" s="5">
        <f t="shared" si="1"/>
        <v>0</v>
      </c>
      <c r="Z9" s="368">
        <f>ZAR_DATA!U8</f>
        <v>3.4169999999999999E-2</v>
      </c>
      <c r="AA9" s="203"/>
      <c r="AB9" s="50"/>
      <c r="AC9" s="52"/>
      <c r="AD9" s="52"/>
      <c r="AE9" s="53"/>
      <c r="AG9" t="s">
        <v>316</v>
      </c>
      <c r="AH9" s="358">
        <f t="shared" si="4"/>
        <v>1E-3</v>
      </c>
      <c r="AI9" s="5" t="b">
        <v>1</v>
      </c>
      <c r="AJ9" s="5">
        <f t="shared" si="5"/>
        <v>0</v>
      </c>
      <c r="AK9" s="357">
        <f>ZAR_DATA!Z9</f>
        <v>1E-3</v>
      </c>
      <c r="AL9" s="207"/>
      <c r="AM9" s="50"/>
      <c r="AN9" s="52"/>
      <c r="AO9" s="52"/>
      <c r="AP9" s="53"/>
      <c r="AR9" t="s">
        <v>316</v>
      </c>
      <c r="AT9" t="b">
        <v>1</v>
      </c>
      <c r="AX9" s="50"/>
      <c r="AY9" s="52"/>
      <c r="AZ9" s="52"/>
      <c r="BA9" s="53"/>
      <c r="BC9" t="s">
        <v>316</v>
      </c>
      <c r="BE9" t="b">
        <v>1</v>
      </c>
      <c r="BI9" s="50"/>
      <c r="BJ9" s="52"/>
      <c r="BK9" s="52"/>
      <c r="BL9" s="53"/>
      <c r="BN9" t="s">
        <v>506</v>
      </c>
      <c r="BO9" s="5">
        <f t="shared" ref="BO9:BO20" si="6">BR9</f>
        <v>21.9</v>
      </c>
      <c r="BP9" s="5" t="b">
        <v>1</v>
      </c>
      <c r="BQ9" s="5"/>
      <c r="BR9" s="5">
        <f>ZAR_DATA!BD9</f>
        <v>21.9</v>
      </c>
      <c r="BT9" s="50"/>
      <c r="BU9" s="57"/>
      <c r="BV9" s="57"/>
      <c r="BW9" s="52"/>
      <c r="BX9" s="299"/>
      <c r="BY9" s="378" t="s">
        <v>506</v>
      </c>
      <c r="BZ9" s="373">
        <f>ZAR_DATA!BB9</f>
        <v>21.5</v>
      </c>
      <c r="CA9" s="373">
        <f>ZAR_DATA!BC9</f>
        <v>22.3</v>
      </c>
      <c r="CC9" s="50"/>
      <c r="CD9" s="52"/>
      <c r="CE9" s="52"/>
      <c r="CF9" s="53"/>
      <c r="CI9" s="50"/>
      <c r="CJ9" s="52"/>
      <c r="CK9" s="52"/>
      <c r="CL9" s="53"/>
      <c r="CM9" s="318"/>
      <c r="CN9" s="319"/>
      <c r="CO9" s="206"/>
      <c r="CP9" s="206"/>
      <c r="CQ9" s="206"/>
      <c r="CS9" s="200">
        <v>44174</v>
      </c>
      <c r="CT9" s="207">
        <v>3.4061230703674499E-2</v>
      </c>
      <c r="CU9" s="207">
        <v>3.27499999999998E-2</v>
      </c>
      <c r="CV9" s="207">
        <v>3.57030237226185E-2</v>
      </c>
      <c r="CW9" s="207"/>
      <c r="CX9" s="207"/>
      <c r="DB9" s="466"/>
    </row>
    <row r="10" spans="1:106" x14ac:dyDescent="0.25">
      <c r="F10" s="50"/>
      <c r="G10" s="289"/>
      <c r="H10" s="289"/>
      <c r="I10" s="53"/>
      <c r="K10" t="s">
        <v>320</v>
      </c>
      <c r="L10" s="368">
        <f t="shared" si="2"/>
        <v>3.3750000000000002E-2</v>
      </c>
      <c r="M10" s="5" t="b">
        <v>1</v>
      </c>
      <c r="N10" s="5">
        <f t="shared" si="3"/>
        <v>0</v>
      </c>
      <c r="O10" s="357">
        <f>O9</f>
        <v>3.3750000000000002E-2</v>
      </c>
      <c r="Q10" s="50"/>
      <c r="R10" s="52"/>
      <c r="S10" s="52"/>
      <c r="T10" s="53"/>
      <c r="V10" t="s">
        <v>46</v>
      </c>
      <c r="W10" s="367">
        <f t="shared" si="0"/>
        <v>3.4669999999999999E-2</v>
      </c>
      <c r="X10" s="5" t="b">
        <v>0</v>
      </c>
      <c r="Y10" s="5">
        <f t="shared" si="1"/>
        <v>0</v>
      </c>
      <c r="Z10" s="368">
        <f>ZAR_DATA!U9</f>
        <v>3.4669999999999999E-2</v>
      </c>
      <c r="AA10" s="203"/>
      <c r="AB10" s="50"/>
      <c r="AC10" s="52"/>
      <c r="AD10" s="52"/>
      <c r="AE10" s="53"/>
      <c r="AG10" t="s">
        <v>324</v>
      </c>
      <c r="AH10" s="358">
        <f t="shared" si="4"/>
        <v>1E-3</v>
      </c>
      <c r="AI10" s="5" t="b">
        <v>1</v>
      </c>
      <c r="AJ10" s="5">
        <f t="shared" si="5"/>
        <v>0</v>
      </c>
      <c r="AK10" s="357">
        <f>ZAR_DATA!Z10</f>
        <v>1E-3</v>
      </c>
      <c r="AL10" s="207"/>
      <c r="AM10" s="50"/>
      <c r="AN10" s="52"/>
      <c r="AO10" s="52"/>
      <c r="AP10" s="53"/>
      <c r="AR10" t="s">
        <v>324</v>
      </c>
      <c r="AT10" t="b">
        <v>1</v>
      </c>
      <c r="AX10" s="50"/>
      <c r="AY10" s="52"/>
      <c r="AZ10" s="52"/>
      <c r="BA10" s="53"/>
      <c r="BC10" t="s">
        <v>324</v>
      </c>
      <c r="BE10" t="b">
        <v>1</v>
      </c>
      <c r="BI10" s="50"/>
      <c r="BJ10" s="52"/>
      <c r="BK10" s="52"/>
      <c r="BL10" s="53"/>
      <c r="BN10" t="s">
        <v>305</v>
      </c>
      <c r="BO10" s="5">
        <f t="shared" si="6"/>
        <v>140.5</v>
      </c>
      <c r="BP10" s="5" t="b">
        <v>1</v>
      </c>
      <c r="BQ10" s="5"/>
      <c r="BR10" s="5">
        <f>ZAR_DATA!BD10</f>
        <v>140.5</v>
      </c>
      <c r="BT10" s="50"/>
      <c r="BU10" s="57"/>
      <c r="BV10" s="57"/>
      <c r="BW10" s="52"/>
      <c r="BX10" s="299"/>
      <c r="BY10" s="378" t="s">
        <v>305</v>
      </c>
      <c r="BZ10" s="373">
        <f>ZAR_DATA!BB10</f>
        <v>138</v>
      </c>
      <c r="CA10" s="373">
        <f>ZAR_DATA!BC10</f>
        <v>143</v>
      </c>
      <c r="CC10" s="50"/>
      <c r="CD10" s="52"/>
      <c r="CE10" s="52"/>
      <c r="CF10" s="53"/>
      <c r="CI10" s="50"/>
      <c r="CJ10" s="52"/>
      <c r="CK10" s="52"/>
      <c r="CL10" s="53"/>
      <c r="CM10" s="318"/>
      <c r="CN10" s="319"/>
      <c r="CO10" s="206"/>
      <c r="CP10" s="206"/>
      <c r="CQ10" s="206"/>
      <c r="CS10" s="200">
        <v>44264</v>
      </c>
      <c r="CT10" s="207">
        <v>3.4367388071682298E-2</v>
      </c>
      <c r="CU10" s="207">
        <v>3.3250000000000397E-2</v>
      </c>
      <c r="CV10" s="207">
        <v>3.4041149719053101E-2</v>
      </c>
      <c r="CW10" s="207"/>
      <c r="CX10" s="207"/>
      <c r="DB10" s="466"/>
    </row>
    <row r="11" spans="1:106" x14ac:dyDescent="0.25">
      <c r="F11" s="50"/>
      <c r="G11" s="54" t="s">
        <v>671</v>
      </c>
      <c r="H11" s="52"/>
      <c r="I11" s="53"/>
      <c r="K11" t="s">
        <v>300</v>
      </c>
      <c r="L11" s="368">
        <f t="shared" si="2"/>
        <v>3.3750000000000002E-2</v>
      </c>
      <c r="M11" s="5" t="b">
        <v>1</v>
      </c>
      <c r="N11" s="5">
        <f t="shared" si="3"/>
        <v>0</v>
      </c>
      <c r="O11" s="357">
        <f>Z8</f>
        <v>3.3750000000000002E-2</v>
      </c>
      <c r="Q11" s="50"/>
      <c r="R11" s="54" t="s">
        <v>671</v>
      </c>
      <c r="S11" s="52" t="s">
        <v>713</v>
      </c>
      <c r="T11" s="53"/>
      <c r="V11" t="s">
        <v>322</v>
      </c>
      <c r="W11" s="367">
        <f t="shared" si="0"/>
        <v>3.6749999999999998E-2</v>
      </c>
      <c r="X11" s="5" t="b">
        <v>0</v>
      </c>
      <c r="Y11" s="5">
        <f t="shared" si="1"/>
        <v>0</v>
      </c>
      <c r="Z11" s="368">
        <f>ZAR_DATA!U10</f>
        <v>3.6749999999999998E-2</v>
      </c>
      <c r="AA11" s="203"/>
      <c r="AB11" s="50"/>
      <c r="AC11" s="54" t="s">
        <v>671</v>
      </c>
      <c r="AD11" s="85" t="s">
        <v>713</v>
      </c>
      <c r="AE11" s="53"/>
      <c r="AG11" t="s">
        <v>331</v>
      </c>
      <c r="AH11" s="358">
        <f t="shared" si="4"/>
        <v>1E-3</v>
      </c>
      <c r="AI11" s="5" t="b">
        <v>1</v>
      </c>
      <c r="AJ11" s="5">
        <f t="shared" si="5"/>
        <v>0</v>
      </c>
      <c r="AK11" s="357">
        <f>ZAR_DATA!Z11</f>
        <v>1E-3</v>
      </c>
      <c r="AL11" s="207"/>
      <c r="AM11" s="50"/>
      <c r="AN11" s="54" t="s">
        <v>671</v>
      </c>
      <c r="AO11" s="85" t="s">
        <v>713</v>
      </c>
      <c r="AP11" s="53"/>
      <c r="AR11" t="s">
        <v>331</v>
      </c>
      <c r="AT11" t="b">
        <v>1</v>
      </c>
      <c r="AX11" s="50"/>
      <c r="AY11" s="54" t="s">
        <v>671</v>
      </c>
      <c r="AZ11" s="85" t="s">
        <v>713</v>
      </c>
      <c r="BA11" s="53"/>
      <c r="BC11" t="s">
        <v>331</v>
      </c>
      <c r="BE11" t="b">
        <v>1</v>
      </c>
      <c r="BI11" s="50"/>
      <c r="BJ11" s="54" t="s">
        <v>671</v>
      </c>
      <c r="BK11" s="85"/>
      <c r="BL11" s="53"/>
      <c r="BN11" t="s">
        <v>313</v>
      </c>
      <c r="BO11" s="5">
        <f t="shared" si="6"/>
        <v>277</v>
      </c>
      <c r="BP11" s="5" t="b">
        <v>1</v>
      </c>
      <c r="BQ11" s="5"/>
      <c r="BR11" s="5">
        <f>ZAR_DATA!BD11</f>
        <v>277</v>
      </c>
      <c r="BT11" s="50"/>
      <c r="BU11" s="56" t="s">
        <v>671</v>
      </c>
      <c r="BV11" s="272" t="s">
        <v>825</v>
      </c>
      <c r="BW11" s="52"/>
      <c r="BX11" s="299"/>
      <c r="BY11" s="378" t="s">
        <v>313</v>
      </c>
      <c r="BZ11" s="373">
        <f>ZAR_DATA!BB11</f>
        <v>274</v>
      </c>
      <c r="CA11" s="373">
        <f>ZAR_DATA!BC11</f>
        <v>280</v>
      </c>
      <c r="CC11" s="50"/>
      <c r="CD11" s="54" t="s">
        <v>671</v>
      </c>
      <c r="CE11" s="85"/>
      <c r="CF11" s="53"/>
      <c r="CI11" s="50"/>
      <c r="CJ11" s="54" t="s">
        <v>671</v>
      </c>
      <c r="CK11" s="85"/>
      <c r="CL11" s="53"/>
      <c r="CM11" s="318"/>
      <c r="CN11" s="319"/>
      <c r="CO11" s="206"/>
      <c r="CP11" s="206"/>
      <c r="CQ11" s="206"/>
      <c r="CS11" s="200">
        <v>44356</v>
      </c>
      <c r="CT11" s="207">
        <v>3.1824338608910201E-2</v>
      </c>
      <c r="CU11" s="207">
        <v>3.4199999999999703E-2</v>
      </c>
      <c r="CV11" s="207">
        <v>3.1901413676873401E-2</v>
      </c>
      <c r="CW11" s="207"/>
      <c r="CX11" s="207"/>
      <c r="DB11" s="466"/>
    </row>
    <row r="12" spans="1:106" x14ac:dyDescent="0.25">
      <c r="F12" s="50"/>
      <c r="G12" s="212" t="s">
        <v>435</v>
      </c>
      <c r="H12" s="213" t="s">
        <v>426</v>
      </c>
      <c r="I12" s="53"/>
      <c r="K12" t="s">
        <v>335</v>
      </c>
      <c r="L12" s="368">
        <f t="shared" si="2"/>
        <v>3.4169999999999999E-2</v>
      </c>
      <c r="M12" s="5" t="b">
        <v>1</v>
      </c>
      <c r="N12" s="5">
        <f t="shared" si="3"/>
        <v>0</v>
      </c>
      <c r="O12" s="357">
        <f>Z9</f>
        <v>3.4169999999999999E-2</v>
      </c>
      <c r="Q12" s="50"/>
      <c r="R12" s="220" t="s">
        <v>435</v>
      </c>
      <c r="S12" s="221" t="s">
        <v>463</v>
      </c>
      <c r="T12" s="53"/>
      <c r="V12" t="s">
        <v>494</v>
      </c>
      <c r="W12" s="367">
        <f t="shared" si="0"/>
        <v>3.3300000000000003E-2</v>
      </c>
      <c r="X12" s="5" t="b">
        <v>1</v>
      </c>
      <c r="Y12" s="5">
        <f t="shared" si="1"/>
        <v>0</v>
      </c>
      <c r="Z12" s="368">
        <f>ZAR_DATA!U11</f>
        <v>3.3300000000000003E-2</v>
      </c>
      <c r="AA12" s="203"/>
      <c r="AB12" s="50"/>
      <c r="AC12" s="220" t="s">
        <v>434</v>
      </c>
      <c r="AD12" s="238" t="str">
        <f>$A$1</f>
        <v>ZAR</v>
      </c>
      <c r="AE12" s="53"/>
      <c r="AG12" t="s">
        <v>339</v>
      </c>
      <c r="AH12" s="358">
        <f t="shared" si="4"/>
        <v>1E-3</v>
      </c>
      <c r="AI12" s="5" t="b">
        <v>1</v>
      </c>
      <c r="AJ12" s="5">
        <f t="shared" si="5"/>
        <v>0</v>
      </c>
      <c r="AK12" s="357">
        <f>ZAR_DATA!Z12</f>
        <v>1E-3</v>
      </c>
      <c r="AL12" s="207"/>
      <c r="AM12" s="50"/>
      <c r="AN12" s="220" t="s">
        <v>434</v>
      </c>
      <c r="AO12" s="238" t="str">
        <f>$A$1</f>
        <v>ZAR</v>
      </c>
      <c r="AP12" s="53"/>
      <c r="AR12" t="s">
        <v>339</v>
      </c>
      <c r="AT12" t="b">
        <v>1</v>
      </c>
      <c r="AX12" s="50"/>
      <c r="AY12" s="220" t="s">
        <v>434</v>
      </c>
      <c r="AZ12" s="238" t="str">
        <f>INDEX('STATIC DATA'!C39:AB39,1,MATCH($A$1,'STATIC DATA'!$C$4:$AB$4,0))</f>
        <v>JOB</v>
      </c>
      <c r="BA12" s="53"/>
      <c r="BC12" t="s">
        <v>339</v>
      </c>
      <c r="BE12" t="b">
        <v>1</v>
      </c>
      <c r="BI12" s="50"/>
      <c r="BJ12" s="220" t="s">
        <v>435</v>
      </c>
      <c r="BK12" s="238" t="s">
        <v>669</v>
      </c>
      <c r="BL12" s="53"/>
      <c r="BN12" t="s">
        <v>300</v>
      </c>
      <c r="BO12" s="5">
        <f t="shared" si="6"/>
        <v>617</v>
      </c>
      <c r="BP12" s="5" t="b">
        <v>1</v>
      </c>
      <c r="BQ12" s="5"/>
      <c r="BR12" s="5">
        <f>ZAR_DATA!BD12</f>
        <v>617</v>
      </c>
      <c r="BT12" s="50"/>
      <c r="BU12" s="238" t="s">
        <v>434</v>
      </c>
      <c r="BV12" s="238" t="s">
        <v>974</v>
      </c>
      <c r="BW12" s="52"/>
      <c r="BX12" s="299"/>
      <c r="BY12" s="378" t="s">
        <v>300</v>
      </c>
      <c r="BZ12" s="373">
        <f>ZAR_DATA!BB12</f>
        <v>612</v>
      </c>
      <c r="CA12" s="373">
        <f>ZAR_DATA!BC12</f>
        <v>622</v>
      </c>
      <c r="CC12" s="50"/>
      <c r="CD12" s="220" t="s">
        <v>435</v>
      </c>
      <c r="CE12" s="238" t="s">
        <v>1084</v>
      </c>
      <c r="CF12" s="53"/>
      <c r="CI12" s="50"/>
      <c r="CJ12" s="220" t="s">
        <v>435</v>
      </c>
      <c r="CK12" s="238" t="s">
        <v>1084</v>
      </c>
      <c r="CL12" s="53"/>
      <c r="CM12" s="318"/>
      <c r="CN12" s="319"/>
      <c r="CO12" s="206"/>
      <c r="CP12" s="206"/>
      <c r="CQ12" s="206"/>
      <c r="CS12" s="200">
        <v>44448</v>
      </c>
      <c r="CT12" s="207">
        <v>3.4152295012392801E-2</v>
      </c>
      <c r="CU12" s="207">
        <v>3.5450000000000197E-2</v>
      </c>
      <c r="CV12" s="207">
        <v>2.6044490095702501E-2</v>
      </c>
      <c r="CW12" s="207"/>
      <c r="CX12" s="207"/>
      <c r="DB12" s="466"/>
    </row>
    <row r="13" spans="1:106" x14ac:dyDescent="0.25">
      <c r="F13" s="50"/>
      <c r="G13" s="214" t="s">
        <v>438</v>
      </c>
      <c r="H13" s="215" t="str">
        <f>IF(INDEX('STATIC DATA'!C60:AB60,1,MATCH($A$1,'STATIC DATA'!C4:AB4,0))="1D","DAILY","#Not FOUND")</f>
        <v>DAILY</v>
      </c>
      <c r="I13" s="53"/>
      <c r="K13" t="s">
        <v>49</v>
      </c>
      <c r="L13" s="368">
        <f t="shared" si="2"/>
        <v>3.4169999999999999E-2</v>
      </c>
      <c r="M13" s="5" t="b">
        <v>1</v>
      </c>
      <c r="N13" s="5">
        <f t="shared" si="3"/>
        <v>0</v>
      </c>
      <c r="O13" s="357">
        <f>Z9</f>
        <v>3.4169999999999999E-2</v>
      </c>
      <c r="Q13" s="50"/>
      <c r="R13" s="222" t="s">
        <v>438</v>
      </c>
      <c r="S13" s="223" t="str">
        <f>IF(INDEX('STATIC DATA'!C56:AB56,1,MATCH(A1,'STATIC DATA'!C4:AB4,0))="1Y","ANNUAL",(IF(INDEX('STATIC DATA'!C56:AB56,1,MATCH($A$1,'STATIC DATA'!C4:AB4,0))="6M","SEMI-ANNUAL","QUARTERLY")))</f>
        <v>QUARTERLY</v>
      </c>
      <c r="T13" s="53"/>
      <c r="V13" t="s">
        <v>495</v>
      </c>
      <c r="W13" s="367">
        <f t="shared" si="0"/>
        <v>3.3149999999999999E-2</v>
      </c>
      <c r="X13" s="5" t="b">
        <v>1</v>
      </c>
      <c r="Y13" s="5">
        <f t="shared" si="1"/>
        <v>0</v>
      </c>
      <c r="Z13" s="368">
        <f>ZAR_DATA!U12</f>
        <v>3.3149999999999999E-2</v>
      </c>
      <c r="AA13" s="203"/>
      <c r="AB13" s="50"/>
      <c r="AC13" s="222" t="s">
        <v>435</v>
      </c>
      <c r="AD13" s="216" t="s">
        <v>468</v>
      </c>
      <c r="AE13" s="53"/>
      <c r="AG13" t="s">
        <v>342</v>
      </c>
      <c r="AH13" s="358">
        <f t="shared" si="4"/>
        <v>1E-3</v>
      </c>
      <c r="AI13" s="5" t="b">
        <v>1</v>
      </c>
      <c r="AJ13" s="5">
        <f t="shared" si="5"/>
        <v>0</v>
      </c>
      <c r="AK13" s="357">
        <f>ZAR_DATA!Z13</f>
        <v>1E-3</v>
      </c>
      <c r="AL13" s="207"/>
      <c r="AM13" s="50"/>
      <c r="AN13" s="222" t="s">
        <v>435</v>
      </c>
      <c r="AO13" s="216" t="s">
        <v>468</v>
      </c>
      <c r="AP13" s="53"/>
      <c r="AR13" t="s">
        <v>342</v>
      </c>
      <c r="AT13" t="b">
        <v>1</v>
      </c>
      <c r="AX13" s="50"/>
      <c r="AY13" s="222" t="s">
        <v>435</v>
      </c>
      <c r="AZ13" s="216" t="s">
        <v>468</v>
      </c>
      <c r="BA13" s="53"/>
      <c r="BC13" t="s">
        <v>342</v>
      </c>
      <c r="BE13" t="b">
        <v>1</v>
      </c>
      <c r="BI13" s="50"/>
      <c r="BJ13" s="222" t="s">
        <v>438</v>
      </c>
      <c r="BK13" s="216" t="str">
        <f>IF(INDEX('STATIC DATA'!C56:AB56,1,MATCH(A1,'STATIC DATA'!C4:AB4,0))="1Y","ANNUAL",(IF(INDEX('STATIC DATA'!C56:AB56,1,MATCH($A$1,'STATIC DATA'!C4:AB4,0))="6M","SEMI-ANNUAL","QUARTERLY")))</f>
        <v>QUARTERLY</v>
      </c>
      <c r="BL13" s="53"/>
      <c r="BN13" t="s">
        <v>335</v>
      </c>
      <c r="BO13" s="5">
        <f t="shared" si="6"/>
        <v>1148</v>
      </c>
      <c r="BP13" s="5" t="b">
        <v>1</v>
      </c>
      <c r="BQ13" s="5"/>
      <c r="BR13" s="5">
        <f>ZAR_DATA!BD13</f>
        <v>1148</v>
      </c>
      <c r="BT13" s="50"/>
      <c r="BU13" s="216" t="s">
        <v>724</v>
      </c>
      <c r="BV13" s="216" t="s">
        <v>1585</v>
      </c>
      <c r="BW13" s="52"/>
      <c r="BX13" s="299"/>
      <c r="BY13" s="378" t="s">
        <v>335</v>
      </c>
      <c r="BZ13" s="373">
        <f>ZAR_DATA!BB13</f>
        <v>1133</v>
      </c>
      <c r="CA13" s="373">
        <f>ZAR_DATA!BC13</f>
        <v>1163</v>
      </c>
      <c r="CC13" s="50"/>
      <c r="CD13" s="222" t="s">
        <v>438</v>
      </c>
      <c r="CE13" s="216" t="s">
        <v>439</v>
      </c>
      <c r="CF13" s="53"/>
      <c r="CI13" s="50"/>
      <c r="CJ13" s="222" t="s">
        <v>438</v>
      </c>
      <c r="CK13" s="216" t="s">
        <v>439</v>
      </c>
      <c r="CL13" s="53"/>
      <c r="CM13" s="318"/>
      <c r="CN13" s="319"/>
      <c r="CO13" s="206"/>
      <c r="CP13" s="206"/>
      <c r="CQ13" s="206"/>
      <c r="CS13" s="200">
        <v>44539</v>
      </c>
      <c r="CT13" s="207">
        <v>3.6179638466650003E-2</v>
      </c>
      <c r="CU13" s="207">
        <v>3.7350000000000098E-2</v>
      </c>
      <c r="CV13" s="207">
        <v>3.4165529717423697E-2</v>
      </c>
      <c r="CW13" s="207"/>
      <c r="CX13" s="207"/>
      <c r="DB13" s="466"/>
    </row>
    <row r="14" spans="1:106" x14ac:dyDescent="0.25">
      <c r="F14" s="50"/>
      <c r="G14" s="214" t="s">
        <v>672</v>
      </c>
      <c r="H14" s="215" t="s">
        <v>426</v>
      </c>
      <c r="I14" s="53"/>
      <c r="K14" t="s">
        <v>351</v>
      </c>
      <c r="L14" s="368">
        <f t="shared" si="2"/>
        <v>3.4336666666666668E-2</v>
      </c>
      <c r="M14" s="5" t="b">
        <v>0</v>
      </c>
      <c r="N14" s="5">
        <f t="shared" si="3"/>
        <v>0</v>
      </c>
      <c r="O14" s="357">
        <f>O13+(O16-O13)/3</f>
        <v>3.4336666666666668E-2</v>
      </c>
      <c r="Q14" s="50"/>
      <c r="R14" s="222" t="s">
        <v>672</v>
      </c>
      <c r="S14" s="223" t="s">
        <v>714</v>
      </c>
      <c r="T14" s="53"/>
      <c r="V14" t="s">
        <v>496</v>
      </c>
      <c r="W14" s="367">
        <f t="shared" si="0"/>
        <v>3.2750000000000001E-2</v>
      </c>
      <c r="X14" s="5" t="b">
        <v>1</v>
      </c>
      <c r="Y14" s="5">
        <f t="shared" si="1"/>
        <v>0</v>
      </c>
      <c r="Z14" s="368">
        <f>ZAR_DATA!U13</f>
        <v>3.2750000000000001E-2</v>
      </c>
      <c r="AA14" s="203"/>
      <c r="AB14" s="50"/>
      <c r="AC14" s="222" t="s">
        <v>438</v>
      </c>
      <c r="AD14" s="216" t="s">
        <v>459</v>
      </c>
      <c r="AE14" s="53"/>
      <c r="AG14" t="s">
        <v>355</v>
      </c>
      <c r="AH14" s="358">
        <f t="shared" si="4"/>
        <v>1E-3</v>
      </c>
      <c r="AI14" s="5" t="b">
        <v>1</v>
      </c>
      <c r="AJ14" s="5">
        <f t="shared" si="5"/>
        <v>0</v>
      </c>
      <c r="AK14" s="357">
        <f>ZAR_DATA!Z14</f>
        <v>1E-3</v>
      </c>
      <c r="AL14" s="207"/>
      <c r="AM14" s="50"/>
      <c r="AN14" s="222" t="s">
        <v>438</v>
      </c>
      <c r="AO14" s="216" t="s">
        <v>680</v>
      </c>
      <c r="AP14" s="53"/>
      <c r="AR14" t="s">
        <v>355</v>
      </c>
      <c r="AT14" t="b">
        <v>1</v>
      </c>
      <c r="AX14" s="50"/>
      <c r="AY14" s="222" t="s">
        <v>438</v>
      </c>
      <c r="AZ14" s="216" t="s">
        <v>794</v>
      </c>
      <c r="BA14" s="53"/>
      <c r="BC14" t="s">
        <v>355</v>
      </c>
      <c r="BE14" t="b">
        <v>1</v>
      </c>
      <c r="BI14" s="50"/>
      <c r="BJ14" s="222" t="s">
        <v>672</v>
      </c>
      <c r="BK14" s="216" t="s">
        <v>803</v>
      </c>
      <c r="BL14" s="53"/>
      <c r="BN14" t="s">
        <v>49</v>
      </c>
      <c r="BO14" s="5">
        <f t="shared" si="6"/>
        <v>1662.5</v>
      </c>
      <c r="BP14" s="5" t="b">
        <v>1</v>
      </c>
      <c r="BQ14" s="5"/>
      <c r="BR14" s="5">
        <f>ZAR_DATA!BD14</f>
        <v>1662.5</v>
      </c>
      <c r="BT14" s="50"/>
      <c r="BU14" s="216" t="s">
        <v>435</v>
      </c>
      <c r="BV14" s="216" t="s">
        <v>820</v>
      </c>
      <c r="BW14" s="52"/>
      <c r="BX14" s="299"/>
      <c r="BY14" s="378" t="s">
        <v>49</v>
      </c>
      <c r="BZ14" s="373">
        <f>ZAR_DATA!BB14</f>
        <v>1659</v>
      </c>
      <c r="CA14" s="373">
        <f>ZAR_DATA!BC14</f>
        <v>1666</v>
      </c>
      <c r="CC14" s="50"/>
      <c r="CD14" s="222" t="s">
        <v>672</v>
      </c>
      <c r="CE14" s="216" t="s">
        <v>1092</v>
      </c>
      <c r="CF14" s="53"/>
      <c r="CI14" s="50"/>
      <c r="CJ14" s="222" t="s">
        <v>672</v>
      </c>
      <c r="CK14" s="216" t="s">
        <v>1127</v>
      </c>
      <c r="CL14" s="53"/>
      <c r="CM14" s="318"/>
      <c r="CN14" s="319"/>
      <c r="CO14" s="206"/>
      <c r="CP14" s="206"/>
      <c r="CQ14" s="206"/>
      <c r="CS14" s="200">
        <v>44629</v>
      </c>
      <c r="CT14" s="207">
        <v>3.8172633915065098E-2</v>
      </c>
      <c r="CU14" s="207">
        <v>3.8900000000000198E-2</v>
      </c>
      <c r="CV14" s="207">
        <v>3.9365925526490202E-2</v>
      </c>
      <c r="CW14" s="207"/>
      <c r="CX14" s="207"/>
      <c r="DB14" s="466"/>
    </row>
    <row r="15" spans="1:106" x14ac:dyDescent="0.25">
      <c r="F15" s="50"/>
      <c r="G15" s="235" t="s">
        <v>673</v>
      </c>
      <c r="H15" s="236" t="str">
        <f>H14&amp;":"&amp;$A$1&amp;H12</f>
        <v>OIS:ZAROIS</v>
      </c>
      <c r="I15" s="53" t="s">
        <v>424</v>
      </c>
      <c r="K15" t="s">
        <v>360</v>
      </c>
      <c r="L15" s="368">
        <f t="shared" si="2"/>
        <v>3.450333333333333E-2</v>
      </c>
      <c r="M15" s="5" t="b">
        <v>0</v>
      </c>
      <c r="N15" s="5">
        <f t="shared" si="3"/>
        <v>0</v>
      </c>
      <c r="O15" s="357">
        <f>O13+2*(O16-O13)/3</f>
        <v>3.450333333333333E-2</v>
      </c>
      <c r="Q15" s="50"/>
      <c r="R15" s="233" t="s">
        <v>673</v>
      </c>
      <c r="S15" s="230" t="s">
        <v>970</v>
      </c>
      <c r="T15" s="53"/>
      <c r="V15" t="s">
        <v>497</v>
      </c>
      <c r="W15" s="367">
        <f t="shared" si="0"/>
        <v>3.3250000000000002E-2</v>
      </c>
      <c r="X15" s="5" t="b">
        <v>1</v>
      </c>
      <c r="Y15" s="5">
        <f t="shared" si="1"/>
        <v>0</v>
      </c>
      <c r="Z15" s="368">
        <f>ZAR_DATA!U14</f>
        <v>3.3250000000000002E-2</v>
      </c>
      <c r="AA15" s="203"/>
      <c r="AB15" s="50"/>
      <c r="AC15" s="222" t="s">
        <v>672</v>
      </c>
      <c r="AD15" s="216" t="s">
        <v>745</v>
      </c>
      <c r="AE15" s="53"/>
      <c r="AG15" t="s">
        <v>364</v>
      </c>
      <c r="AH15" s="358">
        <f t="shared" si="4"/>
        <v>1E-3</v>
      </c>
      <c r="AI15" s="5" t="b">
        <v>1</v>
      </c>
      <c r="AJ15" s="5">
        <f t="shared" si="5"/>
        <v>0</v>
      </c>
      <c r="AK15" s="357">
        <f>ZAR_DATA!Z15</f>
        <v>1E-3</v>
      </c>
      <c r="AL15" s="207"/>
      <c r="AM15" s="50"/>
      <c r="AN15" s="222" t="s">
        <v>672</v>
      </c>
      <c r="AO15" s="216" t="s">
        <v>798</v>
      </c>
      <c r="AP15" s="53"/>
      <c r="AR15" t="s">
        <v>364</v>
      </c>
      <c r="AT15" t="b">
        <v>1</v>
      </c>
      <c r="AX15" s="50"/>
      <c r="AY15" s="222" t="s">
        <v>672</v>
      </c>
      <c r="AZ15" s="216" t="s">
        <v>795</v>
      </c>
      <c r="BA15" s="53"/>
      <c r="BC15" t="s">
        <v>364</v>
      </c>
      <c r="BE15" t="b">
        <v>1</v>
      </c>
      <c r="BI15" s="50"/>
      <c r="BJ15" s="222" t="s">
        <v>673</v>
      </c>
      <c r="BK15" s="216" t="s">
        <v>804</v>
      </c>
      <c r="BL15" s="53"/>
      <c r="BN15" t="s">
        <v>351</v>
      </c>
      <c r="BO15" s="5">
        <f t="shared" ref="BO15:BO16" si="7">BR15</f>
        <v>2145.1</v>
      </c>
      <c r="BP15" s="5" t="b">
        <v>1</v>
      </c>
      <c r="BQ15" s="5"/>
      <c r="BR15" s="5">
        <f>ZAR_DATA!BD15</f>
        <v>2145.1</v>
      </c>
      <c r="BT15" s="50"/>
      <c r="BU15" s="219" t="s">
        <v>826</v>
      </c>
      <c r="BV15" s="219" t="s">
        <v>828</v>
      </c>
      <c r="BW15" s="52"/>
      <c r="BX15" s="299"/>
      <c r="BY15" s="378" t="s">
        <v>46</v>
      </c>
      <c r="BZ15" s="373">
        <f>ZAR_DATA!BB17</f>
        <v>3094</v>
      </c>
      <c r="CA15" s="373">
        <f>ZAR_DATA!BC17</f>
        <v>3164</v>
      </c>
      <c r="CC15" s="50"/>
      <c r="CD15" s="222" t="s">
        <v>673</v>
      </c>
      <c r="CE15" s="216" t="s">
        <v>1136</v>
      </c>
      <c r="CF15" s="53"/>
      <c r="CI15" s="50"/>
      <c r="CJ15" s="222" t="s">
        <v>673</v>
      </c>
      <c r="CK15" s="216" t="s">
        <v>1138</v>
      </c>
      <c r="CL15" s="53"/>
      <c r="CM15" s="318"/>
      <c r="CN15" s="319"/>
      <c r="CO15" s="206"/>
      <c r="CP15" s="206"/>
      <c r="CQ15" s="206"/>
      <c r="CS15" s="200">
        <v>44721</v>
      </c>
      <c r="CT15" s="207">
        <v>4.0199132652381703E-2</v>
      </c>
      <c r="CU15" s="207">
        <v>4.0679233479690297E-2</v>
      </c>
      <c r="CV15" s="207">
        <v>4.1591742040296899E-2</v>
      </c>
      <c r="CW15" s="207"/>
      <c r="CX15" s="207"/>
      <c r="DB15" s="466"/>
    </row>
    <row r="16" spans="1:106" x14ac:dyDescent="0.25">
      <c r="F16" s="50"/>
      <c r="G16" s="214" t="s">
        <v>434</v>
      </c>
      <c r="H16" s="216" t="str">
        <f>$A$1</f>
        <v>ZAR</v>
      </c>
      <c r="I16" s="53"/>
      <c r="K16" t="s">
        <v>46</v>
      </c>
      <c r="L16" s="368">
        <f t="shared" si="2"/>
        <v>3.4669999999999999E-2</v>
      </c>
      <c r="M16" s="5" t="b">
        <v>0</v>
      </c>
      <c r="N16" s="5">
        <f t="shared" si="3"/>
        <v>0</v>
      </c>
      <c r="O16" s="357">
        <f>Z10</f>
        <v>3.4669999999999999E-2</v>
      </c>
      <c r="Q16" s="50"/>
      <c r="R16" s="222" t="s">
        <v>434</v>
      </c>
      <c r="S16" s="223" t="str">
        <f>$A$1</f>
        <v>ZAR</v>
      </c>
      <c r="T16" s="53"/>
      <c r="V16" t="s">
        <v>498</v>
      </c>
      <c r="W16" s="367">
        <f t="shared" si="0"/>
        <v>3.4200000000000001E-2</v>
      </c>
      <c r="X16" s="5" t="b">
        <v>1</v>
      </c>
      <c r="Y16" s="5">
        <f t="shared" si="1"/>
        <v>0</v>
      </c>
      <c r="Z16" s="368">
        <f>ZAR_DATA!U15</f>
        <v>3.4200000000000001E-2</v>
      </c>
      <c r="AA16" s="203"/>
      <c r="AB16" s="50"/>
      <c r="AC16" s="233" t="s">
        <v>673</v>
      </c>
      <c r="AD16" s="230" t="s">
        <v>972</v>
      </c>
      <c r="AE16" s="53"/>
      <c r="AG16" t="s">
        <v>349</v>
      </c>
      <c r="AH16" s="358">
        <f t="shared" si="4"/>
        <v>1E-3</v>
      </c>
      <c r="AI16" s="5" t="b">
        <v>1</v>
      </c>
      <c r="AJ16" s="5">
        <f t="shared" si="5"/>
        <v>0</v>
      </c>
      <c r="AK16" s="357">
        <f>ZAR_DATA!Z16</f>
        <v>1E-3</v>
      </c>
      <c r="AL16" s="207"/>
      <c r="AM16" s="50"/>
      <c r="AN16" s="233" t="s">
        <v>673</v>
      </c>
      <c r="AO16" s="230" t="s">
        <v>799</v>
      </c>
      <c r="AP16" s="53"/>
      <c r="AR16" t="s">
        <v>349</v>
      </c>
      <c r="AT16" t="b">
        <v>1</v>
      </c>
      <c r="AX16" s="50"/>
      <c r="AY16" s="233" t="s">
        <v>673</v>
      </c>
      <c r="AZ16" s="230" t="s">
        <v>796</v>
      </c>
      <c r="BA16" s="53"/>
      <c r="BC16" t="s">
        <v>349</v>
      </c>
      <c r="BE16" t="b">
        <v>1</v>
      </c>
      <c r="BI16" s="50"/>
      <c r="BJ16" s="233" t="s">
        <v>434</v>
      </c>
      <c r="BK16" s="230" t="str">
        <f>$A$1</f>
        <v>ZAR</v>
      </c>
      <c r="BL16" s="53"/>
      <c r="BN16" t="s">
        <v>360</v>
      </c>
      <c r="BO16" s="5">
        <f t="shared" si="7"/>
        <v>2659.2</v>
      </c>
      <c r="BP16" s="5" t="b">
        <v>1</v>
      </c>
      <c r="BQ16" s="5"/>
      <c r="BR16" s="5">
        <f>ZAR_DATA!BD16</f>
        <v>2659.2</v>
      </c>
      <c r="BT16" s="50"/>
      <c r="BU16" s="57"/>
      <c r="BV16" s="57"/>
      <c r="BW16" s="52"/>
      <c r="BX16" s="299"/>
      <c r="BY16" s="378" t="s">
        <v>376</v>
      </c>
      <c r="BZ16" s="373">
        <f>ZAR_DATA!BB20</f>
        <v>4515</v>
      </c>
      <c r="CA16" s="373">
        <f>ZAR_DATA!BC20</f>
        <v>4634</v>
      </c>
      <c r="CC16" s="50"/>
      <c r="CD16" s="233" t="s">
        <v>434</v>
      </c>
      <c r="CE16" s="230" t="s">
        <v>272</v>
      </c>
      <c r="CF16" s="53"/>
      <c r="CI16" s="50"/>
      <c r="CJ16" s="233" t="s">
        <v>434</v>
      </c>
      <c r="CK16" s="230" t="s">
        <v>272</v>
      </c>
      <c r="CL16" s="53"/>
      <c r="CM16" s="318"/>
      <c r="CN16" s="319"/>
      <c r="CO16" s="206"/>
      <c r="CP16" s="206"/>
      <c r="CQ16" s="206"/>
      <c r="CS16" s="200">
        <v>44813</v>
      </c>
      <c r="CT16" s="207">
        <v>4.2243113491291902E-2</v>
      </c>
      <c r="CU16" s="207">
        <v>4.2991879272075699E-2</v>
      </c>
      <c r="CV16" s="207">
        <v>4.1402987382884303E-2</v>
      </c>
      <c r="CW16" s="207"/>
      <c r="CX16" s="207"/>
      <c r="DB16" s="466"/>
    </row>
    <row r="17" spans="6:106" x14ac:dyDescent="0.25">
      <c r="F17" s="50"/>
      <c r="G17" s="217" t="s">
        <v>674</v>
      </c>
      <c r="H17" s="216" t="s">
        <v>675</v>
      </c>
      <c r="I17" s="53"/>
      <c r="K17" t="s">
        <v>376</v>
      </c>
      <c r="L17" s="368">
        <f t="shared" si="2"/>
        <v>3.4085000000000004E-2</v>
      </c>
      <c r="M17" s="5" t="b">
        <v>0</v>
      </c>
      <c r="N17" s="5">
        <f t="shared" si="3"/>
        <v>0</v>
      </c>
      <c r="O17" s="357">
        <f>(O16+O18)/2</f>
        <v>3.4085000000000004E-2</v>
      </c>
      <c r="Q17" s="50"/>
      <c r="R17" s="222" t="s">
        <v>674</v>
      </c>
      <c r="S17" s="223" t="s">
        <v>1655</v>
      </c>
      <c r="T17" s="53"/>
      <c r="V17" t="s">
        <v>537</v>
      </c>
      <c r="W17" s="367">
        <f t="shared" si="0"/>
        <v>3.5450000000000002E-2</v>
      </c>
      <c r="X17" s="5" t="b">
        <v>1</v>
      </c>
      <c r="Y17" s="5">
        <f t="shared" si="1"/>
        <v>0</v>
      </c>
      <c r="Z17" s="368">
        <f>ZAR_DATA!U16</f>
        <v>3.5450000000000002E-2</v>
      </c>
      <c r="AA17" s="203"/>
      <c r="AB17" s="50"/>
      <c r="AC17" s="222" t="s">
        <v>674</v>
      </c>
      <c r="AD17" s="216" t="s">
        <v>675</v>
      </c>
      <c r="AE17" s="53"/>
      <c r="AG17" t="s">
        <v>358</v>
      </c>
      <c r="AH17" s="358">
        <f t="shared" si="4"/>
        <v>1E-3</v>
      </c>
      <c r="AI17" s="5" t="b">
        <v>1</v>
      </c>
      <c r="AJ17" s="5">
        <f t="shared" si="5"/>
        <v>0</v>
      </c>
      <c r="AK17" s="357">
        <f>ZAR_DATA!Z17</f>
        <v>1E-3</v>
      </c>
      <c r="AL17" s="207"/>
      <c r="AM17" s="50"/>
      <c r="AN17" s="222" t="s">
        <v>674</v>
      </c>
      <c r="AO17" s="216" t="s">
        <v>675</v>
      </c>
      <c r="AP17" s="53"/>
      <c r="AR17" t="s">
        <v>358</v>
      </c>
      <c r="AT17" t="b">
        <v>1</v>
      </c>
      <c r="AX17" s="50"/>
      <c r="AY17" s="222" t="s">
        <v>674</v>
      </c>
      <c r="AZ17" s="216" t="s">
        <v>675</v>
      </c>
      <c r="BA17" s="53"/>
      <c r="BC17" t="s">
        <v>358</v>
      </c>
      <c r="BE17" t="b">
        <v>1</v>
      </c>
      <c r="BI17" s="50"/>
      <c r="BJ17" s="222" t="s">
        <v>674</v>
      </c>
      <c r="BK17" s="216" t="s">
        <v>1655</v>
      </c>
      <c r="BL17" s="53"/>
      <c r="BN17" t="s">
        <v>46</v>
      </c>
      <c r="BO17" s="5">
        <f t="shared" si="6"/>
        <v>3129</v>
      </c>
      <c r="BP17" s="5" t="b">
        <v>1</v>
      </c>
      <c r="BQ17" s="5"/>
      <c r="BR17" s="5">
        <f>ZAR_DATA!BD17</f>
        <v>3129</v>
      </c>
      <c r="BT17" s="50"/>
      <c r="BU17" s="57"/>
      <c r="BV17" s="57"/>
      <c r="BW17" s="52"/>
      <c r="BX17" s="299"/>
      <c r="BY17" s="378" t="s">
        <v>322</v>
      </c>
      <c r="BZ17" s="373">
        <f>ZAR_DATA!BB23</f>
        <v>5998</v>
      </c>
      <c r="CA17" s="373">
        <f>ZAR_DATA!BC23</f>
        <v>6112</v>
      </c>
      <c r="CC17" s="50"/>
      <c r="CD17" s="222" t="s">
        <v>674</v>
      </c>
      <c r="CE17" s="216" t="s">
        <v>675</v>
      </c>
      <c r="CF17" s="53"/>
      <c r="CI17" s="50"/>
      <c r="CJ17" s="222" t="s">
        <v>674</v>
      </c>
      <c r="CK17" s="216" t="s">
        <v>675</v>
      </c>
      <c r="CL17" s="53"/>
      <c r="CM17" s="318"/>
      <c r="CN17" s="319"/>
      <c r="CO17" s="206"/>
      <c r="CP17" s="206"/>
      <c r="CQ17" s="206"/>
      <c r="CS17" s="200">
        <v>44904</v>
      </c>
      <c r="CT17" s="207">
        <v>4.4445489597800501E-2</v>
      </c>
      <c r="CU17" s="207">
        <v>4.5646912449046499E-2</v>
      </c>
      <c r="CV17" s="207">
        <v>4.1611635763422999E-2</v>
      </c>
      <c r="CW17" s="207"/>
      <c r="CX17" s="207"/>
      <c r="DB17" s="466"/>
    </row>
    <row r="18" spans="6:106" x14ac:dyDescent="0.25">
      <c r="F18" s="50"/>
      <c r="G18" s="214" t="s">
        <v>676</v>
      </c>
      <c r="H18" s="216" t="s">
        <v>675</v>
      </c>
      <c r="I18" s="53"/>
      <c r="K18" t="s">
        <v>47</v>
      </c>
      <c r="L18" s="368">
        <f t="shared" si="2"/>
        <v>3.3500000000000002E-2</v>
      </c>
      <c r="M18" s="5" t="b">
        <v>1</v>
      </c>
      <c r="N18" s="5">
        <f t="shared" si="3"/>
        <v>0</v>
      </c>
      <c r="O18" s="357">
        <f>ZAR_DATA!U19</f>
        <v>3.3500000000000002E-2</v>
      </c>
      <c r="Q18" s="50"/>
      <c r="R18" s="222" t="s">
        <v>676</v>
      </c>
      <c r="S18" s="223" t="s">
        <v>1655</v>
      </c>
      <c r="T18" s="53"/>
      <c r="V18" t="s">
        <v>499</v>
      </c>
      <c r="W18" s="367">
        <f t="shared" si="0"/>
        <v>3.7350000000000001E-2</v>
      </c>
      <c r="X18" s="5" t="b">
        <v>1</v>
      </c>
      <c r="Y18" s="5">
        <f t="shared" si="1"/>
        <v>0</v>
      </c>
      <c r="Z18" s="368">
        <f>ZAR_DATA!U17</f>
        <v>3.7350000000000001E-2</v>
      </c>
      <c r="AA18" s="203"/>
      <c r="AB18" s="50"/>
      <c r="AC18" s="222" t="s">
        <v>676</v>
      </c>
      <c r="AD18" s="216" t="s">
        <v>675</v>
      </c>
      <c r="AE18" s="53"/>
      <c r="AG18" t="s">
        <v>367</v>
      </c>
      <c r="AH18" s="358">
        <f t="shared" si="4"/>
        <v>1E-3</v>
      </c>
      <c r="AI18" s="5" t="b">
        <v>1</v>
      </c>
      <c r="AJ18" s="5">
        <f t="shared" si="5"/>
        <v>0</v>
      </c>
      <c r="AK18" s="357">
        <f>ZAR_DATA!Z18</f>
        <v>1E-3</v>
      </c>
      <c r="AL18" s="207"/>
      <c r="AM18" s="50"/>
      <c r="AN18" s="222" t="s">
        <v>676</v>
      </c>
      <c r="AO18" s="216" t="s">
        <v>675</v>
      </c>
      <c r="AP18" s="53"/>
      <c r="AR18" t="s">
        <v>367</v>
      </c>
      <c r="AT18" t="b">
        <v>1</v>
      </c>
      <c r="AX18" s="50"/>
      <c r="AY18" s="222" t="s">
        <v>676</v>
      </c>
      <c r="AZ18" s="216" t="s">
        <v>675</v>
      </c>
      <c r="BA18" s="53"/>
      <c r="BC18" t="s">
        <v>367</v>
      </c>
      <c r="BE18" t="b">
        <v>1</v>
      </c>
      <c r="BI18" s="50"/>
      <c r="BJ18" s="222" t="s">
        <v>676</v>
      </c>
      <c r="BK18" s="216" t="s">
        <v>1655</v>
      </c>
      <c r="BL18" s="53"/>
      <c r="BN18" t="s">
        <v>1570</v>
      </c>
      <c r="BO18" s="5">
        <f t="shared" ref="BO18:BO19" si="8">BR18</f>
        <v>3648.5</v>
      </c>
      <c r="BP18" s="5" t="b">
        <v>1</v>
      </c>
      <c r="BQ18" s="5"/>
      <c r="BR18" s="5">
        <f>ZAR_DATA!BD18</f>
        <v>3648.5</v>
      </c>
      <c r="BT18" s="50"/>
      <c r="BU18" s="57"/>
      <c r="BV18" s="57"/>
      <c r="BW18" s="52"/>
      <c r="BX18" s="299"/>
      <c r="BY18" s="378" t="s">
        <v>823</v>
      </c>
      <c r="BZ18" s="380">
        <f>(BZ17+BZ19)*0.5</f>
        <v>7591.35</v>
      </c>
      <c r="CA18" s="381">
        <f>(CA17+CA19)*0.5</f>
        <v>7924.2</v>
      </c>
      <c r="CC18" s="50"/>
      <c r="CD18" s="222" t="s">
        <v>676</v>
      </c>
      <c r="CE18" s="216" t="s">
        <v>675</v>
      </c>
      <c r="CF18" s="53"/>
      <c r="CI18" s="50"/>
      <c r="CJ18" s="222" t="s">
        <v>676</v>
      </c>
      <c r="CK18" s="216" t="s">
        <v>675</v>
      </c>
      <c r="CL18" s="53"/>
      <c r="CM18" s="318"/>
      <c r="CN18" s="319"/>
      <c r="CO18" s="206"/>
      <c r="CP18" s="206"/>
      <c r="CQ18" s="206"/>
      <c r="CS18" s="200">
        <v>44994</v>
      </c>
      <c r="CT18" s="207">
        <v>4.7001544199430298E-2</v>
      </c>
      <c r="CU18" s="207">
        <v>4.86421433299482E-2</v>
      </c>
      <c r="CV18" s="207">
        <v>4.3003673204598698E-2</v>
      </c>
      <c r="CW18" s="207"/>
      <c r="CX18" s="207"/>
      <c r="DB18" s="466"/>
    </row>
    <row r="19" spans="6:106" x14ac:dyDescent="0.25">
      <c r="F19" s="50"/>
      <c r="G19" s="214"/>
      <c r="H19" s="216"/>
      <c r="I19" s="53"/>
      <c r="K19" t="s">
        <v>308</v>
      </c>
      <c r="L19" s="368">
        <f t="shared" si="2"/>
        <v>3.5799999999999998E-2</v>
      </c>
      <c r="M19" s="5" t="b">
        <v>1</v>
      </c>
      <c r="N19" s="5">
        <f t="shared" si="3"/>
        <v>0</v>
      </c>
      <c r="O19" s="357">
        <f>ZAR_DATA!U20</f>
        <v>3.5799999999999998E-2</v>
      </c>
      <c r="Q19" s="50"/>
      <c r="R19" s="222" t="s">
        <v>716</v>
      </c>
      <c r="S19" s="223" t="s">
        <v>1655</v>
      </c>
      <c r="T19" s="53"/>
      <c r="V19" t="s">
        <v>663</v>
      </c>
      <c r="W19" s="367">
        <f t="shared" si="0"/>
        <v>3.8900000000000004E-2</v>
      </c>
      <c r="X19" s="5" t="b">
        <v>1</v>
      </c>
      <c r="Y19" s="5">
        <f t="shared" si="1"/>
        <v>0</v>
      </c>
      <c r="Z19" s="368">
        <f>ZAR_DATA!U18</f>
        <v>3.8900000000000004E-2</v>
      </c>
      <c r="AA19" s="203"/>
      <c r="AB19" s="50"/>
      <c r="AC19" s="222" t="s">
        <v>746</v>
      </c>
      <c r="AD19" s="216" t="s">
        <v>675</v>
      </c>
      <c r="AE19" s="53"/>
      <c r="AG19" t="s">
        <v>374</v>
      </c>
      <c r="AH19" s="358">
        <f t="shared" si="4"/>
        <v>1E-3</v>
      </c>
      <c r="AI19" s="5" t="b">
        <v>1</v>
      </c>
      <c r="AJ19" s="5">
        <f t="shared" si="5"/>
        <v>0</v>
      </c>
      <c r="AK19" s="357">
        <f>ZAR_DATA!Z19</f>
        <v>1E-3</v>
      </c>
      <c r="AL19" s="207"/>
      <c r="AM19" s="50"/>
      <c r="AN19" s="222" t="s">
        <v>746</v>
      </c>
      <c r="AO19" s="216" t="s">
        <v>675</v>
      </c>
      <c r="AP19" s="53"/>
      <c r="AR19" t="s">
        <v>374</v>
      </c>
      <c r="AT19" t="b">
        <v>1</v>
      </c>
      <c r="AX19" s="50"/>
      <c r="AY19" s="222" t="s">
        <v>746</v>
      </c>
      <c r="AZ19" s="216" t="s">
        <v>675</v>
      </c>
      <c r="BA19" s="53"/>
      <c r="BC19" t="s">
        <v>374</v>
      </c>
      <c r="BE19" t="b">
        <v>1</v>
      </c>
      <c r="BI19" s="50"/>
      <c r="BJ19" s="222" t="s">
        <v>746</v>
      </c>
      <c r="BK19" s="216" t="s">
        <v>1655</v>
      </c>
      <c r="BL19" s="53"/>
      <c r="BN19" t="s">
        <v>1571</v>
      </c>
      <c r="BO19" s="5">
        <f t="shared" si="8"/>
        <v>4111.3999999999996</v>
      </c>
      <c r="BP19" s="5" t="b">
        <v>1</v>
      </c>
      <c r="BQ19" s="5"/>
      <c r="BR19" s="5">
        <f>ZAR_DATA!BD19</f>
        <v>4111.3999999999996</v>
      </c>
      <c r="BT19" s="50"/>
      <c r="BU19" s="56" t="s">
        <v>814</v>
      </c>
      <c r="BV19" s="57"/>
      <c r="BW19" s="262"/>
      <c r="BX19" s="303"/>
      <c r="BY19" s="378" t="s">
        <v>501</v>
      </c>
      <c r="BZ19" s="373">
        <f>ZAR_DATA!BB25</f>
        <v>9184.7000000000007</v>
      </c>
      <c r="CA19" s="373">
        <f>ZAR_DATA!BC25</f>
        <v>9736.4</v>
      </c>
      <c r="CC19" s="50"/>
      <c r="CD19" s="222" t="s">
        <v>746</v>
      </c>
      <c r="CE19" s="216" t="s">
        <v>675</v>
      </c>
      <c r="CF19" s="53"/>
      <c r="CI19" s="50"/>
      <c r="CJ19" s="222" t="s">
        <v>746</v>
      </c>
      <c r="CK19" s="216" t="s">
        <v>675</v>
      </c>
      <c r="CL19" s="53"/>
      <c r="CM19" s="318"/>
      <c r="CN19" s="319"/>
      <c r="CO19" s="206"/>
      <c r="CP19" s="206"/>
      <c r="CQ19" s="206"/>
      <c r="CS19" s="200">
        <v>45086</v>
      </c>
      <c r="CT19" s="207">
        <v>5.0139625068011402E-2</v>
      </c>
      <c r="CU19" s="207">
        <v>5.2032688518884401E-2</v>
      </c>
      <c r="CV19" s="207">
        <v>4.5642439195700102E-2</v>
      </c>
      <c r="CW19" s="207"/>
      <c r="CX19" s="207"/>
      <c r="DB19" s="466"/>
    </row>
    <row r="20" spans="6:106" x14ac:dyDescent="0.25">
      <c r="F20" s="50"/>
      <c r="G20" s="218"/>
      <c r="H20" s="219"/>
      <c r="I20" s="53"/>
      <c r="K20" t="s">
        <v>316</v>
      </c>
      <c r="L20" s="368">
        <f t="shared" si="2"/>
        <v>3.95E-2</v>
      </c>
      <c r="M20" s="5" t="b">
        <v>1</v>
      </c>
      <c r="N20" s="5">
        <f t="shared" si="3"/>
        <v>0</v>
      </c>
      <c r="O20" s="357">
        <f>ZAR_DATA!U21</f>
        <v>3.95E-2</v>
      </c>
      <c r="Q20" s="50"/>
      <c r="R20" s="233" t="s">
        <v>717</v>
      </c>
      <c r="S20" s="230" t="s">
        <v>718</v>
      </c>
      <c r="T20" s="53"/>
      <c r="V20" t="s">
        <v>308</v>
      </c>
      <c r="W20" s="367">
        <f t="shared" si="0"/>
        <v>3.5799999999999998E-2</v>
      </c>
      <c r="X20" s="5" t="b">
        <v>1</v>
      </c>
      <c r="Y20" s="5">
        <f t="shared" si="1"/>
        <v>0</v>
      </c>
      <c r="Z20" s="368">
        <f>ZAR_DATA!U20</f>
        <v>3.5799999999999998E-2</v>
      </c>
      <c r="AA20" s="203"/>
      <c r="AB20" s="50"/>
      <c r="AC20" s="222" t="s">
        <v>747</v>
      </c>
      <c r="AD20" s="216" t="s">
        <v>720</v>
      </c>
      <c r="AE20" s="53"/>
      <c r="AG20" t="s">
        <v>382</v>
      </c>
      <c r="AH20" s="358">
        <f t="shared" si="4"/>
        <v>1E-3</v>
      </c>
      <c r="AI20" s="5" t="b">
        <v>1</v>
      </c>
      <c r="AJ20" s="5">
        <f t="shared" si="5"/>
        <v>0</v>
      </c>
      <c r="AK20" s="357">
        <f>ZAR_DATA!Z20</f>
        <v>1E-3</v>
      </c>
      <c r="AL20" s="207"/>
      <c r="AM20" s="50"/>
      <c r="AN20" s="222" t="s">
        <v>747</v>
      </c>
      <c r="AO20" s="216" t="s">
        <v>720</v>
      </c>
      <c r="AP20" s="53"/>
      <c r="AR20" t="s">
        <v>382</v>
      </c>
      <c r="AT20" t="b">
        <v>1</v>
      </c>
      <c r="AX20" s="50"/>
      <c r="AY20" s="222" t="s">
        <v>747</v>
      </c>
      <c r="AZ20" s="216" t="s">
        <v>720</v>
      </c>
      <c r="BA20" s="53"/>
      <c r="BC20" t="s">
        <v>382</v>
      </c>
      <c r="BE20" t="b">
        <v>1</v>
      </c>
      <c r="BI20" s="50"/>
      <c r="BJ20" s="222" t="s">
        <v>747</v>
      </c>
      <c r="BK20" s="216" t="b">
        <v>0</v>
      </c>
      <c r="BL20" s="53"/>
      <c r="BN20" t="s">
        <v>376</v>
      </c>
      <c r="BO20" s="5">
        <f t="shared" si="6"/>
        <v>4574.5</v>
      </c>
      <c r="BP20" s="5" t="b">
        <v>1</v>
      </c>
      <c r="BQ20" s="5"/>
      <c r="BR20" s="5">
        <f>ZAR_DATA!BD20</f>
        <v>4574.5</v>
      </c>
      <c r="BT20" s="50"/>
      <c r="BU20" s="147" t="s">
        <v>704</v>
      </c>
      <c r="BV20" s="221" t="str">
        <f>INDEX('STATIC DATA'!C30:AB30,1,MATCH($A$1,'STATIC DATA'!$C$4:$AB$4,0))</f>
        <v>JOB:NYB:LNB</v>
      </c>
      <c r="BW20" s="52"/>
      <c r="BX20" s="299"/>
      <c r="BY20" s="378" t="s">
        <v>834</v>
      </c>
      <c r="BZ20" s="380">
        <f>(BZ19+BZ21)*0.5</f>
        <v>10795.95</v>
      </c>
      <c r="CA20" s="381">
        <f>(CA19+CA21)*0.5</f>
        <v>11561.2</v>
      </c>
      <c r="CC20" s="50"/>
      <c r="CD20" s="222" t="s">
        <v>748</v>
      </c>
      <c r="CE20" s="216" t="s">
        <v>426</v>
      </c>
      <c r="CF20" s="53"/>
      <c r="CI20" s="50"/>
      <c r="CJ20" s="222" t="s">
        <v>748</v>
      </c>
      <c r="CK20" s="216" t="s">
        <v>426</v>
      </c>
      <c r="CL20" s="53"/>
      <c r="CM20" s="318"/>
      <c r="CN20" s="319"/>
      <c r="CO20" s="206"/>
      <c r="CP20" s="206"/>
      <c r="CQ20" s="206"/>
      <c r="CS20" s="200">
        <v>45180</v>
      </c>
      <c r="CT20" s="207">
        <v>5.3756519408585501E-2</v>
      </c>
      <c r="CU20" s="207">
        <v>5.5636816448429702E-2</v>
      </c>
      <c r="CV20" s="207">
        <v>4.9220459677345597E-2</v>
      </c>
      <c r="CW20" s="207"/>
      <c r="CX20" s="207"/>
      <c r="DB20" s="466"/>
    </row>
    <row r="21" spans="6:106" x14ac:dyDescent="0.25">
      <c r="F21" s="50"/>
      <c r="G21" s="52"/>
      <c r="H21" s="52"/>
      <c r="I21" s="53"/>
      <c r="K21" t="s">
        <v>324</v>
      </c>
      <c r="L21" s="368">
        <f t="shared" si="2"/>
        <v>4.4400000000000002E-2</v>
      </c>
      <c r="M21" s="5" t="b">
        <v>1</v>
      </c>
      <c r="N21" s="5">
        <f t="shared" si="3"/>
        <v>0</v>
      </c>
      <c r="O21" s="357">
        <f>ZAR_DATA!U22</f>
        <v>4.4400000000000002E-2</v>
      </c>
      <c r="Q21" s="50"/>
      <c r="R21" s="233" t="s">
        <v>719</v>
      </c>
      <c r="S21" s="230" t="s">
        <v>720</v>
      </c>
      <c r="T21" s="53"/>
      <c r="V21" t="s">
        <v>316</v>
      </c>
      <c r="W21" s="367">
        <f t="shared" si="0"/>
        <v>3.95E-2</v>
      </c>
      <c r="X21" s="5" t="b">
        <v>1</v>
      </c>
      <c r="Y21" s="5">
        <f t="shared" si="1"/>
        <v>0</v>
      </c>
      <c r="Z21" s="368">
        <f>ZAR_DATA!U21</f>
        <v>3.95E-2</v>
      </c>
      <c r="AA21" s="203"/>
      <c r="AB21" s="50"/>
      <c r="AC21" s="234" t="s">
        <v>748</v>
      </c>
      <c r="AD21" s="232" t="s">
        <v>426</v>
      </c>
      <c r="AE21" s="53"/>
      <c r="AG21" t="s">
        <v>389</v>
      </c>
      <c r="AH21" s="358">
        <f t="shared" si="4"/>
        <v>1E-3</v>
      </c>
      <c r="AI21" s="5" t="b">
        <v>1</v>
      </c>
      <c r="AJ21" s="5">
        <f t="shared" si="5"/>
        <v>0</v>
      </c>
      <c r="AK21" s="357">
        <f>ZAR_DATA!Z21</f>
        <v>1E-3</v>
      </c>
      <c r="AL21" s="207"/>
      <c r="AM21" s="50"/>
      <c r="AN21" s="234" t="s">
        <v>748</v>
      </c>
      <c r="AO21" s="232" t="s">
        <v>800</v>
      </c>
      <c r="AP21" s="53"/>
      <c r="AR21" t="s">
        <v>389</v>
      </c>
      <c r="AT21" t="b">
        <v>1</v>
      </c>
      <c r="AX21" s="50"/>
      <c r="AY21" s="234" t="s">
        <v>748</v>
      </c>
      <c r="AZ21" s="232" t="s">
        <v>790</v>
      </c>
      <c r="BA21" s="53"/>
      <c r="BC21" t="s">
        <v>389</v>
      </c>
      <c r="BE21" t="b">
        <v>1</v>
      </c>
      <c r="BI21" s="50"/>
      <c r="BJ21" s="234" t="s">
        <v>717</v>
      </c>
      <c r="BK21" s="232" t="b">
        <v>0</v>
      </c>
      <c r="BL21" s="53"/>
      <c r="BN21" t="s">
        <v>1576</v>
      </c>
      <c r="BO21" s="5">
        <f t="shared" ref="BO21:BO22" si="9">BR21</f>
        <v>5110.7</v>
      </c>
      <c r="BP21" s="5" t="b">
        <v>1</v>
      </c>
      <c r="BQ21" s="5"/>
      <c r="BR21" s="5">
        <f>ZAR_DATA!BD21</f>
        <v>5110.7</v>
      </c>
      <c r="BT21" s="50"/>
      <c r="BU21" s="149" t="s">
        <v>732</v>
      </c>
      <c r="BV21" s="223" t="str">
        <f>INDEX('STATIC DATA'!C19:AB19,1,MATCH($A$1,'STATIC DATA'!$C$4:$AB$4,0))</f>
        <v>2D</v>
      </c>
      <c r="BW21" s="52"/>
      <c r="BX21" s="299"/>
      <c r="BY21" s="378" t="s">
        <v>308</v>
      </c>
      <c r="BZ21" s="373">
        <f>ZAR_DATA!BB27</f>
        <v>12407.2</v>
      </c>
      <c r="CA21" s="373">
        <f>ZAR_DATA!BC27</f>
        <v>13386</v>
      </c>
      <c r="CM21" s="318"/>
      <c r="CN21" s="319"/>
      <c r="CO21" s="206"/>
      <c r="CP21" s="206"/>
      <c r="CQ21" s="206"/>
      <c r="CS21" s="200">
        <v>45271</v>
      </c>
      <c r="CT21" s="207">
        <v>5.7455016000107599E-2</v>
      </c>
      <c r="CU21" s="207">
        <v>5.91271392073138E-2</v>
      </c>
      <c r="CV21" s="207">
        <v>5.2700740356824899E-2</v>
      </c>
      <c r="CW21" s="207"/>
      <c r="CX21" s="207"/>
      <c r="DB21" s="466"/>
    </row>
    <row r="22" spans="6:106" x14ac:dyDescent="0.25">
      <c r="F22" s="50"/>
      <c r="G22" s="54" t="s">
        <v>426</v>
      </c>
      <c r="H22" s="52"/>
      <c r="I22" s="53"/>
      <c r="K22" t="s">
        <v>331</v>
      </c>
      <c r="L22" s="368">
        <f t="shared" si="2"/>
        <v>4.9500000000000002E-2</v>
      </c>
      <c r="M22" s="5" t="b">
        <v>1</v>
      </c>
      <c r="N22" s="5">
        <f t="shared" si="3"/>
        <v>0</v>
      </c>
      <c r="O22" s="357">
        <f>ZAR_DATA!U23</f>
        <v>4.9500000000000002E-2</v>
      </c>
      <c r="Q22" s="50"/>
      <c r="R22" s="222" t="s">
        <v>706</v>
      </c>
      <c r="S22" s="223" t="s">
        <v>721</v>
      </c>
      <c r="T22" s="53"/>
      <c r="V22" t="s">
        <v>324</v>
      </c>
      <c r="W22" s="367">
        <f t="shared" si="0"/>
        <v>4.4400000000000002E-2</v>
      </c>
      <c r="X22" s="5" t="b">
        <v>1</v>
      </c>
      <c r="Y22" s="5">
        <f t="shared" si="1"/>
        <v>0</v>
      </c>
      <c r="Z22" s="368">
        <f>ZAR_DATA!U22</f>
        <v>4.4400000000000002E-2</v>
      </c>
      <c r="AA22" s="203"/>
      <c r="AB22" s="50"/>
      <c r="AC22" s="222" t="s">
        <v>713</v>
      </c>
      <c r="AD22" s="216" t="s">
        <v>713</v>
      </c>
      <c r="AE22" s="53"/>
      <c r="AG22" t="s">
        <v>445</v>
      </c>
      <c r="AH22" s="358">
        <f t="shared" si="4"/>
        <v>1E-3</v>
      </c>
      <c r="AI22" s="5" t="b">
        <v>1</v>
      </c>
      <c r="AJ22" s="5">
        <f t="shared" si="5"/>
        <v>0</v>
      </c>
      <c r="AK22" s="357">
        <f>ZAR_DATA!Z22</f>
        <v>1E-3</v>
      </c>
      <c r="AL22" s="207"/>
      <c r="AM22" s="50"/>
      <c r="AN22" s="222" t="s">
        <v>713</v>
      </c>
      <c r="AO22" s="216" t="s">
        <v>713</v>
      </c>
      <c r="AP22" s="53"/>
      <c r="AR22" t="s">
        <v>445</v>
      </c>
      <c r="AT22" t="b">
        <v>1</v>
      </c>
      <c r="AX22" s="50"/>
      <c r="AY22" s="222" t="s">
        <v>713</v>
      </c>
      <c r="AZ22" s="216" t="s">
        <v>713</v>
      </c>
      <c r="BA22" s="53"/>
      <c r="BC22" t="s">
        <v>445</v>
      </c>
      <c r="BE22" t="b">
        <v>1</v>
      </c>
      <c r="BI22" s="50"/>
      <c r="BJ22" s="222" t="s">
        <v>805</v>
      </c>
      <c r="BK22" s="216" t="b">
        <v>1</v>
      </c>
      <c r="BL22" s="53"/>
      <c r="BN22" t="s">
        <v>1577</v>
      </c>
      <c r="BO22" s="5">
        <f t="shared" si="9"/>
        <v>5598.9</v>
      </c>
      <c r="BP22" s="5" t="b">
        <v>1</v>
      </c>
      <c r="BQ22" s="5"/>
      <c r="BR22" s="5">
        <f>ZAR_DATA!BD22</f>
        <v>5598.9</v>
      </c>
      <c r="BT22" s="50"/>
      <c r="BU22" s="149" t="s">
        <v>707</v>
      </c>
      <c r="BV22" s="223" t="s">
        <v>687</v>
      </c>
      <c r="BW22" s="52"/>
      <c r="BX22" s="299"/>
      <c r="BY22" s="378" t="s">
        <v>316</v>
      </c>
      <c r="BZ22" s="373">
        <f>ZAR_DATA!BB28</f>
        <v>25303.4</v>
      </c>
      <c r="CA22" s="373">
        <f>ZAR_DATA!BC28</f>
        <v>27491.9</v>
      </c>
      <c r="CM22" s="318"/>
      <c r="CN22" s="319"/>
      <c r="CO22" s="206"/>
      <c r="CP22" s="206"/>
      <c r="CQ22" s="206"/>
      <c r="CS22" s="200">
        <v>45362</v>
      </c>
      <c r="CT22" s="207">
        <v>6.0960065122521598E-2</v>
      </c>
      <c r="CU22" s="207">
        <v>6.2494425383128001E-2</v>
      </c>
      <c r="CV22" s="207">
        <v>5.5896605032940597E-2</v>
      </c>
      <c r="CW22" s="207"/>
      <c r="CX22" s="207"/>
      <c r="DB22" s="466"/>
    </row>
    <row r="23" spans="6:106" x14ac:dyDescent="0.25">
      <c r="F23" s="50"/>
      <c r="G23" s="220" t="s">
        <v>677</v>
      </c>
      <c r="H23" s="221" t="str">
        <f>INDEX('STATIC DATA'!C43:AB43,1,MATCH($A$1,'STATIC DATA'!$C$4:$AB$4,0))</f>
        <v>JOB</v>
      </c>
      <c r="I23" s="53"/>
      <c r="K23" t="s">
        <v>342</v>
      </c>
      <c r="L23" s="368">
        <f t="shared" si="2"/>
        <v>5.9000000000000004E-2</v>
      </c>
      <c r="M23" s="5" t="b">
        <v>1</v>
      </c>
      <c r="N23" s="5">
        <f t="shared" si="3"/>
        <v>0</v>
      </c>
      <c r="O23" s="357">
        <f>ZAR_DATA!U25</f>
        <v>5.9000000000000004E-2</v>
      </c>
      <c r="Q23" s="50"/>
      <c r="R23" s="222" t="s">
        <v>722</v>
      </c>
      <c r="S23" s="223" t="s">
        <v>718</v>
      </c>
      <c r="T23" s="53"/>
      <c r="V23" t="s">
        <v>331</v>
      </c>
      <c r="W23" s="367">
        <f t="shared" si="0"/>
        <v>4.9500000000000002E-2</v>
      </c>
      <c r="X23" s="5" t="b">
        <v>1</v>
      </c>
      <c r="Y23" s="5">
        <f t="shared" si="1"/>
        <v>0</v>
      </c>
      <c r="Z23" s="368">
        <f>ZAR_DATA!U23</f>
        <v>4.9500000000000002E-2</v>
      </c>
      <c r="AA23" s="203"/>
      <c r="AB23" s="50"/>
      <c r="AC23" s="234" t="s">
        <v>713</v>
      </c>
      <c r="AD23" s="232" t="s">
        <v>713</v>
      </c>
      <c r="AE23" s="53"/>
      <c r="AG23" t="s">
        <v>448</v>
      </c>
      <c r="AH23" s="358">
        <f t="shared" si="4"/>
        <v>1E-3</v>
      </c>
      <c r="AI23" s="5" t="b">
        <v>1</v>
      </c>
      <c r="AJ23" s="5">
        <f t="shared" si="5"/>
        <v>0</v>
      </c>
      <c r="AK23" s="357">
        <f>ZAR_DATA!Z23</f>
        <v>1E-3</v>
      </c>
      <c r="AL23" s="207"/>
      <c r="AM23" s="50"/>
      <c r="AN23" s="234" t="s">
        <v>713</v>
      </c>
      <c r="AO23" s="232" t="s">
        <v>713</v>
      </c>
      <c r="AP23" s="53"/>
      <c r="AR23" t="s">
        <v>448</v>
      </c>
      <c r="AT23" t="b">
        <v>1</v>
      </c>
      <c r="AX23" s="50"/>
      <c r="AY23" s="234" t="s">
        <v>713</v>
      </c>
      <c r="AZ23" s="232" t="s">
        <v>713</v>
      </c>
      <c r="BA23" s="53"/>
      <c r="BC23" t="s">
        <v>448</v>
      </c>
      <c r="BE23" t="b">
        <v>1</v>
      </c>
      <c r="BI23" s="50"/>
      <c r="BJ23" s="234" t="s">
        <v>806</v>
      </c>
      <c r="BK23" s="232" t="b">
        <v>1</v>
      </c>
      <c r="BL23" s="53"/>
      <c r="BN23" t="s">
        <v>322</v>
      </c>
      <c r="BO23" s="358">
        <f>BR23+BQ23/10000</f>
        <v>3.7000000000000002E-3</v>
      </c>
      <c r="BP23" s="5" t="b">
        <v>1</v>
      </c>
      <c r="BQ23" s="5">
        <f>$BQ$4</f>
        <v>0</v>
      </c>
      <c r="BR23" s="368">
        <f>ZAR_DATA!AR7</f>
        <v>3.7000000000000002E-3</v>
      </c>
      <c r="BT23" s="50"/>
      <c r="BU23" s="149" t="s">
        <v>689</v>
      </c>
      <c r="BV23" s="223" t="b">
        <v>1</v>
      </c>
      <c r="BW23" s="52"/>
      <c r="BX23" s="299"/>
      <c r="BY23" s="379" t="s">
        <v>324</v>
      </c>
      <c r="BZ23" s="373">
        <f>ZAR_DATA!BB29</f>
        <v>38270.400000000001</v>
      </c>
      <c r="CA23" s="373">
        <f>ZAR_DATA!BC29</f>
        <v>41675.4</v>
      </c>
      <c r="CM23" s="318"/>
      <c r="CN23" s="319"/>
      <c r="CO23" s="206"/>
      <c r="CP23" s="206"/>
      <c r="CQ23" s="206"/>
      <c r="CS23" s="200">
        <v>45453</v>
      </c>
      <c r="CT23" s="207">
        <v>6.4264847854804602E-2</v>
      </c>
      <c r="CU23" s="207">
        <v>6.5691751653990396E-2</v>
      </c>
      <c r="CV23" s="207">
        <v>5.87649393542354E-2</v>
      </c>
      <c r="CW23" s="207"/>
      <c r="CX23" s="207"/>
      <c r="DB23" s="466"/>
    </row>
    <row r="24" spans="6:106" x14ac:dyDescent="0.25">
      <c r="F24" s="50"/>
      <c r="G24" s="222" t="s">
        <v>678</v>
      </c>
      <c r="H24" s="223" t="str">
        <f>INDEX('STATIC DATA'!C59:AB59,1,MATCH($A$1,'STATIC DATA'!C4:AB4,0))</f>
        <v>ACT/365</v>
      </c>
      <c r="I24" s="53"/>
      <c r="K24" t="s">
        <v>349</v>
      </c>
      <c r="L24" s="368">
        <f t="shared" si="2"/>
        <v>6.9400000000000003E-2</v>
      </c>
      <c r="M24" s="5" t="b">
        <v>1</v>
      </c>
      <c r="N24" s="5">
        <f t="shared" si="3"/>
        <v>0</v>
      </c>
      <c r="O24" s="357">
        <f>ZAR_DATA!U28</f>
        <v>6.9400000000000003E-2</v>
      </c>
      <c r="Q24" s="50"/>
      <c r="R24" s="222" t="s">
        <v>723</v>
      </c>
      <c r="S24" s="223" t="s">
        <v>718</v>
      </c>
      <c r="T24" s="53"/>
      <c r="V24" t="s">
        <v>339</v>
      </c>
      <c r="W24" s="367">
        <f t="shared" si="0"/>
        <v>5.4400000000000004E-2</v>
      </c>
      <c r="X24" s="5" t="b">
        <v>1</v>
      </c>
      <c r="Y24" s="5">
        <f t="shared" si="1"/>
        <v>0</v>
      </c>
      <c r="Z24" s="368">
        <f>ZAR_DATA!U24</f>
        <v>5.4400000000000004E-2</v>
      </c>
      <c r="AA24" s="203"/>
      <c r="AB24" s="50"/>
      <c r="AC24" s="85" t="s">
        <v>713</v>
      </c>
      <c r="AD24" s="85" t="s">
        <v>713</v>
      </c>
      <c r="AE24" s="53"/>
      <c r="AH24" s="5"/>
      <c r="AI24" s="5"/>
      <c r="AJ24" s="5"/>
      <c r="AK24" s="5"/>
      <c r="AM24" s="50"/>
      <c r="AN24" s="85" t="s">
        <v>713</v>
      </c>
      <c r="AO24" s="85" t="s">
        <v>713</v>
      </c>
      <c r="AP24" s="53"/>
      <c r="AX24" s="50"/>
      <c r="AY24" s="85" t="s">
        <v>713</v>
      </c>
      <c r="AZ24" s="85" t="s">
        <v>713</v>
      </c>
      <c r="BA24" s="53"/>
      <c r="BI24" s="50"/>
      <c r="BJ24" s="85"/>
      <c r="BK24" s="85"/>
      <c r="BL24" s="53"/>
      <c r="BN24" t="s">
        <v>308</v>
      </c>
      <c r="BO24" s="358">
        <f>BR24+BQ24/10000</f>
        <v>1.5E-3</v>
      </c>
      <c r="BP24" s="5" t="b">
        <v>1</v>
      </c>
      <c r="BQ24" s="5">
        <f>$BQ$4</f>
        <v>0</v>
      </c>
      <c r="BR24" s="368">
        <f>ZAR_DATA!AR8</f>
        <v>1.5E-3</v>
      </c>
      <c r="BT24" s="50"/>
      <c r="BU24" s="149" t="s">
        <v>688</v>
      </c>
      <c r="BV24" s="223">
        <v>31</v>
      </c>
      <c r="BW24" s="52"/>
      <c r="BX24" s="299"/>
      <c r="BY24" s="379" t="s">
        <v>331</v>
      </c>
      <c r="BZ24" s="373">
        <f>ZAR_DATA!BB30</f>
        <v>51202</v>
      </c>
      <c r="CA24" s="373">
        <f>ZAR_DATA!BC30</f>
        <v>55820.1</v>
      </c>
      <c r="CM24" s="318"/>
      <c r="CN24" s="319"/>
      <c r="CO24" s="206"/>
      <c r="CP24" s="206"/>
      <c r="CQ24" s="206"/>
      <c r="CS24" s="200">
        <v>45544</v>
      </c>
      <c r="CT24" s="207">
        <v>6.7360159876073994E-2</v>
      </c>
      <c r="CU24" s="207">
        <v>6.8729123989087398E-2</v>
      </c>
      <c r="CV24" s="207">
        <v>6.1347533819510199E-2</v>
      </c>
      <c r="CW24" s="207"/>
      <c r="CX24" s="207"/>
      <c r="DB24" s="466"/>
    </row>
    <row r="25" spans="6:106" x14ac:dyDescent="0.25">
      <c r="F25" s="50"/>
      <c r="G25" s="222" t="s">
        <v>679</v>
      </c>
      <c r="H25" s="223" t="str">
        <f>IF(INDEX('STATIC DATA'!C58:AB58,1,MATCH(A1,'STATIC DATA'!C4:AB4,0))="1Y","ANNUAL",(IF(INDEX('STATIC DATA'!C58:AB58,1,MATCH($A$1,'STATIC DATA'!C4:AB4,0))="6M","SEMI-ANNUAL", "QUARTERLY")))</f>
        <v>ANNUAL</v>
      </c>
      <c r="I25" s="53"/>
      <c r="K25" t="s">
        <v>374</v>
      </c>
      <c r="L25" s="368">
        <f t="shared" si="2"/>
        <v>7.980000000000001E-2</v>
      </c>
      <c r="M25" s="5" t="b">
        <v>1</v>
      </c>
      <c r="N25" s="5">
        <f t="shared" si="3"/>
        <v>0</v>
      </c>
      <c r="O25" s="357">
        <f>ZAR_DATA!U31</f>
        <v>7.980000000000001E-2</v>
      </c>
      <c r="Q25" s="50"/>
      <c r="R25" s="234" t="s">
        <v>724</v>
      </c>
      <c r="S25" s="232" t="s">
        <v>426</v>
      </c>
      <c r="T25" s="53"/>
      <c r="V25" t="s">
        <v>342</v>
      </c>
      <c r="W25" s="367">
        <f t="shared" si="0"/>
        <v>5.9000000000000004E-2</v>
      </c>
      <c r="X25" s="5" t="b">
        <v>1</v>
      </c>
      <c r="Y25" s="5">
        <f t="shared" si="1"/>
        <v>0</v>
      </c>
      <c r="Z25" s="368">
        <f>ZAR_DATA!U25</f>
        <v>5.9000000000000004E-2</v>
      </c>
      <c r="AA25" s="203"/>
      <c r="AB25" s="50"/>
      <c r="AC25" s="85" t="s">
        <v>713</v>
      </c>
      <c r="AD25" s="85" t="s">
        <v>713</v>
      </c>
      <c r="AE25" s="53"/>
      <c r="AH25" s="5"/>
      <c r="AI25" s="5"/>
      <c r="AJ25" s="5"/>
      <c r="AK25" s="5"/>
      <c r="AM25" s="50"/>
      <c r="AN25" s="85" t="s">
        <v>713</v>
      </c>
      <c r="AO25" s="85" t="s">
        <v>713</v>
      </c>
      <c r="AP25" s="53"/>
      <c r="AX25" s="50"/>
      <c r="AY25" s="85" t="s">
        <v>713</v>
      </c>
      <c r="AZ25" s="85" t="s">
        <v>713</v>
      </c>
      <c r="BA25" s="53"/>
      <c r="BI25" s="50"/>
      <c r="BJ25" s="85"/>
      <c r="BK25" s="85"/>
      <c r="BL25" s="53"/>
      <c r="BN25" t="s">
        <v>316</v>
      </c>
      <c r="BO25" s="358">
        <f t="shared" ref="BO25:BO35" si="10">BR25+BQ25/10000</f>
        <v>2.9999999999999997E-4</v>
      </c>
      <c r="BP25" s="5" t="b">
        <v>1</v>
      </c>
      <c r="BQ25" s="5">
        <f t="shared" ref="BQ25:BQ35" si="11">$BQ$4</f>
        <v>0</v>
      </c>
      <c r="BR25" s="368">
        <f>ZAR_DATA!AR9</f>
        <v>2.9999999999999997E-4</v>
      </c>
      <c r="BT25" s="50"/>
      <c r="BU25" s="151" t="s">
        <v>819</v>
      </c>
      <c r="BV25" s="226" t="b">
        <v>0</v>
      </c>
      <c r="BW25" s="52"/>
      <c r="BX25" s="299"/>
      <c r="BY25" s="379"/>
      <c r="BZ25" s="5"/>
      <c r="CA25" s="5"/>
      <c r="CM25" s="318"/>
      <c r="CN25" s="319"/>
      <c r="CO25" s="206"/>
      <c r="CP25" s="206"/>
      <c r="CQ25" s="206"/>
      <c r="CS25" s="200">
        <v>45635</v>
      </c>
      <c r="CT25" s="207">
        <v>7.0340663422376506E-2</v>
      </c>
      <c r="CU25" s="207">
        <v>7.1690245923293594E-2</v>
      </c>
      <c r="CV25" s="207">
        <v>6.3846864151289207E-2</v>
      </c>
      <c r="CW25" s="207"/>
      <c r="CX25" s="207"/>
      <c r="DB25" s="466"/>
    </row>
    <row r="26" spans="6:106" x14ac:dyDescent="0.25">
      <c r="F26" s="50"/>
      <c r="G26" s="222" t="s">
        <v>681</v>
      </c>
      <c r="H26" s="223" t="s">
        <v>682</v>
      </c>
      <c r="I26" s="53"/>
      <c r="K26" t="s">
        <v>389</v>
      </c>
      <c r="L26" s="368">
        <f t="shared" si="2"/>
        <v>8.1000000000000003E-2</v>
      </c>
      <c r="M26" s="5" t="b">
        <v>1</v>
      </c>
      <c r="N26" s="5">
        <f t="shared" si="3"/>
        <v>0</v>
      </c>
      <c r="O26" s="357">
        <f>Z32</f>
        <v>8.1000000000000003E-2</v>
      </c>
      <c r="Q26" s="50"/>
      <c r="R26" s="52" t="s">
        <v>713</v>
      </c>
      <c r="S26" s="52" t="s">
        <v>713</v>
      </c>
      <c r="T26" s="53"/>
      <c r="V26" t="s">
        <v>355</v>
      </c>
      <c r="W26" s="367">
        <f t="shared" si="0"/>
        <v>6.3E-2</v>
      </c>
      <c r="X26" s="5" t="b">
        <v>1</v>
      </c>
      <c r="Y26" s="5">
        <f t="shared" si="1"/>
        <v>0</v>
      </c>
      <c r="Z26" s="368">
        <f>ZAR_DATA!U26</f>
        <v>6.3E-2</v>
      </c>
      <c r="AA26" s="203"/>
      <c r="AB26" s="50"/>
      <c r="AC26" s="54" t="s">
        <v>467</v>
      </c>
      <c r="AD26" s="85" t="s">
        <v>713</v>
      </c>
      <c r="AE26" s="53"/>
      <c r="AH26" s="5"/>
      <c r="AI26" s="5"/>
      <c r="AJ26" s="5"/>
      <c r="AK26" s="5"/>
      <c r="AM26" s="50"/>
      <c r="AN26" s="54" t="s">
        <v>467</v>
      </c>
      <c r="AO26" s="85" t="s">
        <v>713</v>
      </c>
      <c r="AP26" s="53"/>
      <c r="AX26" s="50"/>
      <c r="AY26" s="54" t="s">
        <v>467</v>
      </c>
      <c r="AZ26" s="85" t="s">
        <v>713</v>
      </c>
      <c r="BA26" s="53"/>
      <c r="BI26" s="50"/>
      <c r="BJ26" s="54" t="s">
        <v>807</v>
      </c>
      <c r="BK26" s="85"/>
      <c r="BL26" s="53"/>
      <c r="BN26" t="s">
        <v>324</v>
      </c>
      <c r="BO26" s="358">
        <f t="shared" si="10"/>
        <v>-8.4999999999999995E-4</v>
      </c>
      <c r="BP26" s="5" t="b">
        <v>1</v>
      </c>
      <c r="BQ26" s="5">
        <f t="shared" si="11"/>
        <v>0</v>
      </c>
      <c r="BR26" s="368">
        <f>ZAR_DATA!AR10</f>
        <v>-8.4999999999999995E-4</v>
      </c>
      <c r="BT26" s="50"/>
      <c r="BU26" s="52"/>
      <c r="BV26" s="52"/>
      <c r="BW26" s="52"/>
      <c r="BX26" s="299"/>
      <c r="BY26" s="379"/>
      <c r="BZ26" s="5"/>
      <c r="CA26" s="5"/>
      <c r="CD26" s="442" t="s">
        <v>1084</v>
      </c>
      <c r="CE26" t="s">
        <v>713</v>
      </c>
      <c r="CJ26" s="442" t="s">
        <v>1084</v>
      </c>
      <c r="CK26" t="s">
        <v>713</v>
      </c>
      <c r="CM26" s="318"/>
      <c r="CN26" s="319"/>
      <c r="CO26" s="206"/>
      <c r="CP26" s="206"/>
      <c r="CQ26" s="206"/>
      <c r="CS26" s="200">
        <v>45726</v>
      </c>
      <c r="CT26" s="207">
        <v>7.3306524241006504E-2</v>
      </c>
      <c r="CU26" s="207">
        <v>7.4584630487937897E-2</v>
      </c>
      <c r="CV26" s="207">
        <v>6.6306836789539705E-2</v>
      </c>
      <c r="CW26" s="207"/>
      <c r="CX26" s="207"/>
      <c r="DB26" s="466"/>
    </row>
    <row r="27" spans="6:106" x14ac:dyDescent="0.25">
      <c r="F27" s="50"/>
      <c r="G27" s="222" t="s">
        <v>683</v>
      </c>
      <c r="H27" s="223" t="str">
        <f>INDEX('STATIC DATA'!C15:AB15,1,MATCH($A$1,'STATIC DATA'!C4:AB4,0))</f>
        <v>0D</v>
      </c>
      <c r="I27" s="53"/>
      <c r="L27" s="5"/>
      <c r="M27" s="5"/>
      <c r="N27" s="5"/>
      <c r="O27" s="5"/>
      <c r="Q27" s="50"/>
      <c r="R27" s="54" t="s">
        <v>726</v>
      </c>
      <c r="S27" s="52" t="s">
        <v>713</v>
      </c>
      <c r="T27" s="53"/>
      <c r="V27" t="s">
        <v>364</v>
      </c>
      <c r="W27" s="367">
        <f t="shared" si="0"/>
        <v>6.6500000000000004E-2</v>
      </c>
      <c r="X27" s="5" t="b">
        <v>1</v>
      </c>
      <c r="Y27" s="5">
        <f t="shared" si="1"/>
        <v>0</v>
      </c>
      <c r="Z27" s="368">
        <f>ZAR_DATA!U27</f>
        <v>6.6500000000000004E-2</v>
      </c>
      <c r="AA27" s="203"/>
      <c r="AB27" s="50"/>
      <c r="AC27" s="245" t="s">
        <v>749</v>
      </c>
      <c r="AD27" s="243" t="s">
        <v>745</v>
      </c>
      <c r="AE27" s="53"/>
      <c r="AH27" s="5"/>
      <c r="AI27" s="5"/>
      <c r="AJ27" s="5"/>
      <c r="AK27" s="5"/>
      <c r="AM27" s="50"/>
      <c r="AN27" s="245" t="s">
        <v>749</v>
      </c>
      <c r="AO27" s="243" t="s">
        <v>798</v>
      </c>
      <c r="AP27" s="53"/>
      <c r="AX27" s="50"/>
      <c r="AY27" s="245" t="s">
        <v>749</v>
      </c>
      <c r="AZ27" s="243" t="s">
        <v>795</v>
      </c>
      <c r="BA27" s="53"/>
      <c r="BI27" s="50"/>
      <c r="BJ27" s="245" t="s">
        <v>749</v>
      </c>
      <c r="BK27" s="243" t="s">
        <v>803</v>
      </c>
      <c r="BL27" s="53"/>
      <c r="BN27" t="s">
        <v>331</v>
      </c>
      <c r="BO27" s="358">
        <f t="shared" si="10"/>
        <v>-1.75E-3</v>
      </c>
      <c r="BP27" s="5" t="b">
        <v>1</v>
      </c>
      <c r="BQ27" s="5">
        <f t="shared" si="11"/>
        <v>0</v>
      </c>
      <c r="BR27" s="368">
        <f>ZAR_DATA!AR11</f>
        <v>-1.75E-3</v>
      </c>
      <c r="BT27" s="50"/>
      <c r="BU27" s="52"/>
      <c r="BV27" s="52"/>
      <c r="BW27" s="52"/>
      <c r="BX27" s="299"/>
      <c r="BY27" s="379"/>
      <c r="BZ27" s="5"/>
      <c r="CA27" s="5"/>
      <c r="CD27" s="57" t="s">
        <v>1085</v>
      </c>
      <c r="CE27" s="57" t="s">
        <v>1093</v>
      </c>
      <c r="CJ27" s="57" t="s">
        <v>1085</v>
      </c>
      <c r="CK27" s="57" t="s">
        <v>1128</v>
      </c>
      <c r="CM27" s="318"/>
      <c r="CN27" s="319"/>
      <c r="CO27" s="206"/>
      <c r="CP27" s="206"/>
      <c r="CQ27" s="206"/>
      <c r="CS27" s="200">
        <v>45817</v>
      </c>
      <c r="CT27" s="207">
        <v>7.6257987878529096E-2</v>
      </c>
      <c r="CU27" s="207">
        <v>7.7366131223927603E-2</v>
      </c>
      <c r="CV27" s="207">
        <v>6.8689078394572403E-2</v>
      </c>
      <c r="CW27" s="207"/>
      <c r="CX27" s="207"/>
      <c r="DB27" s="466"/>
    </row>
    <row r="28" spans="6:106" x14ac:dyDescent="0.25">
      <c r="F28" s="50"/>
      <c r="G28" s="222" t="s">
        <v>684</v>
      </c>
      <c r="H28" s="223" t="s">
        <v>685</v>
      </c>
      <c r="I28" s="53"/>
      <c r="L28" s="5"/>
      <c r="M28" s="5"/>
      <c r="N28" s="5"/>
      <c r="O28" s="5"/>
      <c r="Q28" s="50"/>
      <c r="R28" s="220" t="s">
        <v>677</v>
      </c>
      <c r="S28" s="221" t="str">
        <f>INDEX('STATIC DATA'!C43:AB43,1,MATCH($A$1,'STATIC DATA'!$C$4:$AB$4,0))</f>
        <v>JOB</v>
      </c>
      <c r="T28" s="53"/>
      <c r="V28" t="s">
        <v>349</v>
      </c>
      <c r="W28" s="367">
        <f t="shared" si="0"/>
        <v>6.9400000000000003E-2</v>
      </c>
      <c r="X28" s="5" t="b">
        <v>1</v>
      </c>
      <c r="Y28" s="5">
        <f t="shared" si="1"/>
        <v>0</v>
      </c>
      <c r="Z28" s="368">
        <f>ZAR_DATA!U28</f>
        <v>6.9400000000000003E-2</v>
      </c>
      <c r="AA28" s="203"/>
      <c r="AB28" s="50"/>
      <c r="AC28" s="233" t="s">
        <v>750</v>
      </c>
      <c r="AD28" s="230" t="s">
        <v>720</v>
      </c>
      <c r="AE28" s="53"/>
      <c r="AH28" s="5"/>
      <c r="AI28" s="5"/>
      <c r="AJ28" s="5"/>
      <c r="AK28" s="5"/>
      <c r="AM28" s="50"/>
      <c r="AN28" s="233" t="s">
        <v>750</v>
      </c>
      <c r="AO28" s="230" t="s">
        <v>720</v>
      </c>
      <c r="AP28" s="53"/>
      <c r="AX28" s="50"/>
      <c r="AY28" s="233" t="s">
        <v>750</v>
      </c>
      <c r="AZ28" s="230" t="s">
        <v>720</v>
      </c>
      <c r="BA28" s="53"/>
      <c r="BI28" s="50"/>
      <c r="BJ28" s="233" t="s">
        <v>750</v>
      </c>
      <c r="BK28" s="230" t="b">
        <v>0</v>
      </c>
      <c r="BL28" s="53"/>
      <c r="BN28" t="s">
        <v>339</v>
      </c>
      <c r="BO28" s="358">
        <f t="shared" si="10"/>
        <v>-2.5500000000000002E-3</v>
      </c>
      <c r="BP28" s="5" t="b">
        <v>1</v>
      </c>
      <c r="BQ28" s="5">
        <f t="shared" si="11"/>
        <v>0</v>
      </c>
      <c r="BR28" s="368">
        <f>ZAR_DATA!AR12</f>
        <v>-2.5500000000000002E-3</v>
      </c>
      <c r="BT28" s="50"/>
      <c r="BU28" s="52"/>
      <c r="BV28" s="52"/>
      <c r="BW28" s="52"/>
      <c r="BX28" s="299"/>
      <c r="BY28" s="379"/>
      <c r="BZ28" s="5"/>
      <c r="CA28" s="5"/>
      <c r="CD28" s="57" t="s">
        <v>1086</v>
      </c>
      <c r="CE28" s="57" t="s">
        <v>1089</v>
      </c>
      <c r="CJ28" s="57" t="s">
        <v>1086</v>
      </c>
      <c r="CK28" s="57" t="s">
        <v>1129</v>
      </c>
      <c r="CM28" s="318"/>
      <c r="CN28" s="319"/>
      <c r="CO28" s="206"/>
      <c r="CP28" s="206"/>
      <c r="CQ28" s="206"/>
      <c r="CS28" s="200">
        <v>45909</v>
      </c>
      <c r="CT28" s="207">
        <v>7.9227004158323594E-2</v>
      </c>
      <c r="CU28" s="207">
        <v>8.0088695624892403E-2</v>
      </c>
      <c r="CV28" s="207">
        <v>7.1046603510715997E-2</v>
      </c>
      <c r="CW28" s="207"/>
      <c r="CX28" s="207"/>
      <c r="DB28" s="466"/>
    </row>
    <row r="29" spans="6:106" x14ac:dyDescent="0.25">
      <c r="F29" s="50"/>
      <c r="G29" s="222" t="s">
        <v>686</v>
      </c>
      <c r="H29" s="223" t="s">
        <v>687</v>
      </c>
      <c r="I29" s="53"/>
      <c r="L29" s="5"/>
      <c r="M29" s="5"/>
      <c r="N29" s="5"/>
      <c r="O29" s="5"/>
      <c r="Q29" s="50"/>
      <c r="R29" s="222" t="s">
        <v>678</v>
      </c>
      <c r="S29" s="223" t="str">
        <f>INDEX('STATIC DATA'!C55:AB55,1,MATCH($A$1,'STATIC DATA'!C4:AB4,0))</f>
        <v>ACT/365</v>
      </c>
      <c r="T29" s="53"/>
      <c r="V29" t="s">
        <v>358</v>
      </c>
      <c r="W29" s="367">
        <f t="shared" si="0"/>
        <v>7.400000000000001E-2</v>
      </c>
      <c r="X29" s="5" t="b">
        <v>1</v>
      </c>
      <c r="Y29" s="5">
        <f t="shared" si="1"/>
        <v>0</v>
      </c>
      <c r="Z29" s="368">
        <f>ZAR_DATA!U29</f>
        <v>7.400000000000001E-2</v>
      </c>
      <c r="AA29" s="203"/>
      <c r="AB29" s="50"/>
      <c r="AC29" s="222" t="s">
        <v>751</v>
      </c>
      <c r="AD29" s="216" t="str">
        <f>INDEX('STATIC DATA'!C39:AB39,1,MATCH($A$1,'STATIC DATA'!$C$4:$AB$4,0))</f>
        <v>JOB</v>
      </c>
      <c r="AE29" s="53"/>
      <c r="AH29" s="5"/>
      <c r="AI29" s="5"/>
      <c r="AJ29" s="5"/>
      <c r="AK29" s="5"/>
      <c r="AM29" s="50"/>
      <c r="AN29" s="222" t="s">
        <v>751</v>
      </c>
      <c r="AO29" s="216" t="s">
        <v>608</v>
      </c>
      <c r="AP29" s="53"/>
      <c r="AX29" s="50"/>
      <c r="AY29" s="222" t="s">
        <v>751</v>
      </c>
      <c r="AZ29" s="216" t="b">
        <f>AZ38=INDEX('STATIC DATA'!C39:AB39,1,MATCH($A$1,'STATIC DATA'!$C$4:$AB$4,0))</f>
        <v>1</v>
      </c>
      <c r="BA29" s="53"/>
      <c r="BI29" s="50"/>
      <c r="BJ29" s="222" t="s">
        <v>751</v>
      </c>
      <c r="BK29" s="216" t="str">
        <f>INDEX('STATIC DATA'!C30:AB30,1,MATCH($A$1,'STATIC DATA'!$C$4:$AB$4,0))</f>
        <v>JOB:NYB:LNB</v>
      </c>
      <c r="BL29" s="53"/>
      <c r="BN29" t="s">
        <v>342</v>
      </c>
      <c r="BO29" s="358">
        <f t="shared" si="10"/>
        <v>-3.2000000000000002E-3</v>
      </c>
      <c r="BP29" s="5" t="b">
        <v>1</v>
      </c>
      <c r="BQ29" s="5">
        <f t="shared" si="11"/>
        <v>0</v>
      </c>
      <c r="BR29" s="368">
        <f>ZAR_DATA!AR13</f>
        <v>-3.2000000000000002E-3</v>
      </c>
      <c r="BT29" s="50"/>
      <c r="BU29" s="52"/>
      <c r="BV29" s="52"/>
      <c r="BW29" s="55"/>
      <c r="BX29" s="332"/>
      <c r="BY29" s="379"/>
      <c r="BZ29" s="5"/>
      <c r="CA29" s="5"/>
      <c r="CD29" s="57" t="s">
        <v>1087</v>
      </c>
      <c r="CE29" s="57" t="s">
        <v>1135</v>
      </c>
      <c r="CJ29" s="57" t="s">
        <v>1087</v>
      </c>
      <c r="CK29" s="57" t="s">
        <v>1135</v>
      </c>
      <c r="CM29" s="318"/>
      <c r="CN29" s="319"/>
      <c r="CO29" s="206"/>
      <c r="CP29" s="206"/>
      <c r="CQ29" s="206"/>
      <c r="CS29" s="200">
        <v>46000</v>
      </c>
      <c r="CT29" s="207">
        <v>8.2116653632633804E-2</v>
      </c>
      <c r="CU29" s="207">
        <v>8.2815898610597696E-2</v>
      </c>
      <c r="CV29" s="207">
        <v>7.3466493288297505E-2</v>
      </c>
      <c r="CW29" s="207"/>
      <c r="CX29" s="207"/>
      <c r="DB29" s="466"/>
    </row>
    <row r="30" spans="6:106" x14ac:dyDescent="0.25">
      <c r="F30" s="50"/>
      <c r="G30" s="222" t="s">
        <v>688</v>
      </c>
      <c r="H30" s="216">
        <v>31</v>
      </c>
      <c r="I30" s="53"/>
      <c r="L30" s="5"/>
      <c r="M30" s="5"/>
      <c r="N30" s="5"/>
      <c r="O30" s="5"/>
      <c r="Q30" s="50"/>
      <c r="R30" s="225" t="s">
        <v>686</v>
      </c>
      <c r="S30" s="226" t="s">
        <v>728</v>
      </c>
      <c r="T30" s="53"/>
      <c r="V30" t="s">
        <v>367</v>
      </c>
      <c r="W30" s="367">
        <f t="shared" si="0"/>
        <v>7.7800000000000008E-2</v>
      </c>
      <c r="X30" s="5" t="b">
        <v>1</v>
      </c>
      <c r="Y30" s="5">
        <f t="shared" si="1"/>
        <v>0</v>
      </c>
      <c r="Z30" s="368">
        <f>ZAR_DATA!U30</f>
        <v>7.7800000000000008E-2</v>
      </c>
      <c r="AA30" s="203"/>
      <c r="AB30" s="50"/>
      <c r="AC30" s="222" t="s">
        <v>752</v>
      </c>
      <c r="AD30" s="216" t="str">
        <f>INDEX('STATIC DATA'!C55:AB55,1,MATCH($A$1,'STATIC DATA'!C4:AB4,0))</f>
        <v>ACT/365</v>
      </c>
      <c r="AE30" s="53"/>
      <c r="AH30" s="5"/>
      <c r="AI30" s="5"/>
      <c r="AJ30" s="5"/>
      <c r="AK30" s="5"/>
      <c r="AM30" s="50"/>
      <c r="AN30" s="222" t="s">
        <v>752</v>
      </c>
      <c r="AO30" s="216" t="s">
        <v>48</v>
      </c>
      <c r="AP30" s="53"/>
      <c r="AX30" s="50"/>
      <c r="AY30" s="222" t="s">
        <v>752</v>
      </c>
      <c r="AZ30" s="216" t="str">
        <f>INDEX('STATIC DATA'!Y55:AY55,1,MATCH($A$1,'STATIC DATA'!Y4:AV4,0))</f>
        <v>ACT/365</v>
      </c>
      <c r="BA30" s="53"/>
      <c r="BI30" s="50"/>
      <c r="BJ30" s="222" t="s">
        <v>752</v>
      </c>
      <c r="BK30" s="216" t="str">
        <f>INDEX('STATIC DATA'!C55:AB55,1,MATCH("USD",'STATIC DATA'!C4:AB4,0))</f>
        <v>ACT/360</v>
      </c>
      <c r="BL30" s="53"/>
      <c r="BN30" t="s">
        <v>355</v>
      </c>
      <c r="BO30" s="358">
        <f t="shared" si="10"/>
        <v>-3.7000000000000002E-3</v>
      </c>
      <c r="BP30" s="5" t="b">
        <v>1</v>
      </c>
      <c r="BQ30" s="5">
        <f t="shared" si="11"/>
        <v>0</v>
      </c>
      <c r="BR30" s="368">
        <f>ZAR_DATA!AR14</f>
        <v>-3.7000000000000002E-3</v>
      </c>
      <c r="BT30" s="50"/>
      <c r="BU30" s="55"/>
      <c r="BV30" s="55"/>
      <c r="BW30" s="55"/>
      <c r="BX30" s="332"/>
      <c r="BY30" s="302"/>
      <c r="BZ30" s="374"/>
      <c r="CA30" s="374"/>
      <c r="CB30" s="302"/>
      <c r="CD30" s="57" t="s">
        <v>1088</v>
      </c>
      <c r="CE30" s="443" t="s">
        <v>1135</v>
      </c>
      <c r="CJ30" s="57" t="s">
        <v>1088</v>
      </c>
      <c r="CK30" s="443" t="s">
        <v>1135</v>
      </c>
      <c r="CM30" s="318"/>
      <c r="CN30" s="319"/>
      <c r="CO30" s="206"/>
      <c r="CP30" s="206"/>
      <c r="CQ30" s="206"/>
      <c r="CS30" s="200">
        <v>46090</v>
      </c>
      <c r="CT30" s="207">
        <v>8.4893079649984701E-2</v>
      </c>
      <c r="CU30" s="207">
        <v>8.56485423784588E-2</v>
      </c>
      <c r="CV30" s="207">
        <v>7.6044916239779201E-2</v>
      </c>
      <c r="CW30" s="207"/>
      <c r="CX30" s="207"/>
      <c r="DB30" s="466"/>
    </row>
    <row r="31" spans="6:106" x14ac:dyDescent="0.25">
      <c r="F31" s="50"/>
      <c r="G31" s="222" t="s">
        <v>689</v>
      </c>
      <c r="H31" s="224" t="b">
        <v>1</v>
      </c>
      <c r="I31" s="53"/>
      <c r="L31" s="5"/>
      <c r="M31" s="5"/>
      <c r="N31" s="5"/>
      <c r="O31" s="5"/>
      <c r="Q31" s="50"/>
      <c r="R31" s="52" t="s">
        <v>713</v>
      </c>
      <c r="S31" s="52" t="s">
        <v>713</v>
      </c>
      <c r="T31" s="53"/>
      <c r="V31" t="s">
        <v>374</v>
      </c>
      <c r="W31" s="367">
        <f t="shared" si="0"/>
        <v>7.980000000000001E-2</v>
      </c>
      <c r="X31" s="5" t="b">
        <v>1</v>
      </c>
      <c r="Y31" s="5">
        <f t="shared" si="1"/>
        <v>0</v>
      </c>
      <c r="Z31" s="368">
        <f>ZAR_DATA!U31</f>
        <v>7.980000000000001E-2</v>
      </c>
      <c r="AA31" s="203"/>
      <c r="AB31" s="50"/>
      <c r="AC31" s="225" t="s">
        <v>753</v>
      </c>
      <c r="AD31" s="219" t="s">
        <v>459</v>
      </c>
      <c r="AE31" s="53"/>
      <c r="AH31" s="5"/>
      <c r="AI31" s="5"/>
      <c r="AJ31" s="5"/>
      <c r="AK31" s="5"/>
      <c r="AM31" s="50"/>
      <c r="AN31" s="225" t="s">
        <v>753</v>
      </c>
      <c r="AO31" s="219" t="s">
        <v>680</v>
      </c>
      <c r="AP31" s="53"/>
      <c r="AX31" s="50"/>
      <c r="AY31" s="225" t="s">
        <v>753</v>
      </c>
      <c r="AZ31" s="219" t="s">
        <v>458</v>
      </c>
      <c r="BA31" s="53"/>
      <c r="BI31" s="50"/>
      <c r="BJ31" s="225" t="s">
        <v>753</v>
      </c>
      <c r="BK31" s="219" t="s">
        <v>458</v>
      </c>
      <c r="BL31" s="249"/>
      <c r="BN31" t="s">
        <v>364</v>
      </c>
      <c r="BO31" s="358">
        <f t="shared" si="10"/>
        <v>-4.1000000000000003E-3</v>
      </c>
      <c r="BP31" s="5" t="b">
        <v>1</v>
      </c>
      <c r="BQ31" s="5">
        <f t="shared" si="11"/>
        <v>0</v>
      </c>
      <c r="BR31" s="368">
        <f>ZAR_DATA!AR15</f>
        <v>-4.1000000000000003E-3</v>
      </c>
      <c r="BT31" s="50"/>
      <c r="BU31" s="55"/>
      <c r="BV31" s="55"/>
      <c r="BW31" s="55"/>
      <c r="BX31" s="332"/>
      <c r="BY31" s="303"/>
      <c r="BZ31" s="299"/>
      <c r="CA31" s="299"/>
      <c r="CB31" s="299"/>
      <c r="CD31" s="57" t="s">
        <v>781</v>
      </c>
      <c r="CE31" s="290" t="s">
        <v>810</v>
      </c>
      <c r="CJ31" s="57" t="s">
        <v>781</v>
      </c>
      <c r="CK31" s="290" t="s">
        <v>810</v>
      </c>
      <c r="CM31" s="318"/>
      <c r="CN31" s="319"/>
      <c r="CO31" s="206"/>
      <c r="CP31" s="206"/>
      <c r="CQ31" s="206"/>
      <c r="CS31" s="200">
        <v>46182</v>
      </c>
      <c r="CT31" s="207">
        <v>8.7639501806031805E-2</v>
      </c>
      <c r="CU31" s="207">
        <v>8.8556201067135396E-2</v>
      </c>
      <c r="CV31" s="207">
        <v>7.8761465821146404E-2</v>
      </c>
      <c r="CW31" s="207"/>
      <c r="CX31" s="207"/>
      <c r="DB31" s="466"/>
    </row>
    <row r="32" spans="6:106" x14ac:dyDescent="0.25">
      <c r="F32" s="50"/>
      <c r="G32" s="222" t="s">
        <v>690</v>
      </c>
      <c r="H32" s="223" t="s">
        <v>691</v>
      </c>
      <c r="I32" s="53"/>
      <c r="L32" s="5"/>
      <c r="M32" s="5"/>
      <c r="N32" s="5"/>
      <c r="O32" s="5"/>
      <c r="Q32" s="50"/>
      <c r="R32" s="54" t="s">
        <v>460</v>
      </c>
      <c r="S32" s="52" t="s">
        <v>713</v>
      </c>
      <c r="T32" s="53"/>
      <c r="V32" t="s">
        <v>389</v>
      </c>
      <c r="W32" s="367">
        <f t="shared" si="0"/>
        <v>8.1000000000000003E-2</v>
      </c>
      <c r="X32" s="5" t="b">
        <v>1</v>
      </c>
      <c r="Y32" s="5">
        <f t="shared" si="1"/>
        <v>0</v>
      </c>
      <c r="Z32" s="368">
        <f>ZAR_DATA!U32</f>
        <v>8.1000000000000003E-2</v>
      </c>
      <c r="AA32" s="203"/>
      <c r="AB32" s="50"/>
      <c r="AC32" s="222" t="s">
        <v>754</v>
      </c>
      <c r="AD32" s="216" t="s">
        <v>687</v>
      </c>
      <c r="AE32" s="53"/>
      <c r="AM32" s="50"/>
      <c r="AN32" s="222" t="s">
        <v>754</v>
      </c>
      <c r="AO32" s="216" t="s">
        <v>687</v>
      </c>
      <c r="AP32" s="53"/>
      <c r="AX32" s="50"/>
      <c r="AY32" s="222" t="s">
        <v>754</v>
      </c>
      <c r="AZ32" s="216" t="s">
        <v>687</v>
      </c>
      <c r="BA32" s="53"/>
      <c r="BI32" s="50"/>
      <c r="BJ32" s="222" t="s">
        <v>754</v>
      </c>
      <c r="BK32" s="216" t="s">
        <v>687</v>
      </c>
      <c r="BL32" s="53"/>
      <c r="BN32" t="s">
        <v>349</v>
      </c>
      <c r="BO32" s="358">
        <f t="shared" si="10"/>
        <v>-4.45E-3</v>
      </c>
      <c r="BP32" s="5" t="b">
        <v>1</v>
      </c>
      <c r="BQ32" s="5">
        <f t="shared" si="11"/>
        <v>0</v>
      </c>
      <c r="BR32" s="368">
        <f>ZAR_DATA!AR16</f>
        <v>-4.45E-3</v>
      </c>
      <c r="BT32" s="50"/>
      <c r="BU32" s="55"/>
      <c r="BV32" s="55"/>
      <c r="BW32" s="55"/>
      <c r="BX32" s="332"/>
      <c r="BY32" s="206"/>
      <c r="BZ32" s="206"/>
      <c r="CA32" s="299"/>
      <c r="CB32" s="299"/>
      <c r="CM32" s="318"/>
      <c r="CN32" s="319"/>
      <c r="CO32" s="206"/>
      <c r="CP32" s="206"/>
      <c r="CQ32" s="206"/>
      <c r="CS32" s="200">
        <v>46274</v>
      </c>
      <c r="CT32" s="207">
        <v>9.0283602615210998E-2</v>
      </c>
      <c r="CU32" s="207">
        <v>9.14181718317012E-2</v>
      </c>
      <c r="CV32" s="207">
        <v>8.1497528277808998E-2</v>
      </c>
      <c r="CW32" s="207"/>
      <c r="CX32" s="207"/>
      <c r="DB32" s="466"/>
    </row>
    <row r="33" spans="6:106" x14ac:dyDescent="0.25">
      <c r="F33" s="50"/>
      <c r="G33" s="222" t="s">
        <v>695</v>
      </c>
      <c r="H33" s="223" t="s">
        <v>696</v>
      </c>
      <c r="I33" s="53"/>
      <c r="L33" s="5"/>
      <c r="M33" s="5"/>
      <c r="N33" s="5"/>
      <c r="O33" s="5"/>
      <c r="Q33" s="50"/>
      <c r="R33" s="220" t="s">
        <v>677</v>
      </c>
      <c r="S33" s="221" t="str">
        <f>INDEX('STATIC DATA'!C39:AB39,1,MATCH($A$1,'STATIC DATA'!$C$4:$AB$4,0))</f>
        <v>JOB</v>
      </c>
      <c r="T33" s="53"/>
      <c r="W33" s="5"/>
      <c r="X33" s="5"/>
      <c r="Z33" s="5"/>
      <c r="AB33" s="50"/>
      <c r="AC33" s="222" t="s">
        <v>755</v>
      </c>
      <c r="AD33" s="216">
        <v>0</v>
      </c>
      <c r="AE33" s="53"/>
      <c r="AM33" s="50"/>
      <c r="AN33" s="222" t="s">
        <v>755</v>
      </c>
      <c r="AO33" s="216">
        <v>0</v>
      </c>
      <c r="AP33" s="53"/>
      <c r="AX33" s="50"/>
      <c r="AY33" s="222" t="s">
        <v>755</v>
      </c>
      <c r="AZ33" s="216">
        <v>0</v>
      </c>
      <c r="BA33" s="53"/>
      <c r="BI33" s="50"/>
      <c r="BJ33" s="222" t="s">
        <v>755</v>
      </c>
      <c r="BK33" s="216" t="s">
        <v>5</v>
      </c>
      <c r="BL33" s="53"/>
      <c r="BN33" t="s">
        <v>358</v>
      </c>
      <c r="BO33" s="358">
        <f t="shared" si="10"/>
        <v>-5.0000000000000001E-3</v>
      </c>
      <c r="BP33" s="5" t="b">
        <v>1</v>
      </c>
      <c r="BQ33" s="5">
        <f t="shared" si="11"/>
        <v>0</v>
      </c>
      <c r="BR33" s="368">
        <f>ZAR_DATA!AR17</f>
        <v>-5.0000000000000001E-3</v>
      </c>
      <c r="BT33" s="50"/>
      <c r="BU33" s="55"/>
      <c r="BV33" s="55"/>
      <c r="BW33" s="55"/>
      <c r="BX33" s="332"/>
      <c r="BY33" s="206"/>
      <c r="BZ33" s="206"/>
      <c r="CA33" s="305"/>
      <c r="CB33" s="299"/>
      <c r="CM33" s="318"/>
      <c r="CN33" s="319"/>
      <c r="CO33" s="206"/>
      <c r="CP33" s="206"/>
      <c r="CQ33" s="206"/>
      <c r="CS33" s="200">
        <v>46365</v>
      </c>
      <c r="CT33" s="207">
        <v>9.2771693356668003E-2</v>
      </c>
      <c r="CU33" s="207">
        <v>9.3905956523237896E-2</v>
      </c>
      <c r="CV33" s="207">
        <v>8.3899972383641996E-2</v>
      </c>
      <c r="CW33" s="207"/>
      <c r="CX33" s="207"/>
      <c r="DB33" s="466"/>
    </row>
    <row r="34" spans="6:106" x14ac:dyDescent="0.25">
      <c r="F34" s="50"/>
      <c r="G34" s="222" t="s">
        <v>697</v>
      </c>
      <c r="H34" s="223">
        <v>1E-10</v>
      </c>
      <c r="I34" s="53"/>
      <c r="L34" s="5"/>
      <c r="M34" s="5"/>
      <c r="N34" s="5"/>
      <c r="O34" s="5"/>
      <c r="Q34" s="50"/>
      <c r="R34" s="222" t="s">
        <v>678</v>
      </c>
      <c r="S34" s="223" t="str">
        <f>INDEX('STATIC DATA'!C55:AB55,1,MATCH($A$1,'STATIC DATA'!C4:AB4,0))</f>
        <v>ACT/365</v>
      </c>
      <c r="T34" s="53"/>
      <c r="W34" s="5"/>
      <c r="X34" s="5"/>
      <c r="Z34" s="5"/>
      <c r="AB34" s="50"/>
      <c r="AC34" s="245" t="s">
        <v>756</v>
      </c>
      <c r="AD34" s="247" t="s">
        <v>971</v>
      </c>
      <c r="AE34" s="249" t="s">
        <v>801</v>
      </c>
      <c r="AM34" s="50"/>
      <c r="AN34" s="234" t="s">
        <v>756</v>
      </c>
      <c r="AO34" s="247" t="s">
        <v>790</v>
      </c>
      <c r="AP34" s="249" t="s">
        <v>801</v>
      </c>
      <c r="AX34" s="50"/>
      <c r="AY34" s="245" t="s">
        <v>756</v>
      </c>
      <c r="AZ34" s="244" t="s">
        <v>797</v>
      </c>
      <c r="BA34" s="53"/>
      <c r="BI34" s="50"/>
      <c r="BJ34" s="234" t="s">
        <v>757</v>
      </c>
      <c r="BK34" s="260" t="s">
        <v>773</v>
      </c>
      <c r="BL34" s="53"/>
      <c r="BN34" t="s">
        <v>367</v>
      </c>
      <c r="BO34" s="358">
        <f t="shared" si="10"/>
        <v>-5.5500000000000002E-3</v>
      </c>
      <c r="BP34" s="5" t="b">
        <v>1</v>
      </c>
      <c r="BQ34" s="5">
        <f t="shared" si="11"/>
        <v>0</v>
      </c>
      <c r="BR34" s="368">
        <f>ZAR_DATA!AR18</f>
        <v>-5.5500000000000002E-3</v>
      </c>
      <c r="BT34" s="50"/>
      <c r="BU34" s="55"/>
      <c r="BV34" s="55"/>
      <c r="BW34" s="55"/>
      <c r="BX34" s="332"/>
      <c r="BY34" s="206"/>
      <c r="BZ34" s="206"/>
      <c r="CA34" s="305"/>
      <c r="CB34" s="299"/>
      <c r="CM34" s="330"/>
      <c r="CN34" s="331"/>
      <c r="CO34" s="206"/>
      <c r="CP34" s="206"/>
      <c r="CQ34" s="206"/>
      <c r="CS34" s="200">
        <v>46455</v>
      </c>
      <c r="CT34" s="207">
        <v>9.5078495782253303E-2</v>
      </c>
      <c r="CU34" s="207">
        <v>9.6017356311384E-2</v>
      </c>
      <c r="CV34" s="207">
        <v>8.5945872043018304E-2</v>
      </c>
      <c r="CW34" s="207"/>
      <c r="CX34" s="207"/>
      <c r="DB34" s="466"/>
    </row>
    <row r="35" spans="6:106" x14ac:dyDescent="0.25">
      <c r="F35" s="50"/>
      <c r="G35" s="222" t="s">
        <v>698</v>
      </c>
      <c r="H35" s="223">
        <v>1000</v>
      </c>
      <c r="I35" s="53"/>
      <c r="L35" s="5"/>
      <c r="M35" s="5"/>
      <c r="N35" s="5"/>
      <c r="O35" s="5"/>
      <c r="Q35" s="50"/>
      <c r="R35" s="222" t="s">
        <v>679</v>
      </c>
      <c r="S35" s="223" t="s">
        <v>729</v>
      </c>
      <c r="T35" s="53"/>
      <c r="W35" s="5"/>
      <c r="X35" s="5"/>
      <c r="Z35" s="5"/>
      <c r="AB35" s="50"/>
      <c r="AC35" s="233" t="s">
        <v>757</v>
      </c>
      <c r="AD35" s="229" t="s">
        <v>971</v>
      </c>
      <c r="AE35" s="53"/>
      <c r="AM35" s="50"/>
      <c r="AN35" s="234" t="s">
        <v>757</v>
      </c>
      <c r="AO35" s="229" t="s">
        <v>790</v>
      </c>
      <c r="AP35" s="53"/>
      <c r="AX35" s="50"/>
      <c r="AY35" s="233" t="s">
        <v>757</v>
      </c>
      <c r="AZ35" s="244" t="s">
        <v>797</v>
      </c>
      <c r="BA35" s="53"/>
      <c r="BI35" s="50"/>
      <c r="BJ35" s="234" t="s">
        <v>756</v>
      </c>
      <c r="BK35" s="260" t="s">
        <v>809</v>
      </c>
      <c r="BL35" s="53"/>
      <c r="BN35" t="s">
        <v>374</v>
      </c>
      <c r="BO35" s="358">
        <f t="shared" si="10"/>
        <v>-6.6499999999999997E-3</v>
      </c>
      <c r="BP35" s="5" t="b">
        <v>1</v>
      </c>
      <c r="BQ35" s="5">
        <f t="shared" si="11"/>
        <v>0</v>
      </c>
      <c r="BR35" s="368">
        <f>ZAR_DATA!AR19</f>
        <v>-6.6499999999999997E-3</v>
      </c>
      <c r="BT35" s="50"/>
      <c r="BU35" s="55"/>
      <c r="BV35" s="55"/>
      <c r="BW35" s="55"/>
      <c r="BX35" s="332"/>
      <c r="BY35" s="299"/>
      <c r="BZ35" s="299"/>
      <c r="CA35" s="313"/>
      <c r="CB35" s="299"/>
      <c r="CM35" s="299"/>
      <c r="CN35" s="299"/>
      <c r="CO35" s="206"/>
      <c r="CP35" s="206"/>
      <c r="CQ35" s="206"/>
      <c r="CS35" s="200">
        <v>46547</v>
      </c>
      <c r="CT35" s="207">
        <v>9.7260243988099598E-2</v>
      </c>
      <c r="CU35" s="207">
        <v>9.7693984589186003E-2</v>
      </c>
      <c r="CV35" s="207">
        <v>8.7589249672832103E-2</v>
      </c>
      <c r="CW35" s="207"/>
      <c r="CX35" s="207"/>
      <c r="DB35" s="466"/>
    </row>
    <row r="36" spans="6:106" x14ac:dyDescent="0.25">
      <c r="F36" s="50"/>
      <c r="G36" s="222" t="s">
        <v>699</v>
      </c>
      <c r="H36" s="223" t="s">
        <v>700</v>
      </c>
      <c r="I36" s="53"/>
      <c r="Q36" s="50"/>
      <c r="R36" s="222" t="s">
        <v>683</v>
      </c>
      <c r="S36" s="223" t="str">
        <f>INDEX('STATIC DATA'!C7:AB7,1,MATCH($A$1,'STATIC DATA'!C4:AB4,0))</f>
        <v>0D</v>
      </c>
      <c r="T36" s="53"/>
      <c r="AB36" s="50"/>
      <c r="AC36" s="245" t="s">
        <v>758</v>
      </c>
      <c r="AD36" s="244" t="s">
        <v>46</v>
      </c>
      <c r="AE36" s="53"/>
      <c r="AM36" s="50"/>
      <c r="AN36" s="245" t="s">
        <v>758</v>
      </c>
      <c r="AO36" s="244" t="s">
        <v>322</v>
      </c>
      <c r="AP36" s="53"/>
      <c r="AX36" s="50"/>
      <c r="AY36" s="245" t="s">
        <v>758</v>
      </c>
      <c r="AZ36" s="244" t="s">
        <v>49</v>
      </c>
      <c r="BA36" s="53"/>
      <c r="BI36" s="50"/>
      <c r="BJ36" s="245" t="s">
        <v>758</v>
      </c>
      <c r="BK36" s="260" t="s">
        <v>49</v>
      </c>
      <c r="BL36" s="53"/>
      <c r="BT36" s="50"/>
      <c r="BU36" s="55"/>
      <c r="BV36" s="55"/>
      <c r="BW36" s="55"/>
      <c r="BX36" s="332"/>
      <c r="BY36" s="303" t="s">
        <v>832</v>
      </c>
      <c r="BZ36" s="299"/>
      <c r="CA36" s="313"/>
      <c r="CB36" s="299"/>
      <c r="CM36" s="299"/>
      <c r="CN36" s="299"/>
      <c r="CO36" s="206"/>
      <c r="CP36" s="206"/>
      <c r="CQ36" s="206"/>
      <c r="CS36" s="200">
        <v>46639</v>
      </c>
      <c r="CT36" s="207">
        <v>9.9242891732257102E-2</v>
      </c>
      <c r="CU36" s="207">
        <v>9.9024569851123803E-2</v>
      </c>
      <c r="CV36" s="207">
        <v>8.8895093059658301E-2</v>
      </c>
      <c r="CW36" s="207"/>
      <c r="CX36" s="207"/>
      <c r="DB36" s="466"/>
    </row>
    <row r="37" spans="6:106" x14ac:dyDescent="0.25">
      <c r="F37" s="50"/>
      <c r="G37" s="222" t="s">
        <v>701</v>
      </c>
      <c r="H37" s="223" t="b">
        <v>0</v>
      </c>
      <c r="I37" s="53"/>
      <c r="K37" s="2" t="s">
        <v>662</v>
      </c>
      <c r="Q37" s="50"/>
      <c r="R37" s="225" t="s">
        <v>686</v>
      </c>
      <c r="S37" s="226" t="s">
        <v>687</v>
      </c>
      <c r="T37" s="53"/>
      <c r="V37" s="2" t="s">
        <v>662</v>
      </c>
      <c r="AB37" s="50"/>
      <c r="AC37" s="222" t="s">
        <v>759</v>
      </c>
      <c r="AD37" s="216" t="str">
        <f>INDEX('STATIC DATA'!C55:AB55,1,MATCH($A$1,'STATIC DATA'!C4:AB4,0))</f>
        <v>ACT/365</v>
      </c>
      <c r="AE37" s="53"/>
      <c r="AG37" s="2" t="s">
        <v>662</v>
      </c>
      <c r="AM37" s="50"/>
      <c r="AN37" s="222" t="s">
        <v>759</v>
      </c>
      <c r="AO37" s="216" t="s">
        <v>48</v>
      </c>
      <c r="AP37" s="53"/>
      <c r="AX37" s="50"/>
      <c r="AY37" s="222" t="s">
        <v>759</v>
      </c>
      <c r="AZ37" s="216" t="str">
        <f>INDEX('STATIC DATA'!Y55:AY55,1,MATCH($A$1,'STATIC DATA'!Y4:AV4,0))</f>
        <v>ACT/365</v>
      </c>
      <c r="BA37" s="53"/>
      <c r="BI37" s="50"/>
      <c r="BJ37" s="222" t="s">
        <v>759</v>
      </c>
      <c r="BK37" s="216" t="str">
        <f>INDEX('STATIC DATA'!C55:AB55,1,MATCH("USD",'STATIC DATA'!C4:AB4,0))</f>
        <v>ACT/360</v>
      </c>
      <c r="BL37" s="53"/>
      <c r="BN37" s="2" t="s">
        <v>662</v>
      </c>
      <c r="BT37" s="50"/>
      <c r="BU37" s="55"/>
      <c r="BV37" s="55"/>
      <c r="BW37" s="55"/>
      <c r="BX37" s="332"/>
      <c r="BY37" s="323" t="s">
        <v>425</v>
      </c>
      <c r="BZ37" s="299"/>
      <c r="CA37" s="313"/>
      <c r="CB37" s="299"/>
      <c r="CD37" s="2" t="s">
        <v>662</v>
      </c>
      <c r="CJ37" s="2" t="s">
        <v>662</v>
      </c>
      <c r="CM37" s="299"/>
      <c r="CN37" s="299"/>
      <c r="CO37" s="206"/>
      <c r="CP37" s="206"/>
      <c r="CQ37" s="206"/>
      <c r="CS37" s="200">
        <v>46730</v>
      </c>
      <c r="CT37" s="207">
        <v>0.10105215632931799</v>
      </c>
      <c r="CU37" s="207">
        <v>0.100480997173888</v>
      </c>
      <c r="CV37" s="207">
        <v>9.0288960947413302E-2</v>
      </c>
      <c r="CW37" s="207"/>
      <c r="CX37" s="207"/>
      <c r="DB37" s="466"/>
    </row>
    <row r="38" spans="6:106" x14ac:dyDescent="0.25">
      <c r="F38" s="50"/>
      <c r="G38" s="222"/>
      <c r="H38" s="223"/>
      <c r="I38" s="53"/>
      <c r="K38" t="s">
        <v>434</v>
      </c>
      <c r="L38" t="str">
        <f>$A$1</f>
        <v>ZAR</v>
      </c>
      <c r="Q38" s="50"/>
      <c r="R38" s="52" t="s">
        <v>713</v>
      </c>
      <c r="S38" s="52" t="s">
        <v>713</v>
      </c>
      <c r="T38" s="53"/>
      <c r="V38" t="s">
        <v>434</v>
      </c>
      <c r="W38" t="str">
        <f>$A$1</f>
        <v>ZAR</v>
      </c>
      <c r="AB38" s="50"/>
      <c r="AC38" s="222" t="s">
        <v>760</v>
      </c>
      <c r="AD38" s="216" t="str">
        <f>INDEX('STATIC DATA'!C39:AB39,1,MATCH($A$1,'STATIC DATA'!$C$4:$AB$4,0))</f>
        <v>JOB</v>
      </c>
      <c r="AE38" s="53"/>
      <c r="AG38" t="s">
        <v>434</v>
      </c>
      <c r="AH38" t="str">
        <f>$A$1</f>
        <v>ZAR</v>
      </c>
      <c r="AM38" s="50"/>
      <c r="AN38" s="222" t="s">
        <v>760</v>
      </c>
      <c r="AO38" s="216" t="s">
        <v>608</v>
      </c>
      <c r="AP38" s="53"/>
      <c r="AX38" s="50"/>
      <c r="AY38" s="222" t="s">
        <v>760</v>
      </c>
      <c r="AZ38" s="216" t="str">
        <f>INDEX('STATIC DATA'!C39:AB39,1,MATCH($A$1,'STATIC DATA'!$C$4:$AB$4,0))</f>
        <v>JOB</v>
      </c>
      <c r="BA38" s="53"/>
      <c r="BI38" s="50"/>
      <c r="BJ38" s="222" t="s">
        <v>760</v>
      </c>
      <c r="BK38" s="216" t="s">
        <v>808</v>
      </c>
      <c r="BL38" s="53"/>
      <c r="BN38" t="s">
        <v>434</v>
      </c>
      <c r="BO38" t="str">
        <f>$A$1</f>
        <v>ZAR</v>
      </c>
      <c r="BT38" s="50"/>
      <c r="BU38" s="55"/>
      <c r="BV38" s="55"/>
      <c r="BW38" s="55"/>
      <c r="BX38" s="332"/>
      <c r="BY38" s="147" t="s">
        <v>434</v>
      </c>
      <c r="BZ38" s="238" t="s">
        <v>974</v>
      </c>
      <c r="CA38" s="305"/>
      <c r="CB38" s="299"/>
      <c r="CD38" t="s">
        <v>434</v>
      </c>
      <c r="CE38" t="str">
        <f>$A$1</f>
        <v>ZAR</v>
      </c>
      <c r="CJ38" t="s">
        <v>434</v>
      </c>
      <c r="CK38" t="str">
        <f>$A$1</f>
        <v>ZAR</v>
      </c>
      <c r="CM38" s="299"/>
      <c r="CN38" s="299"/>
      <c r="CO38" s="206"/>
      <c r="CP38" s="206"/>
      <c r="CQ38" s="206"/>
      <c r="CS38" s="200">
        <v>46821</v>
      </c>
      <c r="CT38" s="207">
        <v>0.10276003957669901</v>
      </c>
      <c r="CU38" s="207">
        <v>0.102192976326997</v>
      </c>
      <c r="CV38" s="207">
        <v>9.1903645814685006E-2</v>
      </c>
      <c r="CW38" s="207"/>
      <c r="CX38" s="207"/>
      <c r="DB38" s="466"/>
    </row>
    <row r="39" spans="6:106" x14ac:dyDescent="0.25">
      <c r="F39" s="50"/>
      <c r="G39" s="222"/>
      <c r="H39" s="223"/>
      <c r="I39" s="53"/>
      <c r="K39" t="s">
        <v>435</v>
      </c>
      <c r="L39" t="s">
        <v>426</v>
      </c>
      <c r="Q39" s="50"/>
      <c r="R39" s="54" t="s">
        <v>730</v>
      </c>
      <c r="S39" s="52" t="s">
        <v>713</v>
      </c>
      <c r="T39" s="53"/>
      <c r="V39" t="s">
        <v>435</v>
      </c>
      <c r="W39" t="s">
        <v>463</v>
      </c>
      <c r="AB39" s="50"/>
      <c r="AC39" s="225" t="s">
        <v>761</v>
      </c>
      <c r="AD39" s="219" t="s">
        <v>721</v>
      </c>
      <c r="AE39" s="53"/>
      <c r="AG39" t="s">
        <v>435</v>
      </c>
      <c r="AH39" t="s">
        <v>468</v>
      </c>
      <c r="AM39" s="50"/>
      <c r="AN39" s="225" t="s">
        <v>761</v>
      </c>
      <c r="AO39" s="219" t="s">
        <v>721</v>
      </c>
      <c r="AP39" s="53"/>
      <c r="AX39" s="50"/>
      <c r="AY39" s="225" t="s">
        <v>761</v>
      </c>
      <c r="AZ39" s="219" t="s">
        <v>721</v>
      </c>
      <c r="BA39" s="53"/>
      <c r="BI39" s="50"/>
      <c r="BJ39" s="225" t="s">
        <v>761</v>
      </c>
      <c r="BK39" s="219" t="s">
        <v>458</v>
      </c>
      <c r="BL39" s="53"/>
      <c r="BN39" t="s">
        <v>435</v>
      </c>
      <c r="BO39" t="s">
        <v>669</v>
      </c>
      <c r="BT39" s="50"/>
      <c r="BU39" s="55"/>
      <c r="BV39" s="55"/>
      <c r="BW39" s="55"/>
      <c r="BX39" s="332"/>
      <c r="BY39" s="149" t="s">
        <v>435</v>
      </c>
      <c r="BZ39" s="223" t="s">
        <v>820</v>
      </c>
      <c r="CA39" s="305"/>
      <c r="CB39" s="299"/>
      <c r="CD39" t="s">
        <v>435</v>
      </c>
      <c r="CE39" t="s">
        <v>1084</v>
      </c>
      <c r="CJ39" t="s">
        <v>435</v>
      </c>
      <c r="CK39" t="s">
        <v>1084</v>
      </c>
      <c r="CM39" s="299"/>
      <c r="CN39" s="299"/>
      <c r="CO39" s="206"/>
      <c r="CP39" s="206"/>
      <c r="CQ39" s="206"/>
      <c r="CS39" s="200">
        <v>46913</v>
      </c>
      <c r="CT39" s="207">
        <v>0.104416243261193</v>
      </c>
      <c r="CU39" s="207">
        <v>0.10418871245010899</v>
      </c>
      <c r="CV39" s="207">
        <v>9.3764920713344996E-2</v>
      </c>
      <c r="CW39" s="207"/>
      <c r="CX39" s="207"/>
      <c r="DB39" s="466"/>
    </row>
    <row r="40" spans="6:106" x14ac:dyDescent="0.25">
      <c r="F40" s="50"/>
      <c r="G40" s="222"/>
      <c r="H40" s="223"/>
      <c r="I40" s="53"/>
      <c r="K40" t="s">
        <v>438</v>
      </c>
      <c r="L40" t="s">
        <v>439</v>
      </c>
      <c r="Q40" s="50"/>
      <c r="R40" s="220" t="s">
        <v>704</v>
      </c>
      <c r="S40" s="221" t="str">
        <f>INDEX('STATIC DATA'!C39:AB39,1,MATCH($A$1,'STATIC DATA'!$C$4:$AB$4,0))</f>
        <v>JOB</v>
      </c>
      <c r="T40" s="53"/>
      <c r="V40" t="s">
        <v>438</v>
      </c>
      <c r="W40" t="s">
        <v>458</v>
      </c>
      <c r="AB40" s="50"/>
      <c r="AC40" s="225" t="s">
        <v>762</v>
      </c>
      <c r="AD40" s="219" t="str">
        <f>INDEX('STATIC DATA'!C39:AB39,1,MATCH($A$1,'STATIC DATA'!$C$4:$AB$4,0))</f>
        <v>JOB</v>
      </c>
      <c r="AE40" s="53"/>
      <c r="AG40" t="s">
        <v>438</v>
      </c>
      <c r="AH40" t="s">
        <v>459</v>
      </c>
      <c r="AM40" s="50"/>
      <c r="AN40" s="225" t="s">
        <v>762</v>
      </c>
      <c r="AO40" s="219" t="s">
        <v>608</v>
      </c>
      <c r="AP40" s="53"/>
      <c r="AX40" s="50"/>
      <c r="AY40" s="225" t="s">
        <v>762</v>
      </c>
      <c r="AZ40" s="219" t="str">
        <f>INDEX('STATIC DATA'!C39:AB39,1,MATCH($A$1,'STATIC DATA'!$C$4:$AB$4,0))</f>
        <v>JOB</v>
      </c>
      <c r="BA40" s="53"/>
      <c r="BI40" s="50"/>
      <c r="BJ40" s="225" t="s">
        <v>762</v>
      </c>
      <c r="BK40" s="219" t="str">
        <f>INDEX('STATIC DATA'!C30:AB30,1,MATCH($A$1,'STATIC DATA'!$C$4:$AB$4,0))</f>
        <v>JOB:NYB:LNB</v>
      </c>
      <c r="BL40" s="53"/>
      <c r="BN40" t="s">
        <v>438</v>
      </c>
      <c r="BO40" t="s">
        <v>458</v>
      </c>
      <c r="BT40" s="50"/>
      <c r="BU40" s="55"/>
      <c r="BV40" s="55"/>
      <c r="BW40" s="55"/>
      <c r="BX40" s="332"/>
      <c r="BY40" s="149" t="s">
        <v>440</v>
      </c>
      <c r="BZ40" s="275">
        <f>TODAY()</f>
        <v>44083</v>
      </c>
      <c r="CA40" s="324"/>
      <c r="CB40" s="303"/>
      <c r="CD40" t="s">
        <v>438</v>
      </c>
      <c r="CE40" t="s">
        <v>439</v>
      </c>
      <c r="CJ40" t="s">
        <v>438</v>
      </c>
      <c r="CK40" t="s">
        <v>439</v>
      </c>
      <c r="CM40" s="299"/>
      <c r="CN40" s="299"/>
      <c r="CO40" s="206"/>
      <c r="CP40" s="206"/>
      <c r="CQ40" s="206"/>
      <c r="CS40" s="200">
        <v>47007</v>
      </c>
      <c r="CT40" s="207">
        <v>0.105876082210098</v>
      </c>
      <c r="CU40" s="207">
        <v>0.106221284697264</v>
      </c>
      <c r="CV40" s="207">
        <v>9.56522943942235E-2</v>
      </c>
      <c r="CW40" s="207"/>
      <c r="CX40" s="207"/>
      <c r="DB40" s="466"/>
    </row>
    <row r="41" spans="6:106" x14ac:dyDescent="0.25">
      <c r="F41" s="50"/>
      <c r="G41" s="293" t="s">
        <v>833</v>
      </c>
      <c r="H41" s="223"/>
      <c r="I41" s="53"/>
      <c r="K41" t="s">
        <v>440</v>
      </c>
      <c r="L41" s="200">
        <f>TODAY()</f>
        <v>44083</v>
      </c>
      <c r="Q41" s="50"/>
      <c r="R41" s="222" t="s">
        <v>731</v>
      </c>
      <c r="S41" s="223" t="str">
        <f>INDEX('STATIC DATA'!C55:AB55,1,MATCH($A$1,'STATIC DATA'!C4:AB4,0))</f>
        <v>ACT/365</v>
      </c>
      <c r="T41" s="53"/>
      <c r="V41" t="s">
        <v>440</v>
      </c>
      <c r="W41" s="200">
        <f>TODAY()</f>
        <v>44083</v>
      </c>
      <c r="AB41" s="50"/>
      <c r="AC41" s="225" t="s">
        <v>763</v>
      </c>
      <c r="AD41" s="219">
        <v>0</v>
      </c>
      <c r="AE41" s="53"/>
      <c r="AG41" t="s">
        <v>440</v>
      </c>
      <c r="AH41" s="200">
        <f>TODAY()</f>
        <v>44083</v>
      </c>
      <c r="AM41" s="50"/>
      <c r="AN41" s="225" t="s">
        <v>763</v>
      </c>
      <c r="AO41" s="219">
        <v>0</v>
      </c>
      <c r="AP41" s="53"/>
      <c r="AX41" s="50"/>
      <c r="AY41" s="225" t="s">
        <v>763</v>
      </c>
      <c r="AZ41" s="219">
        <v>0</v>
      </c>
      <c r="BA41" s="53"/>
      <c r="BI41" s="50"/>
      <c r="BJ41" s="225" t="s">
        <v>763</v>
      </c>
      <c r="BK41" s="219" t="s">
        <v>5</v>
      </c>
      <c r="BL41" s="53"/>
      <c r="BN41" t="s">
        <v>440</v>
      </c>
      <c r="BO41" s="200">
        <f>TODAY()</f>
        <v>44083</v>
      </c>
      <c r="BT41" s="50"/>
      <c r="BU41" s="55"/>
      <c r="BV41" s="55"/>
      <c r="BW41" s="55"/>
      <c r="BX41" s="332"/>
      <c r="BY41" s="151" t="s">
        <v>821</v>
      </c>
      <c r="BZ41" s="226">
        <f>IF(INDEX('STATIC DATA'!C49:AB49,1,MATCH($A$1,'STATIC DATA'!C4:AB4,0))=4,1/10000,IF(INDEX('STATIC DATA'!C49:AB49,1,MATCH($A$1,'STATIC DATA'!C4:AB4,0))=3,1/1000,1/100))</f>
        <v>1E-4</v>
      </c>
      <c r="CA41" s="305"/>
      <c r="CB41" s="299"/>
      <c r="CD41" t="s">
        <v>440</v>
      </c>
      <c r="CE41" s="275">
        <f>'STATIC DATA'!AB5</f>
        <v>44083</v>
      </c>
      <c r="CJ41" t="s">
        <v>440</v>
      </c>
      <c r="CK41" s="275">
        <f>'STATIC DATA'!AB5</f>
        <v>44083</v>
      </c>
      <c r="CM41" s="299"/>
      <c r="CN41" s="299"/>
      <c r="CO41" s="206"/>
      <c r="CP41" s="206"/>
      <c r="CQ41" s="206"/>
      <c r="CS41" s="200">
        <v>47098</v>
      </c>
      <c r="CT41" s="207">
        <v>0.10720906575101</v>
      </c>
      <c r="CU41" s="207">
        <v>0.107909298038185</v>
      </c>
      <c r="CV41" s="207">
        <v>9.7192905769278803E-2</v>
      </c>
      <c r="CW41" s="207"/>
      <c r="CX41" s="207"/>
      <c r="DB41" s="466"/>
    </row>
    <row r="42" spans="6:106" x14ac:dyDescent="0.25">
      <c r="F42" s="50"/>
      <c r="G42" s="291" t="s">
        <v>692</v>
      </c>
      <c r="H42" s="230" t="s">
        <v>693</v>
      </c>
      <c r="I42" s="53"/>
      <c r="Q42" s="50"/>
      <c r="R42" s="222" t="s">
        <v>732</v>
      </c>
      <c r="S42" s="223" t="str">
        <f>INDEX('STATIC DATA'!C7:AB7,1,MATCH($A$1,'STATIC DATA'!C4:AB4,0))</f>
        <v>0D</v>
      </c>
      <c r="T42" s="53"/>
      <c r="AB42" s="50"/>
      <c r="AC42" s="220" t="s">
        <v>764</v>
      </c>
      <c r="AD42" s="238" t="s">
        <v>687</v>
      </c>
      <c r="AE42" s="53"/>
      <c r="AM42" s="50"/>
      <c r="AN42" s="220" t="s">
        <v>764</v>
      </c>
      <c r="AO42" s="238" t="s">
        <v>687</v>
      </c>
      <c r="AP42" s="53"/>
      <c r="AX42" s="50"/>
      <c r="AY42" s="220" t="s">
        <v>764</v>
      </c>
      <c r="AZ42" s="238" t="s">
        <v>687</v>
      </c>
      <c r="BA42" s="53"/>
      <c r="BI42" s="50"/>
      <c r="BJ42" s="220" t="s">
        <v>764</v>
      </c>
      <c r="BK42" s="238" t="s">
        <v>687</v>
      </c>
      <c r="BL42" s="53"/>
      <c r="BT42" s="50"/>
      <c r="BU42" s="55"/>
      <c r="BV42" s="55"/>
      <c r="BW42" s="55"/>
      <c r="BX42" s="332"/>
      <c r="BY42" s="299"/>
      <c r="BZ42" s="299"/>
      <c r="CA42" s="313"/>
      <c r="CB42" s="299"/>
      <c r="CM42" s="299"/>
      <c r="CN42" s="299"/>
      <c r="CO42" s="206"/>
      <c r="CP42" s="206"/>
      <c r="CQ42" s="206"/>
      <c r="CS42" s="200">
        <v>47186</v>
      </c>
      <c r="CT42" s="207">
        <v>0.108434902835852</v>
      </c>
      <c r="CU42" s="207">
        <v>0.10915455421921599</v>
      </c>
      <c r="CV42" s="207">
        <v>9.8294871369335499E-2</v>
      </c>
      <c r="CW42" s="207"/>
      <c r="CX42" s="207"/>
      <c r="DB42" s="466"/>
    </row>
    <row r="43" spans="6:106" x14ac:dyDescent="0.25">
      <c r="F43" s="50"/>
      <c r="G43" s="292" t="s">
        <v>694</v>
      </c>
      <c r="H43" s="230" t="s">
        <v>316</v>
      </c>
      <c r="I43" s="53"/>
      <c r="K43" s="2" t="s">
        <v>441</v>
      </c>
      <c r="Q43" s="50"/>
      <c r="R43" s="222" t="s">
        <v>707</v>
      </c>
      <c r="S43" s="223" t="s">
        <v>687</v>
      </c>
      <c r="T43" s="53"/>
      <c r="V43" s="2" t="s">
        <v>441</v>
      </c>
      <c r="AB43" s="50"/>
      <c r="AC43" s="222" t="s">
        <v>765</v>
      </c>
      <c r="AD43" s="216" t="str">
        <f>INDEX('STATIC DATA'!C39:AB39,1,MATCH($A$1,'STATIC DATA'!$C$4:$AB$4,0))</f>
        <v>JOB</v>
      </c>
      <c r="AE43" s="53"/>
      <c r="AG43" s="2" t="s">
        <v>441</v>
      </c>
      <c r="AM43" s="50"/>
      <c r="AN43" s="222" t="s">
        <v>765</v>
      </c>
      <c r="AO43" s="216" t="s">
        <v>608</v>
      </c>
      <c r="AP43" s="53"/>
      <c r="AX43" s="50"/>
      <c r="AY43" s="222" t="s">
        <v>765</v>
      </c>
      <c r="AZ43" s="216" t="s">
        <v>608</v>
      </c>
      <c r="BA43" s="53"/>
      <c r="BI43" s="50"/>
      <c r="BJ43" s="222" t="s">
        <v>765</v>
      </c>
      <c r="BK43" s="216" t="str">
        <f>INDEX('STATIC DATA'!C30:AB30,1,MATCH($A$1,'STATIC DATA'!$C$4:$AB$4,0))</f>
        <v>JOB:NYB:LNB</v>
      </c>
      <c r="BL43" s="53"/>
      <c r="BN43" s="2" t="s">
        <v>441</v>
      </c>
      <c r="BT43" s="50"/>
      <c r="BU43" s="55"/>
      <c r="BV43" s="55"/>
      <c r="BW43" s="55"/>
      <c r="BX43" s="332"/>
      <c r="BY43" s="323" t="s">
        <v>824</v>
      </c>
      <c r="BZ43" s="303"/>
      <c r="CA43" s="313"/>
      <c r="CB43" s="299"/>
      <c r="CD43" s="2" t="s">
        <v>441</v>
      </c>
      <c r="CJ43" s="2" t="s">
        <v>441</v>
      </c>
      <c r="CM43" s="299"/>
      <c r="CN43" s="299"/>
      <c r="CO43" s="206"/>
      <c r="CP43" s="206"/>
      <c r="CQ43" s="206"/>
      <c r="CS43" s="200">
        <v>47280</v>
      </c>
      <c r="CT43" s="207">
        <v>0.109518293045614</v>
      </c>
      <c r="CU43" s="207">
        <v>0.10988233946451099</v>
      </c>
      <c r="CV43" s="207">
        <v>9.8900610960074103E-2</v>
      </c>
      <c r="CW43" s="207"/>
      <c r="CX43" s="207"/>
      <c r="DB43" s="466"/>
    </row>
    <row r="44" spans="6:106" x14ac:dyDescent="0.25">
      <c r="F44" s="50"/>
      <c r="G44" s="222"/>
      <c r="H44" s="223"/>
      <c r="I44" s="53"/>
      <c r="K44" t="s">
        <v>442</v>
      </c>
      <c r="L44" s="206" t="str">
        <f>L38&amp;"_"&amp;L39&amp;"_CURVE_MARKETDATA"</f>
        <v>ZAR_OIS_CURVE_MARKETDATA</v>
      </c>
      <c r="Q44" s="50"/>
      <c r="R44" s="222"/>
      <c r="S44" s="223"/>
      <c r="T44" s="53"/>
      <c r="V44" t="s">
        <v>442</v>
      </c>
      <c r="W44" t="str">
        <f>W38&amp;"_"&amp;W39&amp;"_"&amp;INDEX('STATIC DATA'!$C$56:$AB$56,1,MATCH($W38,'STATIC DATA'!$C$4:$AB$4,0))&amp;"_CURVE_MARKETDATA"</f>
        <v>ZAR_SWAP_3M_CURVE_MARKETDATA</v>
      </c>
      <c r="AB44" s="50"/>
      <c r="AC44" s="222" t="s">
        <v>766</v>
      </c>
      <c r="AD44" s="216" t="str">
        <f>INDEX('STATIC DATA'!C55:AB55,1,MATCH($A$1,'STATIC DATA'!C4:AB4,0))</f>
        <v>ACT/365</v>
      </c>
      <c r="AE44" s="53"/>
      <c r="AG44" t="s">
        <v>442</v>
      </c>
      <c r="AH44" t="str">
        <f>A1&amp;"_BASIS_3X6_MARKETDATA"</f>
        <v>ZAR_BASIS_3X6_MARKETDATA</v>
      </c>
      <c r="AM44" s="50"/>
      <c r="AN44" s="222" t="s">
        <v>766</v>
      </c>
      <c r="AO44" s="216" t="s">
        <v>48</v>
      </c>
      <c r="AP44" s="53"/>
      <c r="AX44" s="50"/>
      <c r="AY44" s="222" t="s">
        <v>766</v>
      </c>
      <c r="AZ44" s="216" t="str">
        <f>INDEX('STATIC DATA'!Y55:AY55,1,MATCH($A$1,'STATIC DATA'!Y4:AV4,0))</f>
        <v>ACT/365</v>
      </c>
      <c r="BA44" s="53"/>
      <c r="BI44" s="50"/>
      <c r="BJ44" s="222" t="s">
        <v>766</v>
      </c>
      <c r="BK44" s="216" t="str">
        <f>INDEX('STATIC DATA'!C55:AB55,1,MATCH($A$1,'STATIC DATA'!C4:AB4,0))</f>
        <v>ACT/365</v>
      </c>
      <c r="BL44" s="53"/>
      <c r="BN44" t="s">
        <v>442</v>
      </c>
      <c r="BO44" t="str">
        <f>A1&amp;"_"&amp;BO39&amp;"_CURVE_MARKETDATA"</f>
        <v>ZAR_XCCYBASIS_CURVE_MARKETDATA</v>
      </c>
      <c r="BT44" s="50"/>
      <c r="BU44" s="55"/>
      <c r="BV44" s="55"/>
      <c r="BW44" s="55"/>
      <c r="BX44" s="332"/>
      <c r="BY44" s="270" t="s">
        <v>830</v>
      </c>
      <c r="BZ44" s="271" t="s">
        <v>975</v>
      </c>
      <c r="CA44" s="325"/>
      <c r="CB44" s="303"/>
      <c r="CD44" t="s">
        <v>442</v>
      </c>
      <c r="CE44" t="str">
        <f>$A$1&amp;"_FXFWD_MARKET_DATA"</f>
        <v>ZAR_FXFWD_MARKET_DATA</v>
      </c>
      <c r="CJ44" t="s">
        <v>442</v>
      </c>
      <c r="CK44" t="str">
        <f>$A$1&amp;"_FXFWD_MARKET_DATA"</f>
        <v>ZAR_FXFWD_MARKET_DATA</v>
      </c>
      <c r="CM44" s="299"/>
      <c r="CN44" s="299"/>
      <c r="CO44" s="206"/>
      <c r="CP44" s="206"/>
      <c r="CQ44" s="206"/>
      <c r="CS44" s="200">
        <v>47371</v>
      </c>
      <c r="CT44" s="207">
        <v>0.11046276494443601</v>
      </c>
      <c r="CU44" s="207">
        <v>0.110251228765485</v>
      </c>
      <c r="CV44" s="207">
        <v>9.91534778823496E-2</v>
      </c>
      <c r="CW44" s="207"/>
      <c r="CX44" s="207"/>
      <c r="DB44" s="466"/>
    </row>
    <row r="45" spans="6:106" x14ac:dyDescent="0.25">
      <c r="F45" s="50"/>
      <c r="G45" s="222"/>
      <c r="H45" s="223"/>
      <c r="I45" s="53"/>
      <c r="K45" t="s">
        <v>444</v>
      </c>
      <c r="L45" s="206" t="str">
        <f>_xll.meLWOCurveMarketDataCreate(L44,"MarketDataProperties",K38:L41,"OIS",K7:L26)</f>
        <v>ZAR_OIS_CURVE_MARKETDATA@50:42</v>
      </c>
      <c r="Q45" s="50"/>
      <c r="R45" s="225"/>
      <c r="S45" s="226"/>
      <c r="T45" s="53"/>
      <c r="V45" t="s">
        <v>444</v>
      </c>
      <c r="W45" t="str">
        <f>_xll.meLWOCurveMarketDataCreate(W44,V37,V38:W42,"LIBORFIXINGS",V7:X11,"FRAS",V12:X19,"SWAPS",V20:X32)</f>
        <v>ZAR_SWAP_3M_CURVE_MARKETDATA@49:42</v>
      </c>
      <c r="AB45" s="50"/>
      <c r="AC45" s="222" t="s">
        <v>767</v>
      </c>
      <c r="AD45" s="216" t="s">
        <v>458</v>
      </c>
      <c r="AE45" s="53"/>
      <c r="AG45" t="s">
        <v>444</v>
      </c>
      <c r="AH45" t="str">
        <f>_xll.meLWOCurveMarketDataCreate(AH44,AG37,AG38:AH42,"BASISSWAPS",AG7:AI21)</f>
        <v>ZAR_BASIS_3X6_MARKETDATA@1:42</v>
      </c>
      <c r="AM45" s="50"/>
      <c r="AN45" s="222" t="s">
        <v>767</v>
      </c>
      <c r="AO45" s="216" t="s">
        <v>458</v>
      </c>
      <c r="AP45" s="53"/>
      <c r="AX45" s="50"/>
      <c r="AY45" s="222" t="s">
        <v>767</v>
      </c>
      <c r="AZ45" s="216" t="s">
        <v>794</v>
      </c>
      <c r="BA45" s="53"/>
      <c r="BI45" s="50"/>
      <c r="BJ45" s="222" t="s">
        <v>767</v>
      </c>
      <c r="BK45" s="216" t="s">
        <v>458</v>
      </c>
      <c r="BL45" s="53"/>
      <c r="BN45" t="s">
        <v>444</v>
      </c>
      <c r="BO45" t="str">
        <f>_xll.meLWOCurveMarketDataCreate(BO44,BN37,BN38:BO42,"FXSPOTS",BN7:BP7,"FXFWDS",BN8:BP22,"XCCYSWAPS",BN23:BP35)</f>
        <v>ZAR_XCCYBASIS_CURVE_MARKETDATA@48:42</v>
      </c>
      <c r="BT45" s="50"/>
      <c r="BU45" s="55"/>
      <c r="BV45" s="55"/>
      <c r="BW45" s="55"/>
      <c r="BX45" s="332"/>
      <c r="BY45" s="206"/>
      <c r="BZ45" s="263" t="str">
        <f>_xll.meLWOCurveMarketDataCreate(BZ44,"MARKETDATAPROPERTIES",BY38:BZ41,"FXSPOTS",BZ7:CA7,"FXFWDS",BY8:CA24)</f>
        <v>MKTDATA_USDZAR@298:42</v>
      </c>
      <c r="CA45" s="313"/>
      <c r="CB45" s="313"/>
      <c r="CD45" t="s">
        <v>444</v>
      </c>
      <c r="CE45" t="str">
        <f>_xll.meLWOCurveMarketDataCreate(CE44,CD37,CD38:CE41)</f>
        <v>ZAR_FXFWD_MARKET_DATA@34:42</v>
      </c>
      <c r="CJ45" t="s">
        <v>444</v>
      </c>
      <c r="CK45" t="str">
        <f>_xll.meLWOCurveMarketDataCreate(CK44,CJ37,CJ38:CK41)</f>
        <v>ZAR_FXFWD_MARKET_DATA@31:42</v>
      </c>
      <c r="CM45" s="299"/>
      <c r="CN45" s="299"/>
      <c r="CO45" s="206"/>
      <c r="CP45" s="206"/>
      <c r="CQ45" s="206"/>
      <c r="CS45" s="200">
        <v>47462</v>
      </c>
      <c r="CT45" s="207">
        <v>0.11127010701154599</v>
      </c>
      <c r="CU45" s="207">
        <v>0.11077408273124401</v>
      </c>
      <c r="CV45" s="207">
        <v>9.9554809251529805E-2</v>
      </c>
      <c r="CW45" s="207"/>
      <c r="CX45" s="207"/>
      <c r="DB45" s="466"/>
    </row>
    <row r="46" spans="6:106" x14ac:dyDescent="0.25">
      <c r="F46" s="50"/>
      <c r="G46" s="225"/>
      <c r="H46" s="226"/>
      <c r="I46" s="53"/>
      <c r="L46" s="206"/>
      <c r="Q46" s="50"/>
      <c r="R46" s="52" t="s">
        <v>713</v>
      </c>
      <c r="S46" s="52" t="s">
        <v>713</v>
      </c>
      <c r="T46" s="53"/>
      <c r="AB46" s="50"/>
      <c r="AC46" s="222" t="s">
        <v>768</v>
      </c>
      <c r="AD46" s="239" t="s">
        <v>459</v>
      </c>
      <c r="AE46" s="53"/>
      <c r="AM46" s="50"/>
      <c r="AN46" s="222" t="s">
        <v>768</v>
      </c>
      <c r="AO46" s="239" t="s">
        <v>680</v>
      </c>
      <c r="AP46" s="53"/>
      <c r="AX46" s="50"/>
      <c r="AY46" s="222" t="s">
        <v>768</v>
      </c>
      <c r="AZ46" s="239" t="s">
        <v>458</v>
      </c>
      <c r="BA46" s="53"/>
      <c r="BI46" s="50"/>
      <c r="BJ46" s="222" t="s">
        <v>769</v>
      </c>
      <c r="BK46" s="239" t="s">
        <v>687</v>
      </c>
      <c r="BL46" s="53"/>
      <c r="BT46" s="50"/>
      <c r="BU46" s="55"/>
      <c r="BV46" s="55"/>
      <c r="BW46" s="55"/>
      <c r="BX46" s="332"/>
      <c r="BY46" s="206"/>
      <c r="BZ46" s="206"/>
      <c r="CA46" s="305"/>
      <c r="CB46" s="299"/>
      <c r="CM46" s="299"/>
      <c r="CN46" s="299"/>
      <c r="CO46" s="206"/>
      <c r="CP46" s="206"/>
      <c r="CQ46" s="206"/>
      <c r="CS46" s="200">
        <v>47553</v>
      </c>
      <c r="CT46" s="207">
        <v>0.111950578813325</v>
      </c>
      <c r="CU46" s="207">
        <v>0.11157636328244</v>
      </c>
      <c r="CV46" s="207">
        <v>0.100232155816025</v>
      </c>
      <c r="CW46" s="207"/>
      <c r="CX46" s="207"/>
      <c r="DB46" s="466"/>
    </row>
    <row r="47" spans="6:106" x14ac:dyDescent="0.25">
      <c r="F47" s="50"/>
      <c r="G47" s="52"/>
      <c r="H47" s="52"/>
      <c r="I47" s="53"/>
      <c r="K47" s="2" t="s">
        <v>447</v>
      </c>
      <c r="L47" s="206"/>
      <c r="Q47" s="50"/>
      <c r="R47" s="54" t="s">
        <v>461</v>
      </c>
      <c r="S47" s="52" t="s">
        <v>713</v>
      </c>
      <c r="T47" s="53"/>
      <c r="V47" s="2" t="s">
        <v>447</v>
      </c>
      <c r="AB47" s="50"/>
      <c r="AC47" s="222" t="s">
        <v>769</v>
      </c>
      <c r="AD47" s="216" t="s">
        <v>687</v>
      </c>
      <c r="AE47" s="53"/>
      <c r="AG47" s="2" t="s">
        <v>447</v>
      </c>
      <c r="AM47" s="50"/>
      <c r="AN47" s="222" t="s">
        <v>769</v>
      </c>
      <c r="AO47" s="216" t="s">
        <v>687</v>
      </c>
      <c r="AP47" s="53"/>
      <c r="AX47" s="50"/>
      <c r="AY47" s="222" t="s">
        <v>769</v>
      </c>
      <c r="AZ47" s="216" t="s">
        <v>687</v>
      </c>
      <c r="BA47" s="53"/>
      <c r="BI47" s="50"/>
      <c r="BJ47" s="222" t="s">
        <v>770</v>
      </c>
      <c r="BK47" s="216" t="s">
        <v>5</v>
      </c>
      <c r="BL47" s="53"/>
      <c r="BN47" s="2" t="s">
        <v>447</v>
      </c>
      <c r="BT47" s="50"/>
      <c r="BU47" s="55"/>
      <c r="BV47" s="55"/>
      <c r="BW47" s="55"/>
      <c r="BX47" s="332"/>
      <c r="BY47" s="299"/>
      <c r="BZ47" s="299"/>
      <c r="CA47" s="299"/>
      <c r="CB47" s="299"/>
      <c r="CD47" s="2" t="s">
        <v>447</v>
      </c>
      <c r="CJ47" s="2" t="s">
        <v>447</v>
      </c>
      <c r="CM47" s="299"/>
      <c r="CN47" s="299"/>
      <c r="CO47" s="206"/>
      <c r="CP47" s="206"/>
      <c r="CQ47" s="206"/>
      <c r="CS47" s="200">
        <v>47644</v>
      </c>
      <c r="CT47" s="207">
        <v>0.11248881464718601</v>
      </c>
      <c r="CU47" s="207">
        <v>0.11261568846526</v>
      </c>
      <c r="CV47" s="207">
        <v>0.101150860055706</v>
      </c>
      <c r="CW47" s="207"/>
      <c r="CX47" s="207"/>
      <c r="DB47" s="466"/>
    </row>
    <row r="48" spans="6:106" x14ac:dyDescent="0.25">
      <c r="F48" s="50"/>
      <c r="G48" s="54" t="s">
        <v>702</v>
      </c>
      <c r="H48" s="227" t="s">
        <v>703</v>
      </c>
      <c r="I48" s="53"/>
      <c r="K48" t="s">
        <v>442</v>
      </c>
      <c r="L48" s="206" t="str">
        <f>L38&amp;"_"&amp;L39&amp;"_CURVE"</f>
        <v>ZAR_OIS_CURVE</v>
      </c>
      <c r="Q48" s="50"/>
      <c r="R48" s="220" t="s">
        <v>677</v>
      </c>
      <c r="S48" s="221" t="str">
        <f>INDEX('STATIC DATA'!C39:AB39,1,MATCH($A$1,'STATIC DATA'!$C$4:$AB$4,0))</f>
        <v>JOB</v>
      </c>
      <c r="T48" s="53"/>
      <c r="V48" t="s">
        <v>442</v>
      </c>
      <c r="W48" t="str">
        <f>W38&amp;"_"&amp;W39&amp;"_"&amp;INDEX('STATIC DATA'!$C$56:$AB$56,1,MATCH($W38,'STATIC DATA'!$C$4:$AB$4,0))&amp;"_CURVE"</f>
        <v>ZAR_SWAP_3M_CURVE</v>
      </c>
      <c r="AB48" s="50"/>
      <c r="AC48" s="225" t="s">
        <v>770</v>
      </c>
      <c r="AD48" s="219">
        <v>0</v>
      </c>
      <c r="AE48" s="53"/>
      <c r="AG48" t="s">
        <v>442</v>
      </c>
      <c r="AH48" t="str">
        <f>A1&amp;"_BASIS_6M_CURVE"</f>
        <v>ZAR_BASIS_6M_CURVE</v>
      </c>
      <c r="AM48" s="50"/>
      <c r="AN48" s="225" t="s">
        <v>770</v>
      </c>
      <c r="AO48" s="219">
        <v>0</v>
      </c>
      <c r="AP48" s="53"/>
      <c r="AX48" s="50"/>
      <c r="AY48" s="225" t="s">
        <v>770</v>
      </c>
      <c r="AZ48" s="219">
        <v>0</v>
      </c>
      <c r="BA48" s="53"/>
      <c r="BI48" s="50"/>
      <c r="BJ48" s="234" t="s">
        <v>772</v>
      </c>
      <c r="BK48" s="247" t="s">
        <v>426</v>
      </c>
      <c r="BL48" s="249" t="s">
        <v>801</v>
      </c>
      <c r="BN48" t="s">
        <v>442</v>
      </c>
      <c r="BO48" t="str">
        <f>A1&amp;"_"&amp;BO39&amp;"_CURVE"</f>
        <v>ZAR_XCCYBASIS_CURVE</v>
      </c>
      <c r="BT48" s="50"/>
      <c r="BU48" s="55"/>
      <c r="BV48" s="55"/>
      <c r="BW48" s="55"/>
      <c r="BX48" s="332"/>
      <c r="BY48" s="303"/>
      <c r="BZ48" s="299"/>
      <c r="CA48" s="299"/>
      <c r="CB48" s="299"/>
      <c r="CD48" t="s">
        <v>442</v>
      </c>
      <c r="CE48" t="s">
        <v>1137</v>
      </c>
      <c r="CJ48" t="s">
        <v>442</v>
      </c>
      <c r="CK48" t="s">
        <v>1139</v>
      </c>
      <c r="CM48" s="299"/>
      <c r="CN48" s="299"/>
      <c r="CO48" s="206"/>
      <c r="CP48" s="206"/>
      <c r="CQ48" s="206"/>
      <c r="CS48" s="200">
        <v>47735</v>
      </c>
      <c r="CT48" s="207">
        <v>0.112868135348203</v>
      </c>
      <c r="CU48" s="207">
        <v>0.113805128412706</v>
      </c>
      <c r="CV48" s="207">
        <v>0.102234618626487</v>
      </c>
      <c r="CW48" s="207"/>
      <c r="CX48" s="207"/>
      <c r="DB48" s="466"/>
    </row>
    <row r="49" spans="6:106" x14ac:dyDescent="0.25">
      <c r="F49" s="50"/>
      <c r="G49" s="220" t="s">
        <v>704</v>
      </c>
      <c r="H49" s="221" t="str">
        <f>INDEX('STATIC DATA'!C43:AB43,1,MATCH(A1,'STATIC DATA'!$C$4:$AB$4,0))</f>
        <v>JOB</v>
      </c>
      <c r="I49" s="53"/>
      <c r="K49" t="s">
        <v>450</v>
      </c>
      <c r="L49" s="206" t="str">
        <f>H8</f>
        <v>ZAR_OIS@324:6</v>
      </c>
      <c r="Q49" s="50"/>
      <c r="R49" s="222" t="s">
        <v>678</v>
      </c>
      <c r="S49" s="223" t="str">
        <f>INDEX('STATIC DATA'!C55:AB55,1,MATCH($A$1,'STATIC DATA'!C4:AB4,0))</f>
        <v>ACT/365</v>
      </c>
      <c r="T49" s="53"/>
      <c r="V49" t="s">
        <v>450</v>
      </c>
      <c r="W49" t="str">
        <f>S8</f>
        <v>ZAR_SWAP_3M@326:6</v>
      </c>
      <c r="AB49" s="50"/>
      <c r="AC49" s="234" t="s">
        <v>771</v>
      </c>
      <c r="AD49" s="242" t="s">
        <v>973</v>
      </c>
      <c r="AE49" s="53"/>
      <c r="AG49" t="s">
        <v>450</v>
      </c>
      <c r="AH49" t="str">
        <f>AD8</f>
        <v>ZAR_BASIS_3M6M@328:6</v>
      </c>
      <c r="AM49" s="50"/>
      <c r="AN49" s="234" t="s">
        <v>771</v>
      </c>
      <c r="AO49" s="242" t="s">
        <v>792</v>
      </c>
      <c r="AP49" s="53"/>
      <c r="AX49" s="50"/>
      <c r="AY49" s="234" t="s">
        <v>771</v>
      </c>
      <c r="AZ49" s="248" t="s">
        <v>790</v>
      </c>
      <c r="BA49" s="249" t="s">
        <v>801</v>
      </c>
      <c r="BI49" s="50"/>
      <c r="BJ49" s="234" t="s">
        <v>771</v>
      </c>
      <c r="BK49" s="242" t="s">
        <v>971</v>
      </c>
      <c r="BL49" s="53"/>
      <c r="BN49" t="s">
        <v>450</v>
      </c>
      <c r="BO49" t="str">
        <f>BK8</f>
        <v>ZAR_XCCY@321:6</v>
      </c>
      <c r="BT49" s="50"/>
      <c r="BU49" s="55"/>
      <c r="BV49" s="55"/>
      <c r="BW49" s="55"/>
      <c r="BX49" s="332"/>
      <c r="BY49" s="323"/>
      <c r="BZ49" s="303"/>
      <c r="CA49" s="299"/>
      <c r="CB49" s="299"/>
      <c r="CD49" t="s">
        <v>450</v>
      </c>
      <c r="CE49" t="str">
        <f>CE8</f>
        <v>ZAR_EURCSA@325:6</v>
      </c>
      <c r="CJ49" t="s">
        <v>450</v>
      </c>
      <c r="CK49" t="str">
        <f>CK8</f>
        <v>ZAR_JPYCSA@322:6</v>
      </c>
      <c r="CM49" s="299"/>
      <c r="CN49" s="299"/>
      <c r="CO49" s="206"/>
      <c r="CP49" s="206"/>
      <c r="CQ49" s="206"/>
      <c r="CS49" s="200" t="str">
        <v/>
      </c>
      <c r="CT49" s="207" t="str">
        <v/>
      </c>
      <c r="CU49" s="207" t="str">
        <v/>
      </c>
      <c r="CV49" s="207" t="str">
        <v/>
      </c>
      <c r="CW49" s="207"/>
      <c r="CX49" s="207"/>
      <c r="DB49" s="466"/>
    </row>
    <row r="50" spans="6:106" x14ac:dyDescent="0.25">
      <c r="F50" s="50"/>
      <c r="G50" s="222" t="s">
        <v>705</v>
      </c>
      <c r="H50" s="223" t="str">
        <f>INDEX('STATIC DATA'!C55:AB55,1,MATCH(A1,'STATIC DATA'!C4:AB4,0))</f>
        <v>ACT/365</v>
      </c>
      <c r="I50" s="53"/>
      <c r="K50" t="s">
        <v>452</v>
      </c>
      <c r="L50" s="206" t="str">
        <f>$A$1&amp;"YC"</f>
        <v>ZARYC</v>
      </c>
      <c r="Q50" s="50"/>
      <c r="R50" s="222" t="s">
        <v>683</v>
      </c>
      <c r="S50" s="223" t="str">
        <f>INDEX('STATIC DATA'!C7:AB7,1,MATCH($A$1,'STATIC DATA'!C4:AB4,0))</f>
        <v>0D</v>
      </c>
      <c r="T50" s="53"/>
      <c r="V50" t="s">
        <v>452</v>
      </c>
      <c r="W50" t="str">
        <f>$A$1&amp;"YC"</f>
        <v>ZARYC</v>
      </c>
      <c r="AB50" s="50"/>
      <c r="AC50" s="234" t="s">
        <v>772</v>
      </c>
      <c r="AD50" s="242" t="s">
        <v>973</v>
      </c>
      <c r="AE50" s="53"/>
      <c r="AG50" t="s">
        <v>452</v>
      </c>
      <c r="AH50" t="str">
        <f>$A$1&amp;"YC"</f>
        <v>ZARYC</v>
      </c>
      <c r="AM50" s="50"/>
      <c r="AN50" s="234" t="s">
        <v>772</v>
      </c>
      <c r="AO50" s="242" t="s">
        <v>792</v>
      </c>
      <c r="AP50" s="53"/>
      <c r="AX50" s="50"/>
      <c r="AY50" s="234" t="s">
        <v>772</v>
      </c>
      <c r="AZ50" s="242" t="s">
        <v>790</v>
      </c>
      <c r="BA50" s="53"/>
      <c r="BI50" s="50"/>
      <c r="BJ50" s="245" t="s">
        <v>774</v>
      </c>
      <c r="BK50" s="244" t="s">
        <v>49</v>
      </c>
      <c r="BL50" s="53"/>
      <c r="BN50" t="s">
        <v>452</v>
      </c>
      <c r="BO50" t="str">
        <f>A1&amp;"YC"</f>
        <v>ZARYC</v>
      </c>
      <c r="BT50" s="50"/>
      <c r="BU50" s="55"/>
      <c r="BV50" s="55"/>
      <c r="BW50" s="55"/>
      <c r="BX50" s="332"/>
      <c r="BY50" s="308"/>
      <c r="BZ50" s="308"/>
      <c r="CA50" s="308"/>
      <c r="CB50" s="299"/>
      <c r="CD50" t="s">
        <v>452</v>
      </c>
      <c r="CE50" t="s">
        <v>992</v>
      </c>
      <c r="CJ50" t="s">
        <v>452</v>
      </c>
      <c r="CK50" t="s">
        <v>992</v>
      </c>
      <c r="CM50" s="299"/>
      <c r="CN50" s="299"/>
      <c r="CO50" s="206"/>
      <c r="CP50" s="206"/>
      <c r="CQ50" s="206"/>
      <c r="CS50" s="200" t="str">
        <v/>
      </c>
      <c r="CT50" s="207" t="str">
        <v/>
      </c>
      <c r="CU50" s="207" t="str">
        <v/>
      </c>
      <c r="CV50" s="207" t="str">
        <v/>
      </c>
      <c r="CW50" s="207"/>
      <c r="CX50" s="207"/>
      <c r="DB50" s="466"/>
    </row>
    <row r="51" spans="6:106" x14ac:dyDescent="0.25">
      <c r="F51" s="50"/>
      <c r="G51" s="222" t="s">
        <v>706</v>
      </c>
      <c r="H51" s="223" t="str">
        <f>IF(INDEX('STATIC DATA'!C56:AB56,1,MATCH(A1,'STATIC DATA'!C4:AB4,0))="1Y","ANNUAL",(IF(INDEX('STATIC DATA'!C56:AB56,1,MATCH(A1,'STATIC DATA'!C4:AB4,0))="6M","SEMI-ANNUAL", "QUARTERLY")))</f>
        <v>QUARTERLY</v>
      </c>
      <c r="I51" s="53"/>
      <c r="K51" t="s">
        <v>453</v>
      </c>
      <c r="L51" s="206"/>
      <c r="Q51" s="50"/>
      <c r="R51" s="222" t="s">
        <v>686</v>
      </c>
      <c r="S51" s="223" t="s">
        <v>687</v>
      </c>
      <c r="T51" s="53"/>
      <c r="V51" t="s">
        <v>453</v>
      </c>
      <c r="AB51" s="50"/>
      <c r="AC51" s="245" t="s">
        <v>774</v>
      </c>
      <c r="AD51" s="244" t="s">
        <v>49</v>
      </c>
      <c r="AE51" s="53"/>
      <c r="AG51" t="s">
        <v>453</v>
      </c>
      <c r="AM51" s="50"/>
      <c r="AN51" s="245" t="s">
        <v>774</v>
      </c>
      <c r="AO51" s="244" t="s">
        <v>49</v>
      </c>
      <c r="AP51" s="53"/>
      <c r="AX51" s="50"/>
      <c r="AY51" s="245" t="s">
        <v>774</v>
      </c>
      <c r="AZ51" s="244" t="s">
        <v>300</v>
      </c>
      <c r="BA51" s="53"/>
      <c r="BI51" s="50"/>
      <c r="BJ51" s="222" t="s">
        <v>775</v>
      </c>
      <c r="BK51" s="216" t="str">
        <f>INDEX('STATIC DATA'!C55:AB55,1,MATCH($A$1,'STATIC DATA'!C4:AB4,0))</f>
        <v>ACT/365</v>
      </c>
      <c r="BL51" s="53"/>
      <c r="BN51" t="s">
        <v>453</v>
      </c>
      <c r="BO51" t="s">
        <v>437</v>
      </c>
      <c r="BT51" s="50"/>
      <c r="BU51" s="55"/>
      <c r="BV51" s="55"/>
      <c r="BW51" s="55"/>
      <c r="BX51" s="332"/>
      <c r="BY51" s="276"/>
      <c r="BZ51" s="277"/>
      <c r="CA51" s="278"/>
      <c r="CB51" s="299"/>
      <c r="CD51" t="s">
        <v>453</v>
      </c>
      <c r="CE51" t="s">
        <v>929</v>
      </c>
      <c r="CJ51" t="s">
        <v>453</v>
      </c>
      <c r="CK51" t="s">
        <v>1131</v>
      </c>
      <c r="CM51" s="299"/>
      <c r="CN51" s="299"/>
      <c r="CO51" s="206"/>
      <c r="CP51" s="206"/>
      <c r="CQ51" s="206"/>
      <c r="CS51" s="200" t="str">
        <v/>
      </c>
      <c r="CT51" s="207" t="str">
        <v/>
      </c>
      <c r="CU51" s="207" t="str">
        <v/>
      </c>
      <c r="CV51" s="207" t="str">
        <v/>
      </c>
      <c r="CW51" s="207"/>
      <c r="CX51" s="207"/>
      <c r="DB51" s="466"/>
    </row>
    <row r="52" spans="6:106" x14ac:dyDescent="0.25">
      <c r="F52" s="50"/>
      <c r="G52" s="225" t="s">
        <v>707</v>
      </c>
      <c r="H52" s="226" t="s">
        <v>687</v>
      </c>
      <c r="I52" s="53"/>
      <c r="Q52" s="50"/>
      <c r="R52" s="233" t="s">
        <v>733</v>
      </c>
      <c r="S52" s="231">
        <v>0.03</v>
      </c>
      <c r="T52" s="53"/>
      <c r="AB52" s="50"/>
      <c r="AC52" s="222" t="s">
        <v>775</v>
      </c>
      <c r="AD52" s="216" t="str">
        <f>INDEX('STATIC DATA'!C55:AB55,1,MATCH($A$1,'STATIC DATA'!C4:AB4,0))</f>
        <v>ACT/365</v>
      </c>
      <c r="AE52" s="53"/>
      <c r="AM52" s="50"/>
      <c r="AN52" s="222" t="s">
        <v>775</v>
      </c>
      <c r="AO52" s="216" t="s">
        <v>48</v>
      </c>
      <c r="AP52" s="53"/>
      <c r="AX52" s="50"/>
      <c r="AY52" s="222" t="s">
        <v>775</v>
      </c>
      <c r="AZ52" s="216" t="str">
        <f>INDEX('STATIC DATA'!Y55:AY55,1,MATCH($A$1,'STATIC DATA'!Y4:AV4,0))</f>
        <v>ACT/365</v>
      </c>
      <c r="BA52" s="53"/>
      <c r="BI52" s="50"/>
      <c r="BJ52" s="222" t="s">
        <v>776</v>
      </c>
      <c r="BK52" s="216" t="str">
        <f>INDEX('STATIC DATA'!C39:AB39,1,MATCH($A$1,'STATIC DATA'!$C$4:$AB$4,0))</f>
        <v>JOB</v>
      </c>
      <c r="BL52" s="53"/>
      <c r="BT52" s="50"/>
      <c r="BU52" s="55"/>
      <c r="BV52" s="55"/>
      <c r="BW52" s="55"/>
      <c r="BX52" s="332"/>
      <c r="BY52" s="279"/>
      <c r="BZ52" s="280"/>
      <c r="CA52" s="281"/>
      <c r="CB52" s="299"/>
      <c r="CM52" s="299"/>
      <c r="CN52" s="299"/>
      <c r="CO52" s="206"/>
      <c r="CP52" s="206"/>
      <c r="CQ52" s="206"/>
      <c r="CS52" s="200" t="str">
        <v/>
      </c>
      <c r="CT52" s="207" t="str">
        <v/>
      </c>
      <c r="CU52" s="207" t="str">
        <v/>
      </c>
      <c r="CV52" s="207" t="str">
        <v/>
      </c>
      <c r="CW52" s="207"/>
      <c r="CX52" s="207"/>
      <c r="DB52" s="466"/>
    </row>
    <row r="53" spans="6:106" x14ac:dyDescent="0.25">
      <c r="F53" s="50"/>
      <c r="G53" s="52"/>
      <c r="H53" s="52"/>
      <c r="I53" s="53"/>
      <c r="K53" s="2" t="s">
        <v>454</v>
      </c>
      <c r="Q53" s="50"/>
      <c r="R53" s="222"/>
      <c r="S53" s="223"/>
      <c r="T53" s="53"/>
      <c r="V53" s="2" t="s">
        <v>454</v>
      </c>
      <c r="AB53" s="50"/>
      <c r="AC53" s="222" t="s">
        <v>776</v>
      </c>
      <c r="AD53" s="216" t="str">
        <f>INDEX('STATIC DATA'!C39:AB39,1,MATCH($A$1,'STATIC DATA'!$C$4:$AB$4,0))</f>
        <v>JOB</v>
      </c>
      <c r="AE53" s="53"/>
      <c r="AG53" s="2" t="s">
        <v>454</v>
      </c>
      <c r="AM53" s="50"/>
      <c r="AN53" s="222" t="s">
        <v>776</v>
      </c>
      <c r="AO53" s="216" t="s">
        <v>608</v>
      </c>
      <c r="AP53" s="53"/>
      <c r="AX53" s="50"/>
      <c r="AY53" s="222" t="s">
        <v>776</v>
      </c>
      <c r="AZ53" s="216" t="str">
        <f>INDEX('STATIC DATA'!C39:AB39,1,MATCH($A$1,'STATIC DATA'!$C$4:$AB$4,0))</f>
        <v>JOB</v>
      </c>
      <c r="BA53" s="53"/>
      <c r="BI53" s="50"/>
      <c r="BJ53" s="222" t="s">
        <v>777</v>
      </c>
      <c r="BK53" s="216" t="s">
        <v>458</v>
      </c>
      <c r="BL53" s="53"/>
      <c r="BN53" s="2" t="s">
        <v>454</v>
      </c>
      <c r="BT53" s="50"/>
      <c r="BU53" s="55"/>
      <c r="BV53" s="55"/>
      <c r="BW53" s="55"/>
      <c r="BX53" s="332"/>
      <c r="BY53" s="323" t="s">
        <v>829</v>
      </c>
      <c r="BZ53" s="299"/>
      <c r="CA53" s="283"/>
      <c r="CB53" s="299"/>
      <c r="CD53" s="2" t="s">
        <v>454</v>
      </c>
      <c r="CJ53" s="2" t="s">
        <v>454</v>
      </c>
      <c r="CM53" s="332"/>
      <c r="CN53" s="332"/>
      <c r="CO53" s="206"/>
      <c r="CP53" s="206"/>
      <c r="CQ53" s="206"/>
      <c r="CS53" s="200" t="str">
        <v/>
      </c>
      <c r="CT53" s="207" t="str">
        <v/>
      </c>
      <c r="CU53" s="207" t="str">
        <v/>
      </c>
      <c r="CV53" s="207" t="str">
        <v/>
      </c>
      <c r="CW53" s="207"/>
      <c r="CX53" s="207"/>
      <c r="DB53" s="466"/>
    </row>
    <row r="54" spans="6:106" x14ac:dyDescent="0.25">
      <c r="F54" s="50"/>
      <c r="G54" s="54" t="s">
        <v>428</v>
      </c>
      <c r="H54" s="227" t="s">
        <v>708</v>
      </c>
      <c r="I54" s="53"/>
      <c r="K54" t="s">
        <v>442</v>
      </c>
      <c r="L54" s="290" t="str">
        <f t="array" ref="L54:L57">_xll.meLWOCurveCalibrate(L48,L49,L45,L50)</f>
        <v>ZAR_OIS_CURVE@51:10</v>
      </c>
      <c r="Q54" s="50"/>
      <c r="R54" s="225"/>
      <c r="S54" s="226"/>
      <c r="T54" s="53"/>
      <c r="V54" t="s">
        <v>442</v>
      </c>
      <c r="W54" s="647" t="str">
        <f t="array" ref="W54:W57">IF(ExistsZAROIS,_xll.meLWOCurveCalibrate(W48,W49,W45,W50),"LOAD DEPENDENCY")</f>
        <v>ZAR_SWAP_3M_CURVE@442:10</v>
      </c>
      <c r="AB54" s="50"/>
      <c r="AC54" s="222" t="s">
        <v>777</v>
      </c>
      <c r="AD54" s="216" t="s">
        <v>721</v>
      </c>
      <c r="AE54" s="53"/>
      <c r="AG54" t="s">
        <v>442</v>
      </c>
      <c r="AH54" s="647" t="str">
        <f t="array" ref="AH54:AH57">IF(ExistsZAR3M,_xll.meLWOCurveCalibrate($AH$48,$AH$49,$AH$45,$AH$50),"LOAD DEPENDENCY")</f>
        <v>ZAR_BASIS_6M_CURVE@443:10</v>
      </c>
      <c r="AM54" s="50"/>
      <c r="AN54" s="222" t="s">
        <v>777</v>
      </c>
      <c r="AO54" s="216" t="s">
        <v>721</v>
      </c>
      <c r="AP54" s="53"/>
      <c r="AX54" s="50"/>
      <c r="AY54" s="222" t="s">
        <v>777</v>
      </c>
      <c r="AZ54" s="216" t="s">
        <v>721</v>
      </c>
      <c r="BA54" s="53"/>
      <c r="BI54" s="50"/>
      <c r="BJ54" s="222" t="s">
        <v>778</v>
      </c>
      <c r="BK54" s="216" t="str">
        <f>INDEX('STATIC DATA'!C40:AB40,1,MATCH($A$1,'STATIC DATA'!$C$4:$AB$4,0))</f>
        <v>JOB</v>
      </c>
      <c r="BL54" s="53"/>
      <c r="BN54" t="s">
        <v>442</v>
      </c>
      <c r="BO54" s="647" t="str">
        <f t="array" ref="BO54:BO57">IF(AND(ExistsZAR3M,ExistsUSD3M),_xll.meLWOCurveCalibrate($BO$48,$BO$49,$BO$45,$BO$50,$BO$51),"LOAD DEPENDENCY")</f>
        <v>ZAR_XCCYBASIS_CURVE@494:2</v>
      </c>
      <c r="BT54" s="50"/>
      <c r="BU54" s="55"/>
      <c r="BV54" s="55"/>
      <c r="BW54" s="55"/>
      <c r="BX54" s="332"/>
      <c r="BY54" s="270" t="s">
        <v>831</v>
      </c>
      <c r="BZ54" s="271" t="s">
        <v>976</v>
      </c>
      <c r="CA54" s="283"/>
      <c r="CB54" s="299"/>
      <c r="CD54" t="s">
        <v>442</v>
      </c>
      <c r="CE54" s="647" t="str">
        <f t="array" ref="CE54:CE57">IF(AND(ExistsZARXCCY,ExistsEURXCCY),_xll.meLWOCurveCalibrate(CE48,CE49,CE45,CE50,CE51),"LOAD DEPENDENCY")</f>
        <v>ZAR_EURCSA_CURVE@517:2</v>
      </c>
      <c r="CJ54" t="s">
        <v>442</v>
      </c>
      <c r="CK54" s="647" t="str">
        <f t="array" ref="CK54:CK57">IF(AND(ExistsZARXCCY,ExistsJPYXCCY),_xll.meLWOCurveCalibrate(CK48,CK49,CK45,CK50,CK51),"LOAD DEPENDENCY")</f>
        <v>ZAR_JPYCSA_CURVE@521:2</v>
      </c>
      <c r="CM54" s="332"/>
      <c r="CN54" s="332"/>
      <c r="CO54" s="206"/>
      <c r="CP54" s="206"/>
      <c r="CQ54" s="206"/>
      <c r="CS54" s="200" t="str">
        <v/>
      </c>
      <c r="CT54" s="207" t="str">
        <v/>
      </c>
      <c r="CU54" s="207" t="str">
        <v/>
      </c>
      <c r="CV54" s="207" t="str">
        <v/>
      </c>
      <c r="CW54" s="207"/>
      <c r="CX54" s="207"/>
      <c r="DB54" s="466"/>
    </row>
    <row r="55" spans="6:106" x14ac:dyDescent="0.25">
      <c r="F55" s="50"/>
      <c r="G55" s="220" t="s">
        <v>677</v>
      </c>
      <c r="H55" s="221" t="str">
        <f>INDEX('STATIC DATA'!C43:AB43,1,MATCH(A1,'STATIC DATA'!$C$4:$AB$4,0))</f>
        <v>JOB</v>
      </c>
      <c r="I55" s="53"/>
      <c r="K55" t="s">
        <v>455</v>
      </c>
      <c r="L55" t="str">
        <v>ZARYC</v>
      </c>
      <c r="Q55" s="50"/>
      <c r="R55" s="52" t="s">
        <v>713</v>
      </c>
      <c r="S55" s="52" t="s">
        <v>713</v>
      </c>
      <c r="T55" s="53"/>
      <c r="V55" t="s">
        <v>455</v>
      </c>
      <c r="W55" s="206" t="str">
        <v>ZARYC</v>
      </c>
      <c r="AB55" s="50"/>
      <c r="AC55" s="222" t="s">
        <v>778</v>
      </c>
      <c r="AD55" s="216" t="str">
        <f>INDEX('STATIC DATA'!C39:AB39,1,MATCH($A$1,'STATIC DATA'!$C$4:$AB$4,0))</f>
        <v>JOB</v>
      </c>
      <c r="AE55" s="53"/>
      <c r="AG55" t="s">
        <v>455</v>
      </c>
      <c r="AH55" t="str">
        <v>ZARYC</v>
      </c>
      <c r="AM55" s="50"/>
      <c r="AN55" s="222" t="s">
        <v>778</v>
      </c>
      <c r="AO55" s="216" t="s">
        <v>608</v>
      </c>
      <c r="AP55" s="53"/>
      <c r="AX55" s="50"/>
      <c r="AY55" s="222" t="s">
        <v>778</v>
      </c>
      <c r="AZ55" s="216" t="str">
        <f>INDEX('STATIC DATA'!C39:AB39,1,MATCH($A$1,'STATIC DATA'!$C$4:$AB$4,0))</f>
        <v>JOB</v>
      </c>
      <c r="BA55" s="53"/>
      <c r="BI55" s="50"/>
      <c r="BJ55" s="222" t="s">
        <v>779</v>
      </c>
      <c r="BK55" s="216" t="s">
        <v>5</v>
      </c>
      <c r="BL55" s="53"/>
      <c r="BN55" t="s">
        <v>455</v>
      </c>
      <c r="BO55" t="str">
        <v>ZARYC</v>
      </c>
      <c r="BT55" s="50"/>
      <c r="BU55" s="55"/>
      <c r="BV55" s="55"/>
      <c r="BW55" s="55"/>
      <c r="BX55" s="332"/>
      <c r="BZ55" s="263" t="str">
        <f>_xll.meLWOFXCurveCreate(BZ54,BV8,BZ45)</f>
        <v>FX_CURVE_USDZAR@299:10</v>
      </c>
      <c r="CA55" s="283"/>
      <c r="CB55" s="299"/>
      <c r="CD55" t="s">
        <v>455</v>
      </c>
      <c r="CE55" t="str">
        <v>ZARYC</v>
      </c>
      <c r="CJ55" t="s">
        <v>455</v>
      </c>
      <c r="CK55" t="str">
        <v>ZARYC</v>
      </c>
      <c r="CM55" s="332"/>
      <c r="CN55" s="332"/>
      <c r="CO55" s="206"/>
      <c r="CP55" s="206"/>
      <c r="CQ55" s="206"/>
      <c r="CS55" s="200" t="str">
        <v/>
      </c>
      <c r="CT55" s="207" t="str">
        <v/>
      </c>
      <c r="CU55" s="207" t="str">
        <v/>
      </c>
      <c r="CV55" s="207" t="str">
        <v/>
      </c>
      <c r="CW55" s="207"/>
      <c r="CX55" s="207"/>
      <c r="DB55" s="466"/>
    </row>
    <row r="56" spans="6:106" x14ac:dyDescent="0.25">
      <c r="F56" s="50"/>
      <c r="G56" s="222" t="s">
        <v>709</v>
      </c>
      <c r="H56" s="223" t="str">
        <f>INDEX('STATIC DATA'!C53:AB53,1,MATCH(A1,'STATIC DATA'!C4:AB4,0))</f>
        <v>ACT/365</v>
      </c>
      <c r="I56" s="53"/>
      <c r="K56" t="s">
        <v>456</v>
      </c>
      <c r="L56" t="str">
        <v>OIS:ZAROIS</v>
      </c>
      <c r="Q56" s="50"/>
      <c r="R56" s="54" t="s">
        <v>428</v>
      </c>
      <c r="S56" s="52" t="s">
        <v>713</v>
      </c>
      <c r="T56" s="53"/>
      <c r="V56" t="s">
        <v>456</v>
      </c>
      <c r="W56" s="206" t="str">
        <v>STD:JIB3M</v>
      </c>
      <c r="AB56" s="50"/>
      <c r="AC56" s="222" t="s">
        <v>779</v>
      </c>
      <c r="AD56" s="216">
        <v>0</v>
      </c>
      <c r="AE56" s="53"/>
      <c r="AG56" t="s">
        <v>456</v>
      </c>
      <c r="AH56" t="str">
        <v>3M6MBasis:JIB6M</v>
      </c>
      <c r="AM56" s="50"/>
      <c r="AN56" s="222" t="s">
        <v>779</v>
      </c>
      <c r="AO56" s="216">
        <v>0</v>
      </c>
      <c r="AP56" s="53"/>
      <c r="AX56" s="50"/>
      <c r="AY56" s="222" t="s">
        <v>779</v>
      </c>
      <c r="AZ56" s="216">
        <v>0</v>
      </c>
      <c r="BA56" s="53"/>
      <c r="BI56" s="50"/>
      <c r="BJ56" s="222" t="s">
        <v>780</v>
      </c>
      <c r="BK56" s="216" t="s">
        <v>687</v>
      </c>
      <c r="BL56" s="53"/>
      <c r="BN56" t="s">
        <v>456</v>
      </c>
      <c r="BO56" t="str">
        <v>XccyBasis:ZARDF_USDCSA</v>
      </c>
      <c r="BT56" s="50"/>
      <c r="BU56" s="55"/>
      <c r="BV56" s="55"/>
      <c r="BW56" s="55"/>
      <c r="BX56" s="332"/>
      <c r="BY56" s="279"/>
      <c r="BZ56" s="282"/>
      <c r="CA56" s="283"/>
      <c r="CB56" s="299"/>
      <c r="CD56" t="s">
        <v>456</v>
      </c>
      <c r="CE56" t="str">
        <v>FwdFXConstEUR:ZARDF_EURCSA</v>
      </c>
      <c r="CJ56" t="s">
        <v>456</v>
      </c>
      <c r="CK56" t="str">
        <v>FwdFXConstJPY:ZARDF_JPYCSA</v>
      </c>
      <c r="CM56" s="332"/>
      <c r="CN56" s="332"/>
      <c r="CO56" s="206"/>
      <c r="CP56" s="206"/>
      <c r="CQ56" s="206"/>
      <c r="CS56" s="200" t="str">
        <v/>
      </c>
      <c r="CT56" s="207" t="str">
        <v/>
      </c>
      <c r="CU56" s="207" t="str">
        <v/>
      </c>
      <c r="CV56" s="207" t="str">
        <v/>
      </c>
      <c r="CW56" s="207"/>
      <c r="CX56" s="207"/>
      <c r="DB56" s="466"/>
    </row>
    <row r="57" spans="6:106" x14ac:dyDescent="0.25">
      <c r="F57" s="50"/>
      <c r="G57" s="222" t="s">
        <v>710</v>
      </c>
      <c r="H57" s="223" t="str">
        <f>IF(INDEX('STATIC DATA'!C54:AB54,1,MATCH(A1,'STATIC DATA'!C4:AB4,0))="1Y","ANNUAL",(IF(INDEX('STATIC DATA'!C54:AB54,1,MATCH(A1,'STATIC DATA'!C4:AB4,0))="6M","SEMI-ANNUAL", "QUARTERLY")))</f>
        <v>QUARTERLY</v>
      </c>
      <c r="I57" s="53"/>
      <c r="K57" t="s">
        <v>664</v>
      </c>
      <c r="L57" t="str">
        <v>0.058000 sec</v>
      </c>
      <c r="Q57" s="50"/>
      <c r="R57" s="220" t="s">
        <v>704</v>
      </c>
      <c r="S57" s="221" t="str">
        <f>INDEX('STATIC DATA'!C43:AB43,1,MATCH($A$1,'STATIC DATA'!$C$4:$AB$4,0))</f>
        <v>JOB</v>
      </c>
      <c r="T57" s="53"/>
      <c r="V57" t="s">
        <v>664</v>
      </c>
      <c r="W57" s="206" t="str">
        <v>0.007000 sec</v>
      </c>
      <c r="AB57" s="50"/>
      <c r="AC57" s="222" t="s">
        <v>780</v>
      </c>
      <c r="AD57" s="216" t="s">
        <v>687</v>
      </c>
      <c r="AE57" s="53"/>
      <c r="AG57" t="s">
        <v>664</v>
      </c>
      <c r="AH57" t="str">
        <v>0.010000 sec</v>
      </c>
      <c r="AM57" s="50"/>
      <c r="AN57" s="222" t="s">
        <v>780</v>
      </c>
      <c r="AO57" s="216" t="s">
        <v>687</v>
      </c>
      <c r="AP57" s="53"/>
      <c r="AX57" s="50"/>
      <c r="AY57" s="222" t="s">
        <v>780</v>
      </c>
      <c r="AZ57" s="216" t="s">
        <v>687</v>
      </c>
      <c r="BA57" s="53"/>
      <c r="BI57" s="50"/>
      <c r="BJ57" s="233" t="s">
        <v>781</v>
      </c>
      <c r="BK57" s="241" t="s">
        <v>810</v>
      </c>
      <c r="BL57" s="53"/>
      <c r="BN57" t="s">
        <v>664</v>
      </c>
      <c r="BO57" t="str">
        <v>0.024000 sec</v>
      </c>
      <c r="BT57" s="50"/>
      <c r="BU57" s="55"/>
      <c r="BV57" s="55"/>
      <c r="BW57" s="55"/>
      <c r="BX57" s="332"/>
      <c r="BY57" s="279"/>
      <c r="BZ57" s="282"/>
      <c r="CA57" s="283"/>
      <c r="CB57" s="299"/>
      <c r="CD57" t="s">
        <v>664</v>
      </c>
      <c r="CE57" t="str">
        <v>0.001000 sec</v>
      </c>
      <c r="CJ57" t="s">
        <v>664</v>
      </c>
      <c r="CK57" t="str">
        <v>0.001000 sec</v>
      </c>
      <c r="CM57" s="332"/>
      <c r="CN57" s="332"/>
      <c r="CO57" s="206"/>
      <c r="CP57" s="206"/>
      <c r="CQ57" s="206"/>
      <c r="CS57" s="200" t="str">
        <v/>
      </c>
      <c r="CT57" s="207" t="str">
        <v/>
      </c>
      <c r="CU57" s="207" t="str">
        <v/>
      </c>
      <c r="CV57" s="207" t="str">
        <v/>
      </c>
    </row>
    <row r="58" spans="6:106" x14ac:dyDescent="0.25">
      <c r="F58" s="50"/>
      <c r="G58" s="225" t="s">
        <v>686</v>
      </c>
      <c r="H58" s="226" t="s">
        <v>687</v>
      </c>
      <c r="I58" s="53"/>
      <c r="Q58" s="50"/>
      <c r="R58" s="222" t="s">
        <v>731</v>
      </c>
      <c r="S58" s="223" t="str">
        <f>INDEX('STATIC DATA'!C53:AB53,1,MATCH(A1,'STATIC DATA'!C4:AB4,0))</f>
        <v>ACT/365</v>
      </c>
      <c r="T58" s="53"/>
      <c r="AB58" s="50"/>
      <c r="AC58" s="233" t="s">
        <v>781</v>
      </c>
      <c r="AD58" s="241" t="s">
        <v>782</v>
      </c>
      <c r="AE58" s="53"/>
      <c r="AM58" s="50"/>
      <c r="AN58" s="233" t="s">
        <v>781</v>
      </c>
      <c r="AO58" s="241" t="s">
        <v>782</v>
      </c>
      <c r="AP58" s="53"/>
      <c r="AX58" s="50"/>
      <c r="AY58" s="233" t="s">
        <v>781</v>
      </c>
      <c r="AZ58" s="241" t="s">
        <v>791</v>
      </c>
      <c r="BA58" s="53"/>
      <c r="BI58" s="50"/>
      <c r="BJ58" s="222" t="s">
        <v>811</v>
      </c>
      <c r="BK58" s="216" t="b">
        <v>0</v>
      </c>
      <c r="BL58" s="53"/>
      <c r="BT58" s="50"/>
      <c r="BU58" s="55"/>
      <c r="BV58" s="55"/>
      <c r="BW58" s="55"/>
      <c r="BX58" s="332"/>
      <c r="BY58" s="279"/>
      <c r="BZ58" s="282"/>
      <c r="CA58" s="283"/>
      <c r="CB58" s="299"/>
      <c r="CM58" s="332"/>
      <c r="CN58" s="332"/>
      <c r="CO58" s="206"/>
      <c r="CP58" s="206"/>
      <c r="CQ58" s="206"/>
      <c r="CS58" s="200" t="str">
        <v/>
      </c>
      <c r="CT58" s="207" t="str">
        <v/>
      </c>
      <c r="CU58" s="207" t="str">
        <v/>
      </c>
      <c r="CV58" s="207" t="str">
        <v/>
      </c>
    </row>
    <row r="59" spans="6:106" x14ac:dyDescent="0.25">
      <c r="F59" s="50"/>
      <c r="G59" s="52"/>
      <c r="H59" s="52"/>
      <c r="I59" s="53"/>
      <c r="Q59" s="50"/>
      <c r="R59" s="222" t="s">
        <v>734</v>
      </c>
      <c r="S59" s="223" t="str">
        <f>INDEX('STATIC DATA'!C55:AB55,1,MATCH(A1,'STATIC DATA'!C4:AB4,0))</f>
        <v>ACT/365</v>
      </c>
      <c r="T59" s="53"/>
      <c r="AB59" s="50"/>
      <c r="AC59" s="222" t="s">
        <v>783</v>
      </c>
      <c r="AD59" s="216" t="s">
        <v>718</v>
      </c>
      <c r="AE59" s="53"/>
      <c r="AM59" s="50"/>
      <c r="AN59" s="222" t="s">
        <v>783</v>
      </c>
      <c r="AO59" s="216" t="s">
        <v>718</v>
      </c>
      <c r="AP59" s="53"/>
      <c r="AX59" s="50"/>
      <c r="AY59" s="222" t="s">
        <v>783</v>
      </c>
      <c r="AZ59" s="216" t="s">
        <v>718</v>
      </c>
      <c r="BA59" s="53"/>
      <c r="BI59" s="50"/>
      <c r="BJ59" s="222" t="s">
        <v>812</v>
      </c>
      <c r="BK59" s="216" t="b">
        <v>1</v>
      </c>
      <c r="BL59" s="53"/>
      <c r="BT59" s="50"/>
      <c r="BU59" s="55"/>
      <c r="BV59" s="55"/>
      <c r="BW59" s="55"/>
      <c r="BX59" s="332"/>
      <c r="BY59" s="279"/>
      <c r="BZ59" s="282"/>
      <c r="CA59" s="283"/>
      <c r="CB59" s="299"/>
      <c r="CM59" s="332"/>
      <c r="CN59" s="332"/>
      <c r="CO59" s="206"/>
      <c r="CP59" s="206"/>
      <c r="CQ59" s="206"/>
      <c r="CS59" s="200" t="str">
        <v/>
      </c>
      <c r="CT59" s="207" t="str">
        <v/>
      </c>
      <c r="CU59" s="207" t="str">
        <v/>
      </c>
      <c r="CV59" s="207" t="str">
        <v/>
      </c>
    </row>
    <row r="60" spans="6:106" x14ac:dyDescent="0.25">
      <c r="F60" s="50"/>
      <c r="G60" s="52"/>
      <c r="H60" s="52"/>
      <c r="I60" s="53"/>
      <c r="Q60" s="50"/>
      <c r="R60" s="222" t="s">
        <v>706</v>
      </c>
      <c r="S60" s="223" t="str">
        <f>IF(INDEX('STATIC DATA'!C54:AB54,1,MATCH(A1,'STATIC DATA'!C4:AB4,0))="1Y","ANNUAL",(IF(INDEX('STATIC DATA'!C54:AB54,1,MATCH(A1,'STATIC DATA'!C4:AB4,0))="6M","SEMI-ANNUAL", "QUARTERLY")))</f>
        <v>QUARTERLY</v>
      </c>
      <c r="T60" s="53"/>
      <c r="AB60" s="50"/>
      <c r="AC60" s="222" t="s">
        <v>784</v>
      </c>
      <c r="AD60" s="216" t="s">
        <v>675</v>
      </c>
      <c r="AE60" s="53"/>
      <c r="AM60" s="50"/>
      <c r="AN60" s="222" t="s">
        <v>784</v>
      </c>
      <c r="AO60" s="216" t="s">
        <v>675</v>
      </c>
      <c r="AP60" s="53"/>
      <c r="AX60" s="50"/>
      <c r="AY60" s="222" t="s">
        <v>784</v>
      </c>
      <c r="AZ60" s="216" t="s">
        <v>675</v>
      </c>
      <c r="BA60" s="53"/>
      <c r="BI60" s="50"/>
      <c r="BJ60" s="222" t="s">
        <v>688</v>
      </c>
      <c r="BK60" s="216">
        <v>31</v>
      </c>
      <c r="BL60" s="53"/>
      <c r="BT60" s="50"/>
      <c r="BU60" s="55"/>
      <c r="BV60" s="55"/>
      <c r="BW60" s="55"/>
      <c r="BX60" s="332"/>
      <c r="BY60" s="279"/>
      <c r="BZ60" s="282"/>
      <c r="CA60" s="283"/>
      <c r="CB60" s="299"/>
      <c r="CM60" s="332"/>
      <c r="CN60" s="332"/>
      <c r="CO60" s="206"/>
      <c r="CP60" s="206"/>
      <c r="CQ60" s="206"/>
      <c r="CS60" s="200" t="str">
        <v/>
      </c>
      <c r="CT60" s="207" t="str">
        <v/>
      </c>
      <c r="CU60" s="207" t="str">
        <v/>
      </c>
      <c r="CV60" s="207" t="str">
        <v/>
      </c>
    </row>
    <row r="61" spans="6:106" x14ac:dyDescent="0.25">
      <c r="F61" s="50"/>
      <c r="G61" s="52"/>
      <c r="H61" s="52"/>
      <c r="I61" s="53"/>
      <c r="Q61" s="50"/>
      <c r="R61" s="222" t="s">
        <v>735</v>
      </c>
      <c r="S61" s="223" t="str">
        <f>IF(INDEX('STATIC DATA'!C56:AB56,1,MATCH(A1,'STATIC DATA'!C4:AB4,0))="1Y","ANNUAL",(IF(INDEX('STATIC DATA'!C56:AB56,1,MATCH(A1,'STATIC DATA'!C4:AB4,0))="6M","SEMI-ANNUAL", "QUARTERLY")))</f>
        <v>QUARTERLY</v>
      </c>
      <c r="T61" s="53"/>
      <c r="AB61" s="50"/>
      <c r="AC61" s="222" t="s">
        <v>785</v>
      </c>
      <c r="AD61" s="216" t="s">
        <v>718</v>
      </c>
      <c r="AE61" s="53"/>
      <c r="AM61" s="50"/>
      <c r="AN61" s="222" t="s">
        <v>785</v>
      </c>
      <c r="AO61" s="216" t="s">
        <v>718</v>
      </c>
      <c r="AP61" s="53"/>
      <c r="AX61" s="50"/>
      <c r="AY61" s="222" t="s">
        <v>785</v>
      </c>
      <c r="AZ61" s="216" t="s">
        <v>718</v>
      </c>
      <c r="BA61" s="53"/>
      <c r="BI61" s="50"/>
      <c r="BJ61" s="222" t="s">
        <v>689</v>
      </c>
      <c r="BK61" s="216" t="b">
        <v>1</v>
      </c>
      <c r="BL61" s="53"/>
      <c r="BT61" s="50"/>
      <c r="BU61" s="55"/>
      <c r="BV61" s="55"/>
      <c r="BW61" s="55"/>
      <c r="BX61" s="332"/>
      <c r="BY61" s="279"/>
      <c r="BZ61" s="282"/>
      <c r="CA61" s="283"/>
      <c r="CB61" s="299"/>
      <c r="CM61" s="299"/>
      <c r="CN61" s="299"/>
      <c r="CO61" s="206"/>
      <c r="CP61" s="206"/>
      <c r="CQ61" s="206"/>
      <c r="CS61" s="200" t="str">
        <v/>
      </c>
      <c r="CT61" s="207" t="str">
        <v/>
      </c>
      <c r="CU61" s="207" t="str">
        <v/>
      </c>
      <c r="CV61" s="207" t="str">
        <v/>
      </c>
    </row>
    <row r="62" spans="6:106" x14ac:dyDescent="0.25">
      <c r="F62" s="50"/>
      <c r="G62" s="52"/>
      <c r="H62" s="52"/>
      <c r="I62" s="53"/>
      <c r="Q62" s="50"/>
      <c r="R62" s="222" t="s">
        <v>736</v>
      </c>
      <c r="S62" s="223" t="s">
        <v>718</v>
      </c>
      <c r="T62" s="53"/>
      <c r="AB62" s="50"/>
      <c r="AC62" s="233" t="s">
        <v>786</v>
      </c>
      <c r="AD62" s="246" t="s">
        <v>46</v>
      </c>
      <c r="AE62" s="53"/>
      <c r="AM62" s="50"/>
      <c r="AN62" s="233" t="s">
        <v>786</v>
      </c>
      <c r="AO62" s="246" t="s">
        <v>322</v>
      </c>
      <c r="AP62" s="53"/>
      <c r="AX62" s="50"/>
      <c r="AY62" s="233" t="s">
        <v>786</v>
      </c>
      <c r="AZ62" s="246" t="s">
        <v>300</v>
      </c>
      <c r="BA62" s="53"/>
      <c r="BI62" s="50"/>
      <c r="BJ62" s="222" t="s">
        <v>740</v>
      </c>
      <c r="BK62" s="216" t="b">
        <v>1</v>
      </c>
      <c r="BL62" s="53"/>
      <c r="BT62" s="50"/>
      <c r="BU62" s="55"/>
      <c r="BV62" s="55"/>
      <c r="BW62" s="55"/>
      <c r="BX62" s="332"/>
      <c r="BY62" s="279"/>
      <c r="BZ62" s="282"/>
      <c r="CA62" s="283"/>
      <c r="CB62" s="299"/>
      <c r="CM62" s="299"/>
      <c r="CN62" s="299"/>
      <c r="CO62" s="206"/>
      <c r="CP62" s="206"/>
      <c r="CQ62" s="206"/>
      <c r="CS62" s="200" t="str">
        <v/>
      </c>
      <c r="CT62" s="207" t="str">
        <v/>
      </c>
      <c r="CU62" s="207" t="str">
        <v/>
      </c>
      <c r="CV62" s="207" t="str">
        <v/>
      </c>
    </row>
    <row r="63" spans="6:106" x14ac:dyDescent="0.25">
      <c r="F63" s="50"/>
      <c r="G63" s="52"/>
      <c r="H63" s="52"/>
      <c r="I63" s="53"/>
      <c r="Q63" s="50"/>
      <c r="R63" s="222" t="s">
        <v>737</v>
      </c>
      <c r="S63" s="223">
        <v>31</v>
      </c>
      <c r="T63" s="53"/>
      <c r="AB63" s="50"/>
      <c r="AC63" s="222" t="s">
        <v>787</v>
      </c>
      <c r="AD63" s="216" t="s">
        <v>720</v>
      </c>
      <c r="AE63" s="53"/>
      <c r="AM63" s="50"/>
      <c r="AN63" s="222" t="s">
        <v>787</v>
      </c>
      <c r="AO63" s="216" t="s">
        <v>720</v>
      </c>
      <c r="AP63" s="53"/>
      <c r="AX63" s="50"/>
      <c r="AY63" s="222" t="s">
        <v>787</v>
      </c>
      <c r="AZ63" s="216" t="s">
        <v>720</v>
      </c>
      <c r="BA63" s="53"/>
      <c r="BI63" s="50"/>
      <c r="BJ63" s="222" t="s">
        <v>813</v>
      </c>
      <c r="BK63" s="216" t="b">
        <v>0</v>
      </c>
      <c r="BL63" s="53"/>
      <c r="BT63" s="50"/>
      <c r="BU63" s="55"/>
      <c r="BV63" s="55"/>
      <c r="BW63" s="55"/>
      <c r="BX63" s="332"/>
      <c r="BY63" s="279"/>
      <c r="BZ63" s="282"/>
      <c r="CA63" s="283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06"/>
      <c r="CP63" s="206"/>
      <c r="CQ63" s="206"/>
      <c r="CS63" s="200" t="str">
        <v/>
      </c>
      <c r="CT63" s="207" t="str">
        <v/>
      </c>
      <c r="CU63" s="207" t="str">
        <v/>
      </c>
      <c r="CV63" s="207" t="str">
        <v/>
      </c>
    </row>
    <row r="64" spans="6:106" x14ac:dyDescent="0.25">
      <c r="F64" s="50"/>
      <c r="G64" s="52"/>
      <c r="H64" s="52"/>
      <c r="I64" s="53"/>
      <c r="Q64" s="50"/>
      <c r="R64" s="222" t="s">
        <v>738</v>
      </c>
      <c r="S64" s="223" t="s">
        <v>718</v>
      </c>
      <c r="T64" s="53"/>
      <c r="AB64" s="50"/>
      <c r="AC64" s="225" t="s">
        <v>697</v>
      </c>
      <c r="AD64" s="240">
        <v>1.0000000000000003E-9</v>
      </c>
      <c r="AE64" s="53"/>
      <c r="AM64" s="50"/>
      <c r="AN64" s="225" t="s">
        <v>697</v>
      </c>
      <c r="AO64" s="240">
        <v>1.0000000000000003E-9</v>
      </c>
      <c r="AP64" s="53"/>
      <c r="AX64" s="50"/>
      <c r="AY64" s="225" t="s">
        <v>697</v>
      </c>
      <c r="AZ64" s="240">
        <v>1.0000000000000003E-9</v>
      </c>
      <c r="BA64" s="53"/>
      <c r="BI64" s="50"/>
      <c r="BJ64" s="233" t="s">
        <v>786</v>
      </c>
      <c r="BK64" s="246" t="s">
        <v>49</v>
      </c>
      <c r="BL64" s="53"/>
      <c r="BT64" s="50"/>
      <c r="BU64" s="55"/>
      <c r="BV64" s="55"/>
      <c r="BW64" s="55"/>
      <c r="BX64" s="332"/>
      <c r="BY64" s="279"/>
      <c r="BZ64" s="282"/>
      <c r="CA64" s="283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  <c r="CO64" s="206"/>
      <c r="CP64" s="206"/>
      <c r="CQ64" s="206"/>
      <c r="CS64" s="200" t="str">
        <v/>
      </c>
      <c r="CT64" s="207" t="str">
        <v/>
      </c>
      <c r="CU64" s="207" t="str">
        <v/>
      </c>
      <c r="CV64" s="207" t="str">
        <v/>
      </c>
    </row>
    <row r="65" spans="6:100" x14ac:dyDescent="0.25">
      <c r="F65" s="50"/>
      <c r="G65" s="52"/>
      <c r="H65" s="52"/>
      <c r="I65" s="53"/>
      <c r="Q65" s="50"/>
      <c r="R65" s="222" t="s">
        <v>739</v>
      </c>
      <c r="S65" s="223" t="s">
        <v>97</v>
      </c>
      <c r="T65" s="53"/>
      <c r="AB65" s="50"/>
      <c r="AC65" s="225" t="s">
        <v>698</v>
      </c>
      <c r="AD65" s="219">
        <v>1000</v>
      </c>
      <c r="AE65" s="53"/>
      <c r="AM65" s="50"/>
      <c r="AN65" s="225" t="s">
        <v>698</v>
      </c>
      <c r="AO65" s="219">
        <v>1000</v>
      </c>
      <c r="AP65" s="53"/>
      <c r="AX65" s="50"/>
      <c r="AY65" s="225" t="s">
        <v>698</v>
      </c>
      <c r="AZ65" s="219">
        <v>1000</v>
      </c>
      <c r="BA65" s="53"/>
      <c r="BI65" s="50"/>
      <c r="BJ65" s="252"/>
      <c r="BK65" s="253"/>
      <c r="BL65" s="53"/>
      <c r="BT65" s="50"/>
      <c r="BU65" s="55"/>
      <c r="BV65" s="55"/>
      <c r="BW65" s="55"/>
      <c r="BX65" s="332"/>
      <c r="BY65" s="279"/>
      <c r="BZ65" s="282"/>
      <c r="CA65" s="283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06"/>
      <c r="CP65" s="206"/>
      <c r="CQ65" s="206"/>
      <c r="CS65" s="200" t="str">
        <v/>
      </c>
      <c r="CT65" s="207" t="str">
        <v/>
      </c>
      <c r="CU65" s="207" t="str">
        <v/>
      </c>
      <c r="CV65" s="207" t="str">
        <v/>
      </c>
    </row>
    <row r="66" spans="6:100" x14ac:dyDescent="0.25">
      <c r="F66" s="50"/>
      <c r="G66" s="52"/>
      <c r="H66" s="52"/>
      <c r="I66" s="53"/>
      <c r="Q66" s="50"/>
      <c r="R66" s="222" t="s">
        <v>707</v>
      </c>
      <c r="S66" s="223" t="s">
        <v>687</v>
      </c>
      <c r="T66" s="53"/>
      <c r="AB66" s="50"/>
      <c r="AC66" s="225" t="s">
        <v>788</v>
      </c>
      <c r="AD66" s="219" t="b">
        <v>1</v>
      </c>
      <c r="AE66" s="53"/>
      <c r="AM66" s="50"/>
      <c r="AN66" s="225" t="s">
        <v>788</v>
      </c>
      <c r="AO66" s="219" t="s">
        <v>720</v>
      </c>
      <c r="AP66" s="53"/>
      <c r="AX66" s="50"/>
      <c r="AY66" s="225" t="s">
        <v>788</v>
      </c>
      <c r="AZ66" s="219" t="s">
        <v>720</v>
      </c>
      <c r="BA66" s="53"/>
      <c r="BI66" s="50"/>
      <c r="BJ66" s="250"/>
      <c r="BK66" s="254"/>
      <c r="BL66" s="53"/>
      <c r="BT66" s="50"/>
      <c r="BU66" s="52"/>
      <c r="BV66" s="52"/>
      <c r="BW66" s="52"/>
      <c r="BX66" s="299"/>
      <c r="BY66" s="279"/>
      <c r="BZ66" s="282"/>
      <c r="CA66" s="283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06"/>
      <c r="CP66" s="206"/>
      <c r="CQ66" s="206"/>
      <c r="CS66" s="200" t="str">
        <v/>
      </c>
      <c r="CT66" s="207" t="str">
        <v/>
      </c>
      <c r="CU66" s="207" t="str">
        <v/>
      </c>
      <c r="CV66" s="207" t="str">
        <v/>
      </c>
    </row>
    <row r="67" spans="6:100" x14ac:dyDescent="0.25">
      <c r="F67" s="50"/>
      <c r="G67" s="52"/>
      <c r="H67" s="52"/>
      <c r="I67" s="53"/>
      <c r="Q67" s="50"/>
      <c r="R67" s="222" t="s">
        <v>740</v>
      </c>
      <c r="S67" s="223" t="s">
        <v>718</v>
      </c>
      <c r="T67" s="53"/>
      <c r="AB67" s="50"/>
      <c r="AC67" s="225" t="s">
        <v>789</v>
      </c>
      <c r="AD67" s="219" t="s">
        <v>718</v>
      </c>
      <c r="AE67" s="53"/>
      <c r="AM67" s="50"/>
      <c r="AN67" s="225" t="s">
        <v>789</v>
      </c>
      <c r="AO67" s="219" t="s">
        <v>718</v>
      </c>
      <c r="AP67" s="53"/>
      <c r="AX67" s="50"/>
      <c r="AY67" s="225" t="s">
        <v>789</v>
      </c>
      <c r="AZ67" s="219" t="s">
        <v>718</v>
      </c>
      <c r="BA67" s="53"/>
      <c r="BI67" s="50"/>
      <c r="BJ67" s="255" t="s">
        <v>814</v>
      </c>
      <c r="BK67" s="256"/>
      <c r="BL67" s="53"/>
      <c r="BT67" s="50"/>
      <c r="BU67" s="52"/>
      <c r="BV67" s="52"/>
      <c r="BW67" s="52"/>
      <c r="BX67" s="299"/>
      <c r="BY67" s="279"/>
      <c r="BZ67" s="282"/>
      <c r="CA67" s="283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  <c r="CO67" s="206"/>
      <c r="CP67" s="206"/>
      <c r="CQ67" s="206"/>
      <c r="CS67" s="200" t="str">
        <v/>
      </c>
      <c r="CT67" s="207" t="str">
        <v/>
      </c>
      <c r="CU67" s="207" t="str">
        <v/>
      </c>
      <c r="CV67" s="207" t="str">
        <v/>
      </c>
    </row>
    <row r="68" spans="6:100" x14ac:dyDescent="0.25">
      <c r="F68" s="50"/>
      <c r="G68" s="52"/>
      <c r="H68" s="52"/>
      <c r="I68" s="53"/>
      <c r="Q68" s="50"/>
      <c r="R68" s="222" t="s">
        <v>697</v>
      </c>
      <c r="S68" s="224">
        <v>1.0000000000000001E-9</v>
      </c>
      <c r="T68" s="53"/>
      <c r="AB68" s="50"/>
      <c r="AC68" s="225" t="s">
        <v>688</v>
      </c>
      <c r="AD68" s="219">
        <v>31</v>
      </c>
      <c r="AE68" s="53"/>
      <c r="AM68" s="50"/>
      <c r="AN68" s="225" t="s">
        <v>688</v>
      </c>
      <c r="AO68" s="219">
        <v>31</v>
      </c>
      <c r="AP68" s="53"/>
      <c r="AX68" s="50"/>
      <c r="AY68" s="225" t="s">
        <v>688</v>
      </c>
      <c r="AZ68" s="219">
        <v>31</v>
      </c>
      <c r="BA68" s="53"/>
      <c r="BI68" s="50"/>
      <c r="BJ68" s="225" t="s">
        <v>677</v>
      </c>
      <c r="BK68" s="240" t="s">
        <v>815</v>
      </c>
      <c r="BL68" s="53"/>
      <c r="BT68" s="50"/>
      <c r="BU68" s="52"/>
      <c r="BV68" s="52"/>
      <c r="BW68" s="52"/>
      <c r="BX68" s="299"/>
      <c r="BY68" s="279"/>
      <c r="BZ68" s="282"/>
      <c r="CA68" s="283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  <c r="CO68" s="206"/>
      <c r="CP68" s="206"/>
      <c r="CQ68" s="206"/>
      <c r="CR68" s="206"/>
      <c r="CS68" s="200" t="str">
        <v/>
      </c>
      <c r="CT68" s="207" t="str">
        <v/>
      </c>
      <c r="CU68" s="207" t="str">
        <v/>
      </c>
      <c r="CV68" s="207" t="str">
        <v/>
      </c>
    </row>
    <row r="69" spans="6:100" x14ac:dyDescent="0.25">
      <c r="F69" s="50"/>
      <c r="G69" s="52"/>
      <c r="H69" s="52"/>
      <c r="I69" s="53"/>
      <c r="Q69" s="50"/>
      <c r="R69" s="222" t="s">
        <v>698</v>
      </c>
      <c r="S69" s="223">
        <v>1000</v>
      </c>
      <c r="T69" s="53"/>
      <c r="AB69" s="50"/>
      <c r="AC69" s="85"/>
      <c r="AD69" s="85"/>
      <c r="AE69" s="53"/>
      <c r="AM69" s="50"/>
      <c r="AN69" s="85"/>
      <c r="AO69" s="85"/>
      <c r="AP69" s="53"/>
      <c r="AX69" s="50"/>
      <c r="AY69" s="85"/>
      <c r="AZ69" s="85"/>
      <c r="BA69" s="53"/>
      <c r="BI69" s="50"/>
      <c r="BJ69" s="225" t="s">
        <v>683</v>
      </c>
      <c r="BK69" s="257" t="s">
        <v>5</v>
      </c>
      <c r="BL69" s="53"/>
      <c r="BT69" s="50"/>
      <c r="BU69" s="52"/>
      <c r="BV69" s="52"/>
      <c r="BW69" s="52"/>
      <c r="BX69" s="299"/>
      <c r="BY69" s="279"/>
      <c r="BZ69" s="282"/>
      <c r="CA69" s="283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  <c r="CO69" s="206"/>
      <c r="CP69" s="206"/>
      <c r="CQ69" s="206"/>
      <c r="CR69" s="206"/>
      <c r="CS69" s="200" t="str">
        <v/>
      </c>
      <c r="CT69" s="207" t="str">
        <v/>
      </c>
      <c r="CU69" s="207" t="str">
        <v/>
      </c>
      <c r="CV69" s="207" t="str">
        <v/>
      </c>
    </row>
    <row r="70" spans="6:100" x14ac:dyDescent="0.25">
      <c r="F70" s="50"/>
      <c r="G70" s="52"/>
      <c r="H70" s="52"/>
      <c r="I70" s="53"/>
      <c r="Q70" s="50"/>
      <c r="R70" s="225"/>
      <c r="S70" s="226"/>
      <c r="T70" s="53"/>
      <c r="AB70" s="50"/>
      <c r="AC70" s="85"/>
      <c r="AD70" s="85"/>
      <c r="AE70" s="53"/>
      <c r="AM70" s="50"/>
      <c r="AN70" s="85"/>
      <c r="AO70" s="85"/>
      <c r="AP70" s="53"/>
      <c r="AX70" s="50"/>
      <c r="AY70" s="85"/>
      <c r="AZ70" s="85"/>
      <c r="BA70" s="53"/>
      <c r="BI70" s="50"/>
      <c r="BJ70" s="225" t="s">
        <v>686</v>
      </c>
      <c r="BK70" s="240" t="s">
        <v>1189</v>
      </c>
      <c r="BL70" s="53"/>
      <c r="BT70" s="50"/>
      <c r="BU70" s="52"/>
      <c r="BV70" s="52"/>
      <c r="BW70" s="52"/>
      <c r="BX70" s="299"/>
      <c r="BY70" s="279"/>
      <c r="BZ70" s="282"/>
      <c r="CA70" s="283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  <c r="CO70" s="206"/>
      <c r="CP70" s="206"/>
      <c r="CQ70" s="206"/>
      <c r="CR70" s="206"/>
      <c r="CS70" s="200" t="str">
        <v/>
      </c>
      <c r="CT70" s="207" t="str">
        <v/>
      </c>
      <c r="CU70" s="207" t="str">
        <v/>
      </c>
      <c r="CV70" s="207" t="str">
        <v/>
      </c>
    </row>
    <row r="71" spans="6:100" x14ac:dyDescent="0.25">
      <c r="F71" s="50"/>
      <c r="G71" s="52"/>
      <c r="H71" s="52"/>
      <c r="I71" s="53"/>
      <c r="Q71" s="50"/>
      <c r="R71" s="52"/>
      <c r="S71" s="52"/>
      <c r="T71" s="53"/>
      <c r="AB71" s="50"/>
      <c r="AC71" s="85"/>
      <c r="AD71" s="85"/>
      <c r="AE71" s="53"/>
      <c r="AM71" s="50"/>
      <c r="AN71" s="85"/>
      <c r="AO71" s="85"/>
      <c r="AP71" s="53"/>
      <c r="AX71" s="50"/>
      <c r="AY71" s="85"/>
      <c r="AZ71" s="85"/>
      <c r="BA71" s="53"/>
      <c r="BI71" s="50"/>
      <c r="BJ71" s="225" t="s">
        <v>689</v>
      </c>
      <c r="BK71" s="240" t="b">
        <v>1</v>
      </c>
      <c r="BL71" s="53"/>
      <c r="BT71" s="50"/>
      <c r="BU71" s="52"/>
      <c r="BV71" s="52"/>
      <c r="BW71" s="52"/>
      <c r="BX71" s="299"/>
      <c r="BY71" s="279"/>
      <c r="BZ71" s="282"/>
      <c r="CA71" s="283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  <c r="CO71" s="206"/>
      <c r="CP71" s="206"/>
      <c r="CQ71" s="206"/>
      <c r="CR71" s="206"/>
      <c r="CS71" s="200" t="str">
        <v/>
      </c>
      <c r="CT71" s="207" t="str">
        <v/>
      </c>
      <c r="CU71" s="207" t="str">
        <v/>
      </c>
      <c r="CV71" s="207" t="str">
        <v/>
      </c>
    </row>
    <row r="72" spans="6:100" x14ac:dyDescent="0.25">
      <c r="F72" s="50"/>
      <c r="G72" s="52"/>
      <c r="H72" s="52"/>
      <c r="I72" s="53"/>
      <c r="Q72" s="50"/>
      <c r="R72" s="52"/>
      <c r="S72" s="52"/>
      <c r="T72" s="53"/>
      <c r="AB72" s="50"/>
      <c r="AC72" s="85"/>
      <c r="AD72" s="85"/>
      <c r="AE72" s="53"/>
      <c r="AM72" s="50"/>
      <c r="AN72" s="85"/>
      <c r="AO72" s="85"/>
      <c r="AP72" s="53"/>
      <c r="AX72" s="50"/>
      <c r="AY72" s="85"/>
      <c r="AZ72" s="85"/>
      <c r="BA72" s="53"/>
      <c r="BI72" s="50"/>
      <c r="BJ72" s="225" t="s">
        <v>688</v>
      </c>
      <c r="BK72" s="257">
        <v>31</v>
      </c>
      <c r="BL72" s="53"/>
      <c r="BT72" s="50"/>
      <c r="BU72" s="52"/>
      <c r="BV72" s="52"/>
      <c r="BW72" s="52"/>
      <c r="BX72" s="299"/>
      <c r="BY72" s="279"/>
      <c r="BZ72" s="282"/>
      <c r="CA72" s="283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  <c r="CO72" s="206"/>
      <c r="CP72" s="206"/>
      <c r="CQ72" s="206"/>
      <c r="CR72" s="206"/>
      <c r="CS72" s="200" t="str">
        <v/>
      </c>
      <c r="CT72" s="207" t="str">
        <v/>
      </c>
      <c r="CU72" s="207" t="str">
        <v/>
      </c>
      <c r="CV72" s="207" t="str">
        <v/>
      </c>
    </row>
    <row r="73" spans="6:100" x14ac:dyDescent="0.25">
      <c r="F73" s="50"/>
      <c r="G73" s="52"/>
      <c r="H73" s="52"/>
      <c r="I73" s="53"/>
      <c r="Q73" s="50"/>
      <c r="R73" s="52"/>
      <c r="S73" s="52"/>
      <c r="T73" s="53"/>
      <c r="AB73" s="50"/>
      <c r="AC73" s="85"/>
      <c r="AD73" s="85"/>
      <c r="AE73" s="53"/>
      <c r="AM73" s="50"/>
      <c r="AN73" s="85"/>
      <c r="AO73" s="85"/>
      <c r="AP73" s="53"/>
      <c r="AX73" s="50"/>
      <c r="AY73" s="85"/>
      <c r="AZ73" s="85"/>
      <c r="BA73" s="53"/>
      <c r="BI73" s="50"/>
      <c r="BJ73" s="234" t="s">
        <v>817</v>
      </c>
      <c r="BK73" s="258">
        <f>IF(INDEX('STATIC DATA'!C49:AB49,1,MATCH($A$1,'STATIC DATA'!C4:AB4,0))=4,10000,IF(INDEX('STATIC DATA'!C49:AB49,1,MATCH($A$1,'STATIC DATA'!C4:AB4,0))=3,1000,100))</f>
        <v>10000</v>
      </c>
      <c r="BL73" s="53"/>
      <c r="BT73" s="50"/>
      <c r="BU73" s="52"/>
      <c r="BV73" s="52"/>
      <c r="BW73" s="52"/>
      <c r="BX73" s="299"/>
      <c r="BY73" s="279"/>
      <c r="BZ73" s="282"/>
      <c r="CA73" s="283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  <c r="CO73" s="206"/>
      <c r="CP73" s="206"/>
      <c r="CQ73" s="206"/>
      <c r="CR73" s="206"/>
      <c r="CS73" s="200" t="str">
        <v/>
      </c>
      <c r="CT73" s="207" t="str">
        <v/>
      </c>
      <c r="CU73" s="207" t="str">
        <v/>
      </c>
      <c r="CV73" s="207" t="str">
        <v/>
      </c>
    </row>
    <row r="74" spans="6:100" x14ac:dyDescent="0.25">
      <c r="F74" s="50"/>
      <c r="G74" s="52"/>
      <c r="H74" s="52"/>
      <c r="I74" s="53"/>
      <c r="Q74" s="50"/>
      <c r="R74" s="52"/>
      <c r="S74" s="52"/>
      <c r="T74" s="53"/>
      <c r="AB74" s="50"/>
      <c r="AC74" s="85"/>
      <c r="AD74" s="85"/>
      <c r="AE74" s="53"/>
      <c r="AM74" s="50"/>
      <c r="AN74" s="85"/>
      <c r="AO74" s="85"/>
      <c r="AP74" s="53"/>
      <c r="AX74" s="50"/>
      <c r="AY74" s="85"/>
      <c r="AZ74" s="85"/>
      <c r="BA74" s="53"/>
      <c r="BI74" s="50"/>
      <c r="BJ74" s="234" t="s">
        <v>818</v>
      </c>
      <c r="BK74" s="259" t="b">
        <v>1</v>
      </c>
      <c r="BL74" s="53"/>
      <c r="BT74" s="50"/>
      <c r="BU74" s="52"/>
      <c r="BV74" s="52"/>
      <c r="BW74" s="52"/>
      <c r="BX74" s="299"/>
      <c r="BY74" s="279"/>
      <c r="BZ74" s="282"/>
      <c r="CA74" s="283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  <c r="CO74" s="206"/>
      <c r="CP74" s="206"/>
      <c r="CQ74" s="206"/>
      <c r="CR74" s="206"/>
      <c r="CS74" s="200" t="str">
        <v/>
      </c>
      <c r="CT74" s="207" t="str">
        <v/>
      </c>
      <c r="CU74" s="207" t="str">
        <v/>
      </c>
      <c r="CV74" s="207" t="str">
        <v/>
      </c>
    </row>
    <row r="75" spans="6:100" x14ac:dyDescent="0.25">
      <c r="F75" s="50"/>
      <c r="G75" s="52"/>
      <c r="H75" s="52"/>
      <c r="I75" s="53"/>
      <c r="Q75" s="50"/>
      <c r="R75" s="52"/>
      <c r="S75" s="52"/>
      <c r="T75" s="53"/>
      <c r="AB75" s="50"/>
      <c r="AC75" s="85"/>
      <c r="AD75" s="85"/>
      <c r="AE75" s="53"/>
      <c r="AM75" s="50"/>
      <c r="AN75" s="85"/>
      <c r="AO75" s="85"/>
      <c r="AP75" s="53"/>
      <c r="AX75" s="50"/>
      <c r="AY75" s="85"/>
      <c r="AZ75" s="85"/>
      <c r="BA75" s="53"/>
      <c r="BI75" s="50"/>
      <c r="BJ75" s="225" t="s">
        <v>679</v>
      </c>
      <c r="BK75" s="240" t="s">
        <v>729</v>
      </c>
      <c r="BL75" s="53"/>
      <c r="BT75" s="50"/>
      <c r="BU75" s="52"/>
      <c r="BV75" s="52"/>
      <c r="BW75" s="52"/>
      <c r="BX75" s="299"/>
      <c r="BY75" s="264"/>
      <c r="BZ75" s="265"/>
      <c r="CA75" s="266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  <c r="CO75" s="206"/>
      <c r="CP75" s="206"/>
      <c r="CQ75" s="206"/>
      <c r="CR75" s="206"/>
      <c r="CS75" s="200" t="str">
        <v/>
      </c>
      <c r="CT75" s="207" t="str">
        <v/>
      </c>
      <c r="CU75" s="207" t="str">
        <v/>
      </c>
      <c r="CV75" s="207" t="str">
        <v/>
      </c>
    </row>
    <row r="76" spans="6:100" x14ac:dyDescent="0.25">
      <c r="F76" s="50"/>
      <c r="G76" s="52"/>
      <c r="H76" s="52"/>
      <c r="I76" s="53"/>
      <c r="Q76" s="50"/>
      <c r="R76" s="52"/>
      <c r="S76" s="52"/>
      <c r="T76" s="53"/>
      <c r="AB76" s="50"/>
      <c r="AC76" s="85"/>
      <c r="AD76" s="85"/>
      <c r="AE76" s="53"/>
      <c r="AM76" s="50"/>
      <c r="AN76" s="85"/>
      <c r="AO76" s="85"/>
      <c r="AP76" s="53"/>
      <c r="AX76" s="50"/>
      <c r="AY76" s="85"/>
      <c r="AZ76" s="85"/>
      <c r="BA76" s="53"/>
      <c r="BI76" s="50"/>
      <c r="BJ76" s="234" t="s">
        <v>819</v>
      </c>
      <c r="BK76" s="259" t="b">
        <v>0</v>
      </c>
      <c r="BL76" s="53"/>
      <c r="BT76" s="50"/>
      <c r="BU76" s="52"/>
      <c r="BV76" s="52"/>
      <c r="BW76" s="52"/>
      <c r="BX76" s="299"/>
      <c r="BY76" s="267"/>
      <c r="BZ76" s="268"/>
      <c r="CA76" s="26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06"/>
      <c r="CP76" s="206"/>
      <c r="CQ76" s="206"/>
      <c r="CR76" s="206"/>
      <c r="CS76" s="200" t="str">
        <v/>
      </c>
      <c r="CT76" s="207" t="str">
        <v/>
      </c>
      <c r="CU76" s="207" t="str">
        <v/>
      </c>
      <c r="CV76" s="207" t="str">
        <v/>
      </c>
    </row>
    <row r="77" spans="6:100" x14ac:dyDescent="0.25">
      <c r="F77" s="50"/>
      <c r="G77" s="52"/>
      <c r="H77" s="52"/>
      <c r="I77" s="53"/>
      <c r="Q77" s="50"/>
      <c r="R77" s="52"/>
      <c r="S77" s="52"/>
      <c r="T77" s="53"/>
      <c r="AB77" s="50"/>
      <c r="AC77" s="85"/>
      <c r="AD77" s="85"/>
      <c r="AE77" s="53"/>
      <c r="AM77" s="50"/>
      <c r="AN77" s="85"/>
      <c r="AO77" s="85"/>
      <c r="AP77" s="53"/>
      <c r="AX77" s="50"/>
      <c r="AY77" s="85"/>
      <c r="AZ77" s="85"/>
      <c r="BA77" s="53"/>
      <c r="BI77" s="50"/>
      <c r="BJ77" s="85"/>
      <c r="BK77" s="85"/>
      <c r="BL77" s="53"/>
      <c r="BT77" s="50"/>
      <c r="BU77" s="52"/>
      <c r="BV77" s="52"/>
      <c r="BW77" s="52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  <c r="CO77" s="206"/>
      <c r="CP77" s="206"/>
      <c r="CQ77" s="206"/>
      <c r="CR77" s="206"/>
      <c r="CS77" s="200" t="str">
        <v/>
      </c>
      <c r="CT77" s="207" t="str">
        <v/>
      </c>
      <c r="CU77" s="207" t="str">
        <v/>
      </c>
      <c r="CV77" s="207" t="str">
        <v/>
      </c>
    </row>
    <row r="78" spans="6:100" x14ac:dyDescent="0.25">
      <c r="F78" s="50"/>
      <c r="G78" s="52"/>
      <c r="H78" s="52"/>
      <c r="I78" s="53"/>
      <c r="Q78" s="50"/>
      <c r="R78" s="52"/>
      <c r="S78" s="52"/>
      <c r="T78" s="53"/>
      <c r="AB78" s="50"/>
      <c r="AC78" s="85"/>
      <c r="AD78" s="85"/>
      <c r="AE78" s="53"/>
      <c r="AM78" s="50"/>
      <c r="AN78" s="85"/>
      <c r="AO78" s="85"/>
      <c r="AP78" s="53"/>
      <c r="AX78" s="50"/>
      <c r="AY78" s="85"/>
      <c r="AZ78" s="85"/>
      <c r="BA78" s="53"/>
      <c r="BI78" s="50"/>
      <c r="BJ78" s="85"/>
      <c r="BK78" s="85"/>
      <c r="BL78" s="53"/>
      <c r="BT78" s="50"/>
      <c r="BU78" s="52"/>
      <c r="BV78" s="52"/>
      <c r="BW78" s="52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  <c r="CO78" s="206"/>
      <c r="CP78" s="206"/>
      <c r="CQ78" s="206"/>
      <c r="CR78" s="206"/>
      <c r="CS78" s="200" t="str">
        <v/>
      </c>
      <c r="CT78" s="207" t="str">
        <v/>
      </c>
      <c r="CU78" s="207" t="str">
        <v/>
      </c>
      <c r="CV78" s="207" t="str">
        <v/>
      </c>
    </row>
    <row r="79" spans="6:100" x14ac:dyDescent="0.25">
      <c r="F79" s="50"/>
      <c r="G79" s="52"/>
      <c r="H79" s="52"/>
      <c r="I79" s="53"/>
      <c r="Q79" s="50"/>
      <c r="R79" s="52"/>
      <c r="S79" s="52"/>
      <c r="T79" s="53"/>
      <c r="AB79" s="50"/>
      <c r="AC79" s="85"/>
      <c r="AD79" s="85"/>
      <c r="AE79" s="53"/>
      <c r="AM79" s="50"/>
      <c r="AN79" s="85"/>
      <c r="AO79" s="85"/>
      <c r="AP79" s="53"/>
      <c r="AX79" s="50"/>
      <c r="AY79" s="85"/>
      <c r="AZ79" s="85"/>
      <c r="BA79" s="53"/>
      <c r="BI79" s="50"/>
      <c r="BJ79" s="251"/>
      <c r="BK79" s="112"/>
      <c r="BL79" s="53"/>
      <c r="BT79" s="50"/>
      <c r="BU79" s="52"/>
      <c r="BV79" s="52"/>
      <c r="BW79" s="52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06"/>
      <c r="CP79" s="206"/>
      <c r="CQ79" s="206"/>
      <c r="CR79" s="206"/>
      <c r="CS79" s="200" t="str">
        <v/>
      </c>
      <c r="CT79" s="207" t="str">
        <v/>
      </c>
      <c r="CU79" s="207" t="str">
        <v/>
      </c>
      <c r="CV79" s="207" t="str">
        <v/>
      </c>
    </row>
    <row r="80" spans="6:100" x14ac:dyDescent="0.25">
      <c r="F80" s="50"/>
      <c r="G80" s="52"/>
      <c r="H80" s="52"/>
      <c r="I80" s="53"/>
      <c r="Q80" s="50"/>
      <c r="R80" s="52"/>
      <c r="S80" s="52"/>
      <c r="T80" s="53"/>
      <c r="AB80" s="50"/>
      <c r="AC80" s="85"/>
      <c r="AD80" s="85"/>
      <c r="AE80" s="53"/>
      <c r="AM80" s="50"/>
      <c r="AN80" s="85"/>
      <c r="AO80" s="85"/>
      <c r="AP80" s="53"/>
      <c r="AX80" s="50"/>
      <c r="AY80" s="85"/>
      <c r="AZ80" s="85"/>
      <c r="BA80" s="53"/>
      <c r="BI80" s="50"/>
      <c r="BJ80" s="251"/>
      <c r="BK80" s="112"/>
      <c r="BL80" s="53"/>
      <c r="BT80" s="50"/>
      <c r="BU80" s="52"/>
      <c r="BV80" s="52"/>
      <c r="BW80" s="52"/>
      <c r="BX80" s="299"/>
      <c r="BY80" s="332"/>
      <c r="BZ80" s="332"/>
      <c r="CA80" s="332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06"/>
      <c r="CP80" s="206"/>
      <c r="CQ80" s="206"/>
      <c r="CR80" s="206"/>
      <c r="CS80" s="200" t="str">
        <v/>
      </c>
      <c r="CT80" s="207" t="str">
        <v/>
      </c>
      <c r="CU80" s="207" t="str">
        <v/>
      </c>
      <c r="CV80" s="207" t="str">
        <v/>
      </c>
    </row>
    <row r="81" spans="6:100" x14ac:dyDescent="0.25">
      <c r="F81" s="50"/>
      <c r="G81" s="52"/>
      <c r="H81" s="52"/>
      <c r="I81" s="53"/>
      <c r="Q81" s="50"/>
      <c r="R81" s="52"/>
      <c r="S81" s="52"/>
      <c r="T81" s="53"/>
      <c r="AB81" s="50"/>
      <c r="AC81" s="85"/>
      <c r="AD81" s="85"/>
      <c r="AE81" s="53"/>
      <c r="AM81" s="50"/>
      <c r="AN81" s="85"/>
      <c r="AO81" s="85"/>
      <c r="AP81" s="53"/>
      <c r="AX81" s="50"/>
      <c r="AY81" s="85"/>
      <c r="AZ81" s="85"/>
      <c r="BA81" s="53"/>
      <c r="BI81" s="50"/>
      <c r="BJ81" s="251"/>
      <c r="BK81" s="112"/>
      <c r="BL81" s="53"/>
      <c r="BT81" s="50"/>
      <c r="BU81" s="52"/>
      <c r="BV81" s="52"/>
      <c r="BW81" s="52"/>
      <c r="BX81" s="299"/>
      <c r="BY81" s="332"/>
      <c r="BZ81" s="332"/>
      <c r="CA81" s="332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  <c r="CO81" s="206"/>
      <c r="CP81" s="206"/>
      <c r="CQ81" s="206"/>
      <c r="CR81" s="206"/>
      <c r="CS81" s="200" t="str">
        <v/>
      </c>
      <c r="CT81" s="207" t="str">
        <v/>
      </c>
      <c r="CU81" s="207" t="str">
        <v/>
      </c>
      <c r="CV81" s="207" t="str">
        <v/>
      </c>
    </row>
    <row r="82" spans="6:100" x14ac:dyDescent="0.25">
      <c r="F82" s="50"/>
      <c r="G82" s="52"/>
      <c r="H82" s="52"/>
      <c r="I82" s="53"/>
      <c r="Q82" s="50"/>
      <c r="R82" s="52"/>
      <c r="S82" s="52"/>
      <c r="T82" s="53"/>
      <c r="AB82" s="50"/>
      <c r="AC82" s="85"/>
      <c r="AD82" s="85"/>
      <c r="AE82" s="53"/>
      <c r="AM82" s="50"/>
      <c r="AN82" s="85"/>
      <c r="AO82" s="85"/>
      <c r="AP82" s="53"/>
      <c r="AX82" s="50"/>
      <c r="AY82" s="85"/>
      <c r="AZ82" s="85"/>
      <c r="BA82" s="53"/>
      <c r="BI82" s="50"/>
      <c r="BJ82" s="251"/>
      <c r="BK82" s="112"/>
      <c r="BL82" s="53"/>
      <c r="BT82" s="50"/>
      <c r="BU82" s="52"/>
      <c r="BV82" s="52"/>
      <c r="BW82" s="52"/>
      <c r="BX82" s="299"/>
      <c r="BY82" s="332"/>
      <c r="BZ82" s="332"/>
      <c r="CA82" s="332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  <c r="CO82" s="206"/>
      <c r="CP82" s="206"/>
      <c r="CQ82" s="206"/>
      <c r="CR82" s="206"/>
      <c r="CS82" s="200" t="str">
        <v/>
      </c>
      <c r="CT82" s="207" t="str">
        <v/>
      </c>
      <c r="CU82" s="207" t="str">
        <v/>
      </c>
      <c r="CV82" s="207" t="str">
        <v/>
      </c>
    </row>
    <row r="83" spans="6:100" x14ac:dyDescent="0.25">
      <c r="F83" s="50"/>
      <c r="G83" s="52"/>
      <c r="H83" s="52"/>
      <c r="I83" s="53"/>
      <c r="Q83" s="50"/>
      <c r="R83" s="52"/>
      <c r="S83" s="52"/>
      <c r="T83" s="53"/>
      <c r="AB83" s="50"/>
      <c r="AC83" s="85"/>
      <c r="AD83" s="85"/>
      <c r="AE83" s="53"/>
      <c r="AM83" s="50"/>
      <c r="AN83" s="85"/>
      <c r="AO83" s="85"/>
      <c r="AP83" s="53"/>
      <c r="AX83" s="50"/>
      <c r="AY83" s="85"/>
      <c r="AZ83" s="85"/>
      <c r="BA83" s="53"/>
      <c r="BI83" s="50"/>
      <c r="BJ83" s="251"/>
      <c r="BK83" s="112"/>
      <c r="BL83" s="53"/>
      <c r="BT83" s="50"/>
      <c r="BU83" s="52"/>
      <c r="BV83" s="52"/>
      <c r="BW83" s="52"/>
      <c r="BX83" s="299"/>
      <c r="BY83" s="332"/>
      <c r="BZ83" s="332"/>
      <c r="CA83" s="332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  <c r="CO83" s="206"/>
      <c r="CP83" s="206"/>
      <c r="CQ83" s="206"/>
      <c r="CR83" s="206"/>
      <c r="CS83" s="200" t="str">
        <v/>
      </c>
      <c r="CT83" s="207" t="str">
        <v/>
      </c>
      <c r="CU83" s="207" t="str">
        <v/>
      </c>
      <c r="CV83" s="207" t="str">
        <v/>
      </c>
    </row>
    <row r="84" spans="6:100" x14ac:dyDescent="0.25">
      <c r="F84" s="50"/>
      <c r="G84" s="52"/>
      <c r="H84" s="52"/>
      <c r="I84" s="53"/>
      <c r="Q84" s="50"/>
      <c r="R84" s="52"/>
      <c r="S84" s="52"/>
      <c r="T84" s="53"/>
      <c r="AB84" s="50"/>
      <c r="AC84" s="85"/>
      <c r="AD84" s="85"/>
      <c r="AE84" s="53"/>
      <c r="AM84" s="50"/>
      <c r="AN84" s="85"/>
      <c r="AO84" s="85"/>
      <c r="AP84" s="53"/>
      <c r="AX84" s="50"/>
      <c r="AY84" s="85"/>
      <c r="AZ84" s="85"/>
      <c r="BA84" s="53"/>
      <c r="BI84" s="50"/>
      <c r="BJ84" s="251"/>
      <c r="BK84" s="112"/>
      <c r="BL84" s="53"/>
      <c r="BT84" s="50"/>
      <c r="BU84" s="52"/>
      <c r="BV84" s="52"/>
      <c r="BW84" s="52"/>
      <c r="BX84" s="299"/>
      <c r="BY84" s="332"/>
      <c r="BZ84" s="332"/>
      <c r="CA84" s="332"/>
      <c r="CB84" s="332"/>
      <c r="CC84" s="332"/>
      <c r="CD84" s="332"/>
      <c r="CE84" s="332"/>
      <c r="CF84" s="299"/>
      <c r="CG84" s="299"/>
      <c r="CH84" s="299"/>
      <c r="CI84" s="299"/>
      <c r="CJ84" s="299"/>
      <c r="CK84" s="299"/>
      <c r="CL84" s="299"/>
      <c r="CM84" s="299"/>
      <c r="CN84" s="299"/>
      <c r="CO84" s="206"/>
      <c r="CP84" s="206"/>
      <c r="CQ84" s="206"/>
      <c r="CR84" s="206"/>
      <c r="CS84" s="200" t="str">
        <v/>
      </c>
      <c r="CT84" s="207" t="str">
        <v/>
      </c>
      <c r="CU84" s="207" t="str">
        <v/>
      </c>
      <c r="CV84" s="207" t="str">
        <v/>
      </c>
    </row>
    <row r="85" spans="6:100" x14ac:dyDescent="0.25">
      <c r="F85" s="50"/>
      <c r="G85" s="52"/>
      <c r="H85" s="52"/>
      <c r="I85" s="53"/>
      <c r="Q85" s="50"/>
      <c r="R85" s="52"/>
      <c r="S85" s="52"/>
      <c r="T85" s="53"/>
      <c r="AB85" s="50"/>
      <c r="AC85" s="85"/>
      <c r="AD85" s="85"/>
      <c r="AE85" s="53"/>
      <c r="AM85" s="50"/>
      <c r="AN85" s="85"/>
      <c r="AO85" s="85"/>
      <c r="AP85" s="53"/>
      <c r="AX85" s="50"/>
      <c r="AY85" s="85"/>
      <c r="AZ85" s="85"/>
      <c r="BA85" s="53"/>
      <c r="BI85" s="50"/>
      <c r="BJ85" s="251"/>
      <c r="BK85" s="112"/>
      <c r="BL85" s="53"/>
      <c r="BT85" s="50"/>
      <c r="BU85" s="52"/>
      <c r="BV85" s="52"/>
      <c r="BW85" s="52"/>
      <c r="BX85" s="299"/>
      <c r="BY85" s="332"/>
      <c r="BZ85" s="332"/>
      <c r="CA85" s="332"/>
      <c r="CB85" s="332"/>
      <c r="CC85" s="332"/>
      <c r="CD85" s="332"/>
      <c r="CE85" s="332"/>
      <c r="CF85" s="299"/>
      <c r="CG85" s="299"/>
      <c r="CH85" s="299"/>
      <c r="CI85" s="299"/>
      <c r="CJ85" s="299"/>
      <c r="CK85" s="299"/>
      <c r="CL85" s="299"/>
      <c r="CM85" s="299"/>
      <c r="CN85" s="299"/>
      <c r="CO85" s="206"/>
      <c r="CP85" s="206"/>
      <c r="CQ85" s="206"/>
      <c r="CR85" s="206"/>
      <c r="CS85" s="200" t="str">
        <v/>
      </c>
      <c r="CT85" s="207" t="str">
        <v/>
      </c>
      <c r="CU85" s="207" t="str">
        <v/>
      </c>
      <c r="CV85" s="207" t="str">
        <v/>
      </c>
    </row>
    <row r="86" spans="6:100" x14ac:dyDescent="0.25">
      <c r="F86" s="50"/>
      <c r="G86" s="52"/>
      <c r="H86" s="52"/>
      <c r="I86" s="53"/>
      <c r="Q86" s="50"/>
      <c r="R86" s="52"/>
      <c r="S86" s="52"/>
      <c r="T86" s="53"/>
      <c r="AB86" s="50"/>
      <c r="AC86" s="85"/>
      <c r="AD86" s="85"/>
      <c r="AE86" s="53"/>
      <c r="AM86" s="50"/>
      <c r="AN86" s="85"/>
      <c r="AO86" s="85"/>
      <c r="AP86" s="53"/>
      <c r="AX86" s="50"/>
      <c r="AY86" s="85"/>
      <c r="AZ86" s="85"/>
      <c r="BA86" s="53"/>
      <c r="BI86" s="50"/>
      <c r="BJ86" s="251"/>
      <c r="BK86" s="112"/>
      <c r="BL86" s="53"/>
      <c r="BT86" s="50"/>
      <c r="BU86" s="52"/>
      <c r="BV86" s="52"/>
      <c r="BW86" s="52"/>
      <c r="BX86" s="299"/>
      <c r="BY86" s="332"/>
      <c r="BZ86" s="332"/>
      <c r="CA86" s="332"/>
      <c r="CB86" s="332"/>
      <c r="CC86" s="332"/>
      <c r="CD86" s="332"/>
      <c r="CE86" s="332"/>
      <c r="CF86" s="299"/>
      <c r="CG86" s="299"/>
      <c r="CH86" s="299"/>
      <c r="CI86" s="299"/>
      <c r="CJ86" s="299"/>
      <c r="CK86" s="299"/>
      <c r="CL86" s="299"/>
      <c r="CM86" s="299"/>
      <c r="CN86" s="299"/>
      <c r="CO86" s="206"/>
      <c r="CP86" s="206"/>
      <c r="CQ86" s="206"/>
      <c r="CR86" s="206"/>
      <c r="CS86" s="200" t="str">
        <v/>
      </c>
      <c r="CT86" s="207" t="str">
        <v/>
      </c>
      <c r="CU86" s="207" t="str">
        <v/>
      </c>
      <c r="CV86" s="207" t="str">
        <v/>
      </c>
    </row>
    <row r="87" spans="6:100" x14ac:dyDescent="0.25">
      <c r="F87" s="50"/>
      <c r="G87" s="52"/>
      <c r="H87" s="52"/>
      <c r="I87" s="53"/>
      <c r="Q87" s="50"/>
      <c r="R87" s="52"/>
      <c r="S87" s="52"/>
      <c r="T87" s="53"/>
      <c r="AB87" s="50"/>
      <c r="AC87" s="85"/>
      <c r="AD87" s="85"/>
      <c r="AE87" s="53"/>
      <c r="AM87" s="50"/>
      <c r="AN87" s="85"/>
      <c r="AO87" s="85"/>
      <c r="AP87" s="53"/>
      <c r="AX87" s="50"/>
      <c r="AY87" s="85"/>
      <c r="AZ87" s="85"/>
      <c r="BA87" s="53"/>
      <c r="BI87" s="50"/>
      <c r="BJ87" s="251"/>
      <c r="BK87" s="112"/>
      <c r="BL87" s="53"/>
      <c r="BT87" s="50"/>
      <c r="BU87" s="52"/>
      <c r="BV87" s="52"/>
      <c r="BW87" s="52"/>
      <c r="BX87" s="299"/>
      <c r="BY87" s="332"/>
      <c r="BZ87" s="332"/>
      <c r="CA87" s="332"/>
      <c r="CB87" s="332"/>
      <c r="CC87" s="332"/>
      <c r="CD87" s="332"/>
      <c r="CE87" s="332"/>
      <c r="CF87" s="299"/>
      <c r="CG87" s="299"/>
      <c r="CH87" s="299"/>
      <c r="CI87" s="299"/>
      <c r="CJ87" s="299"/>
      <c r="CK87" s="299"/>
      <c r="CL87" s="299"/>
      <c r="CM87" s="299"/>
      <c r="CN87" s="299"/>
      <c r="CO87" s="206"/>
      <c r="CP87" s="206"/>
      <c r="CQ87" s="206"/>
      <c r="CR87" s="206"/>
      <c r="CS87" s="200" t="str">
        <v/>
      </c>
      <c r="CT87" s="207" t="str">
        <v/>
      </c>
      <c r="CU87" s="207" t="str">
        <v/>
      </c>
      <c r="CV87" s="207" t="str">
        <v/>
      </c>
    </row>
    <row r="88" spans="6:100" x14ac:dyDescent="0.25">
      <c r="F88" s="50"/>
      <c r="G88" s="52"/>
      <c r="H88" s="52"/>
      <c r="I88" s="53"/>
      <c r="Q88" s="50"/>
      <c r="R88" s="52"/>
      <c r="S88" s="52"/>
      <c r="T88" s="53"/>
      <c r="AB88" s="50"/>
      <c r="AC88" s="85"/>
      <c r="AD88" s="85"/>
      <c r="AE88" s="53"/>
      <c r="AM88" s="50"/>
      <c r="AN88" s="85"/>
      <c r="AO88" s="85"/>
      <c r="AP88" s="53"/>
      <c r="AX88" s="50"/>
      <c r="AY88" s="85"/>
      <c r="AZ88" s="85"/>
      <c r="BA88" s="53"/>
      <c r="BI88" s="50"/>
      <c r="BJ88" s="251"/>
      <c r="BK88" s="112"/>
      <c r="BL88" s="53"/>
      <c r="BT88" s="50"/>
      <c r="BU88" s="52"/>
      <c r="BV88" s="52"/>
      <c r="BW88" s="52"/>
      <c r="BX88" s="299"/>
      <c r="BY88" s="332"/>
      <c r="BZ88" s="332"/>
      <c r="CA88" s="332"/>
      <c r="CB88" s="332"/>
      <c r="CC88" s="332"/>
      <c r="CD88" s="332"/>
      <c r="CE88" s="332"/>
      <c r="CF88" s="299"/>
      <c r="CG88" s="299"/>
      <c r="CH88" s="299"/>
      <c r="CI88" s="299"/>
      <c r="CJ88" s="299"/>
      <c r="CK88" s="299"/>
      <c r="CL88" s="299"/>
      <c r="CM88" s="299"/>
      <c r="CN88" s="299"/>
      <c r="CO88" s="206"/>
      <c r="CP88" s="206"/>
      <c r="CQ88" s="206"/>
      <c r="CR88" s="206"/>
      <c r="CS88" s="200" t="str">
        <v/>
      </c>
      <c r="CT88" s="207" t="str">
        <v/>
      </c>
      <c r="CU88" s="207" t="str">
        <v/>
      </c>
      <c r="CV88" s="207" t="str">
        <v/>
      </c>
    </row>
    <row r="89" spans="6:100" x14ac:dyDescent="0.25">
      <c r="F89" s="50"/>
      <c r="G89" s="52"/>
      <c r="H89" s="52"/>
      <c r="I89" s="53"/>
      <c r="Q89" s="50"/>
      <c r="R89" s="52"/>
      <c r="S89" s="52"/>
      <c r="T89" s="53"/>
      <c r="AB89" s="50"/>
      <c r="AC89" s="85"/>
      <c r="AD89" s="85"/>
      <c r="AE89" s="53"/>
      <c r="AM89" s="50"/>
      <c r="AN89" s="85"/>
      <c r="AO89" s="85"/>
      <c r="AP89" s="53"/>
      <c r="AX89" s="50"/>
      <c r="AY89" s="85"/>
      <c r="AZ89" s="85"/>
      <c r="BA89" s="53"/>
      <c r="BI89" s="50"/>
      <c r="BJ89" s="85"/>
      <c r="BK89" s="85"/>
      <c r="BL89" s="53"/>
      <c r="BT89" s="50"/>
      <c r="BU89" s="52"/>
      <c r="BV89" s="52"/>
      <c r="BW89" s="52"/>
      <c r="BX89" s="299"/>
      <c r="BY89" s="332"/>
      <c r="BZ89" s="332"/>
      <c r="CA89" s="332"/>
      <c r="CB89" s="332"/>
      <c r="CC89" s="332"/>
      <c r="CD89" s="332"/>
      <c r="CE89" s="332"/>
      <c r="CF89" s="299"/>
      <c r="CG89" s="299"/>
      <c r="CH89" s="299"/>
      <c r="CI89" s="299"/>
      <c r="CJ89" s="299"/>
      <c r="CK89" s="299"/>
      <c r="CL89" s="299"/>
      <c r="CM89" s="299"/>
      <c r="CN89" s="299"/>
      <c r="CO89" s="206"/>
      <c r="CP89" s="206"/>
      <c r="CQ89" s="206"/>
      <c r="CR89" s="206"/>
      <c r="CS89" s="200" t="str">
        <v/>
      </c>
      <c r="CT89" s="207" t="str">
        <v/>
      </c>
      <c r="CU89" s="207" t="str">
        <v/>
      </c>
      <c r="CV89" s="207" t="str">
        <v/>
      </c>
    </row>
    <row r="90" spans="6:100" x14ac:dyDescent="0.25">
      <c r="F90" s="50"/>
      <c r="G90" s="52"/>
      <c r="H90" s="52"/>
      <c r="I90" s="53"/>
      <c r="Q90" s="50"/>
      <c r="R90" s="52"/>
      <c r="S90" s="52"/>
      <c r="T90" s="53"/>
      <c r="AB90" s="50"/>
      <c r="AC90" s="85"/>
      <c r="AD90" s="85"/>
      <c r="AE90" s="53"/>
      <c r="AM90" s="50"/>
      <c r="AN90" s="85"/>
      <c r="AO90" s="85"/>
      <c r="AP90" s="53"/>
      <c r="AX90" s="50"/>
      <c r="AY90" s="85"/>
      <c r="AZ90" s="85"/>
      <c r="BA90" s="53"/>
      <c r="BI90" s="50"/>
      <c r="BJ90" s="85"/>
      <c r="BK90" s="85"/>
      <c r="BL90" s="53"/>
      <c r="BT90" s="50"/>
      <c r="BU90" s="52"/>
      <c r="BV90" s="52"/>
      <c r="BW90" s="52"/>
      <c r="BX90" s="299"/>
      <c r="BY90" s="332"/>
      <c r="BZ90" s="332"/>
      <c r="CA90" s="332"/>
      <c r="CB90" s="332"/>
      <c r="CC90" s="332"/>
      <c r="CD90" s="332"/>
      <c r="CE90" s="332"/>
      <c r="CF90" s="299"/>
      <c r="CG90" s="299"/>
      <c r="CH90" s="299"/>
      <c r="CI90" s="299"/>
      <c r="CJ90" s="299"/>
      <c r="CK90" s="299"/>
      <c r="CL90" s="299"/>
      <c r="CM90" s="299"/>
      <c r="CN90" s="299"/>
      <c r="CO90" s="206"/>
      <c r="CP90" s="206"/>
      <c r="CQ90" s="206"/>
      <c r="CR90" s="206"/>
      <c r="CS90" s="200" t="str">
        <v/>
      </c>
      <c r="CT90" s="207" t="str">
        <v/>
      </c>
      <c r="CU90" s="207" t="str">
        <v/>
      </c>
      <c r="CV90" s="207" t="str">
        <v/>
      </c>
    </row>
    <row r="91" spans="6:100" x14ac:dyDescent="0.25">
      <c r="F91" s="50"/>
      <c r="G91" s="52"/>
      <c r="H91" s="52"/>
      <c r="I91" s="53"/>
      <c r="Q91" s="50"/>
      <c r="R91" s="52"/>
      <c r="S91" s="52"/>
      <c r="T91" s="53"/>
      <c r="AB91" s="50"/>
      <c r="AC91" s="85"/>
      <c r="AD91" s="85"/>
      <c r="AE91" s="53"/>
      <c r="AM91" s="50"/>
      <c r="AN91" s="85"/>
      <c r="AO91" s="85"/>
      <c r="AP91" s="53"/>
      <c r="AX91" s="50"/>
      <c r="AY91" s="85"/>
      <c r="AZ91" s="85"/>
      <c r="BA91" s="53"/>
      <c r="BI91" s="50"/>
      <c r="BJ91" s="85"/>
      <c r="BK91" s="85"/>
      <c r="BL91" s="53"/>
      <c r="BT91" s="50"/>
      <c r="BU91" s="52"/>
      <c r="BV91" s="52"/>
      <c r="BW91" s="52"/>
      <c r="BX91" s="299"/>
      <c r="BY91" s="332"/>
      <c r="BZ91" s="332"/>
      <c r="CA91" s="332"/>
      <c r="CB91" s="332"/>
      <c r="CC91" s="332"/>
      <c r="CD91" s="332"/>
      <c r="CE91" s="332"/>
      <c r="CF91" s="299"/>
      <c r="CG91" s="299"/>
      <c r="CH91" s="299"/>
      <c r="CI91" s="299"/>
      <c r="CJ91" s="299"/>
      <c r="CK91" s="299"/>
      <c r="CL91" s="299"/>
      <c r="CM91" s="299"/>
      <c r="CN91" s="299"/>
      <c r="CO91" s="206"/>
      <c r="CP91" s="206"/>
      <c r="CQ91" s="206"/>
      <c r="CR91" s="206"/>
      <c r="CS91" s="200" t="str">
        <v/>
      </c>
      <c r="CT91" s="207" t="str">
        <v/>
      </c>
      <c r="CU91" s="207" t="str">
        <v/>
      </c>
      <c r="CV91" s="207" t="str">
        <v/>
      </c>
    </row>
    <row r="92" spans="6:100" x14ac:dyDescent="0.25">
      <c r="F92" s="50"/>
      <c r="G92" s="52"/>
      <c r="H92" s="52"/>
      <c r="I92" s="53"/>
      <c r="Q92" s="50"/>
      <c r="R92" s="52"/>
      <c r="S92" s="52"/>
      <c r="T92" s="53"/>
      <c r="AB92" s="50"/>
      <c r="AC92" s="85"/>
      <c r="AD92" s="85"/>
      <c r="AE92" s="53"/>
      <c r="AM92" s="50"/>
      <c r="AN92" s="85"/>
      <c r="AO92" s="85"/>
      <c r="AP92" s="53"/>
      <c r="AX92" s="50"/>
      <c r="AY92" s="85"/>
      <c r="AZ92" s="85"/>
      <c r="BA92" s="53"/>
      <c r="BI92" s="50"/>
      <c r="BJ92" s="85"/>
      <c r="BK92" s="85"/>
      <c r="BL92" s="53"/>
      <c r="BT92" s="50"/>
      <c r="BU92" s="52"/>
      <c r="BV92" s="52"/>
      <c r="BW92" s="52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06"/>
      <c r="CP92" s="206"/>
      <c r="CQ92" s="206"/>
      <c r="CR92" s="206"/>
      <c r="CS92" s="200" t="str">
        <v/>
      </c>
      <c r="CT92" s="207" t="str">
        <v/>
      </c>
      <c r="CU92" s="207" t="str">
        <v/>
      </c>
      <c r="CV92" s="207" t="str">
        <v/>
      </c>
    </row>
    <row r="93" spans="6:100" x14ac:dyDescent="0.25">
      <c r="F93" s="50"/>
      <c r="G93" s="52"/>
      <c r="H93" s="52"/>
      <c r="I93" s="53"/>
      <c r="Q93" s="50"/>
      <c r="R93" s="52"/>
      <c r="S93" s="52"/>
      <c r="T93" s="53"/>
      <c r="AB93" s="50"/>
      <c r="AC93" s="85"/>
      <c r="AD93" s="85"/>
      <c r="AE93" s="53"/>
      <c r="AM93" s="50"/>
      <c r="AN93" s="85"/>
      <c r="AO93" s="85"/>
      <c r="AP93" s="53"/>
      <c r="AX93" s="50"/>
      <c r="AY93" s="85"/>
      <c r="AZ93" s="85"/>
      <c r="BA93" s="53"/>
      <c r="BI93" s="50"/>
      <c r="BJ93" s="85"/>
      <c r="BK93" s="85"/>
      <c r="BL93" s="53"/>
      <c r="BT93" s="50"/>
      <c r="BU93" s="52"/>
      <c r="BV93" s="52"/>
      <c r="BW93" s="52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  <c r="CO93" s="206"/>
      <c r="CP93" s="206"/>
      <c r="CQ93" s="206"/>
      <c r="CR93" s="206"/>
      <c r="CS93" s="200" t="str">
        <v/>
      </c>
      <c r="CT93" s="207" t="str">
        <v/>
      </c>
      <c r="CU93" s="207" t="str">
        <v/>
      </c>
      <c r="CV93" s="207" t="str">
        <v/>
      </c>
    </row>
    <row r="94" spans="6:100" x14ac:dyDescent="0.25">
      <c r="F94" s="50"/>
      <c r="G94" s="52"/>
      <c r="H94" s="52"/>
      <c r="I94" s="53"/>
      <c r="Q94" s="50"/>
      <c r="R94" s="52"/>
      <c r="S94" s="52"/>
      <c r="T94" s="53"/>
      <c r="AB94" s="50"/>
      <c r="AC94" s="85"/>
      <c r="AD94" s="85"/>
      <c r="AE94" s="53"/>
      <c r="AM94" s="50"/>
      <c r="AN94" s="85"/>
      <c r="AO94" s="85"/>
      <c r="AP94" s="53"/>
      <c r="AX94" s="50"/>
      <c r="AY94" s="85"/>
      <c r="AZ94" s="85"/>
      <c r="BA94" s="53"/>
      <c r="BI94" s="50"/>
      <c r="BJ94" s="85"/>
      <c r="BK94" s="85"/>
      <c r="BL94" s="53"/>
      <c r="BT94" s="50"/>
      <c r="BU94" s="52"/>
      <c r="BV94" s="52"/>
      <c r="BW94" s="52"/>
      <c r="BX94" s="299"/>
      <c r="BY94" s="299"/>
      <c r="BZ94" s="299"/>
      <c r="CA94" s="299"/>
      <c r="CB94" s="299"/>
      <c r="CC94" s="299"/>
      <c r="CD94" s="299"/>
      <c r="CE94" s="299"/>
      <c r="CF94" s="298"/>
      <c r="CG94" s="298"/>
      <c r="CH94" s="298"/>
      <c r="CI94" s="298"/>
      <c r="CJ94" s="298"/>
      <c r="CK94" s="298"/>
      <c r="CL94" s="298"/>
      <c r="CM94" s="298"/>
      <c r="CN94" s="298"/>
      <c r="CO94" s="206"/>
      <c r="CP94" s="206"/>
      <c r="CQ94" s="206"/>
      <c r="CR94" s="206"/>
      <c r="CS94" s="200" t="str">
        <v/>
      </c>
      <c r="CT94" s="207" t="str">
        <v/>
      </c>
      <c r="CU94" s="207" t="str">
        <v/>
      </c>
      <c r="CV94" s="207" t="str">
        <v/>
      </c>
    </row>
    <row r="95" spans="6:100" x14ac:dyDescent="0.25">
      <c r="F95" s="50"/>
      <c r="G95" s="52"/>
      <c r="H95" s="52"/>
      <c r="I95" s="53"/>
      <c r="Q95" s="50"/>
      <c r="R95" s="52"/>
      <c r="S95" s="52"/>
      <c r="T95" s="53"/>
      <c r="AB95" s="50"/>
      <c r="AC95" s="85"/>
      <c r="AD95" s="85"/>
      <c r="AE95" s="53"/>
      <c r="AM95" s="50"/>
      <c r="AN95" s="85"/>
      <c r="AO95" s="85"/>
      <c r="AP95" s="53"/>
      <c r="AX95" s="50"/>
      <c r="AY95" s="85"/>
      <c r="AZ95" s="85"/>
      <c r="BA95" s="53"/>
      <c r="BI95" s="50"/>
      <c r="BJ95" s="85"/>
      <c r="BK95" s="85"/>
      <c r="BL95" s="53"/>
      <c r="BT95" s="50"/>
      <c r="BU95" s="52"/>
      <c r="BV95" s="52"/>
      <c r="BW95" s="52"/>
      <c r="BX95" s="299"/>
      <c r="BY95" s="299"/>
      <c r="BZ95" s="299"/>
      <c r="CA95" s="299"/>
      <c r="CB95" s="299"/>
      <c r="CC95" s="299"/>
      <c r="CD95" s="299"/>
      <c r="CE95" s="299"/>
      <c r="CF95" s="206"/>
      <c r="CG95" s="206"/>
      <c r="CH95" s="206"/>
      <c r="CI95" s="206"/>
      <c r="CJ95" s="206"/>
      <c r="CK95" s="206"/>
      <c r="CL95" s="206"/>
      <c r="CM95" s="206"/>
      <c r="CN95" s="206"/>
      <c r="CO95" s="206"/>
      <c r="CP95" s="206"/>
      <c r="CQ95" s="206"/>
      <c r="CR95" s="206"/>
      <c r="CS95" s="200" t="str">
        <v/>
      </c>
      <c r="CT95" s="207" t="str">
        <v/>
      </c>
      <c r="CU95" s="207" t="str">
        <v/>
      </c>
      <c r="CV95" s="207" t="str">
        <v/>
      </c>
    </row>
    <row r="96" spans="6:100" x14ac:dyDescent="0.25">
      <c r="F96" s="50"/>
      <c r="G96" s="52"/>
      <c r="H96" s="52"/>
      <c r="I96" s="53"/>
      <c r="Q96" s="50"/>
      <c r="R96" s="52"/>
      <c r="S96" s="52"/>
      <c r="T96" s="53"/>
      <c r="AB96" s="50"/>
      <c r="AC96" s="85"/>
      <c r="AD96" s="85"/>
      <c r="AE96" s="53"/>
      <c r="AM96" s="50"/>
      <c r="AN96" s="85"/>
      <c r="AO96" s="85"/>
      <c r="AP96" s="53"/>
      <c r="AX96" s="50"/>
      <c r="AY96" s="85"/>
      <c r="AZ96" s="85"/>
      <c r="BA96" s="53"/>
      <c r="BI96" s="50"/>
      <c r="BJ96" s="85"/>
      <c r="BK96" s="85"/>
      <c r="BL96" s="53"/>
      <c r="BT96" s="50"/>
      <c r="BU96" s="52"/>
      <c r="BV96" s="52"/>
      <c r="BW96" s="52"/>
      <c r="BX96" s="299"/>
      <c r="BY96" s="299"/>
      <c r="BZ96" s="299"/>
      <c r="CA96" s="299"/>
      <c r="CB96" s="299"/>
      <c r="CC96" s="299"/>
      <c r="CD96" s="299"/>
      <c r="CE96" s="299"/>
      <c r="CF96" s="206"/>
      <c r="CG96" s="206"/>
      <c r="CH96" s="206"/>
      <c r="CI96" s="206"/>
      <c r="CJ96" s="206"/>
      <c r="CK96" s="206"/>
      <c r="CL96" s="206"/>
      <c r="CM96" s="206"/>
      <c r="CN96" s="206"/>
      <c r="CO96" s="206"/>
      <c r="CP96" s="206"/>
      <c r="CQ96" s="206"/>
      <c r="CR96" s="206"/>
      <c r="CS96" s="200" t="str">
        <v/>
      </c>
      <c r="CT96" s="207" t="str">
        <v/>
      </c>
      <c r="CU96" s="207" t="str">
        <v/>
      </c>
      <c r="CV96" s="207" t="str">
        <v/>
      </c>
    </row>
    <row r="97" spans="6:103" x14ac:dyDescent="0.25">
      <c r="F97" s="50"/>
      <c r="G97" s="52"/>
      <c r="H97" s="52"/>
      <c r="I97" s="53"/>
      <c r="Q97" s="50"/>
      <c r="R97" s="52"/>
      <c r="S97" s="52"/>
      <c r="T97" s="53"/>
      <c r="AB97" s="50"/>
      <c r="AC97" s="85"/>
      <c r="AD97" s="85"/>
      <c r="AE97" s="53"/>
      <c r="AM97" s="50"/>
      <c r="AN97" s="85"/>
      <c r="AO97" s="85"/>
      <c r="AP97" s="53"/>
      <c r="AX97" s="50"/>
      <c r="AY97" s="85"/>
      <c r="AZ97" s="85"/>
      <c r="BA97" s="53"/>
      <c r="BI97" s="50"/>
      <c r="BJ97" s="52"/>
      <c r="BK97" s="52"/>
      <c r="BL97" s="53"/>
      <c r="BT97" s="50"/>
      <c r="BU97" s="52"/>
      <c r="BV97" s="52"/>
      <c r="BW97" s="52"/>
      <c r="BX97" s="299"/>
      <c r="BY97" s="299"/>
      <c r="BZ97" s="299"/>
      <c r="CA97" s="299"/>
      <c r="CB97" s="299"/>
      <c r="CC97" s="299"/>
      <c r="CD97" s="299"/>
      <c r="CE97" s="299"/>
      <c r="CS97" s="200" t="str">
        <v/>
      </c>
      <c r="CT97" s="207" t="str">
        <v/>
      </c>
      <c r="CU97" s="207" t="str">
        <v/>
      </c>
      <c r="CV97" s="207" t="str">
        <v/>
      </c>
    </row>
    <row r="98" spans="6:103" x14ac:dyDescent="0.25">
      <c r="F98" s="75"/>
      <c r="G98" s="76"/>
      <c r="H98" s="76"/>
      <c r="I98" s="77"/>
      <c r="Q98" s="75"/>
      <c r="R98" s="76"/>
      <c r="S98" s="76"/>
      <c r="T98" s="77"/>
      <c r="AB98" s="75"/>
      <c r="AC98" s="76"/>
      <c r="AD98" s="76"/>
      <c r="AE98" s="77"/>
      <c r="AM98" s="75"/>
      <c r="AN98" s="76"/>
      <c r="AO98" s="76"/>
      <c r="AP98" s="77"/>
      <c r="AX98" s="75"/>
      <c r="AY98" s="76"/>
      <c r="AZ98" s="76"/>
      <c r="BA98" s="77"/>
      <c r="BI98" s="75"/>
      <c r="BJ98" s="76"/>
      <c r="BK98" s="76"/>
      <c r="BL98" s="77"/>
      <c r="BT98" s="75"/>
      <c r="BU98" s="52"/>
      <c r="BV98" s="52"/>
      <c r="BW98" s="52"/>
      <c r="BX98" s="299"/>
      <c r="BY98" s="299"/>
      <c r="BZ98" s="299"/>
      <c r="CA98" s="299"/>
      <c r="CB98" s="299"/>
      <c r="CC98" s="299"/>
      <c r="CD98" s="299"/>
      <c r="CE98" s="299"/>
      <c r="CS98" s="200" t="str">
        <v/>
      </c>
      <c r="CT98" s="207" t="str">
        <v/>
      </c>
      <c r="CU98" s="207" t="str">
        <v/>
      </c>
      <c r="CV98" s="207" t="str">
        <v/>
      </c>
    </row>
    <row r="99" spans="6:103" x14ac:dyDescent="0.25">
      <c r="BT99" s="206"/>
      <c r="BU99" s="298"/>
      <c r="BV99" s="298"/>
      <c r="BW99" s="298"/>
      <c r="BX99" s="299"/>
      <c r="BY99" s="299"/>
      <c r="BZ99" s="299"/>
      <c r="CA99" s="299"/>
      <c r="CB99" s="299"/>
      <c r="CC99" s="299"/>
      <c r="CD99" s="299"/>
      <c r="CE99" s="299"/>
      <c r="CS99" s="478" t="str">
        <v/>
      </c>
      <c r="CT99" s="405" t="str">
        <v/>
      </c>
      <c r="CU99" s="405" t="str">
        <v/>
      </c>
      <c r="CV99" s="405" t="str">
        <v/>
      </c>
      <c r="CW99" s="206"/>
      <c r="CX99" s="206"/>
      <c r="CY99" s="206"/>
    </row>
    <row r="100" spans="6:103" x14ac:dyDescent="0.25">
      <c r="BT100" s="206"/>
      <c r="BU100" s="206"/>
      <c r="BV100" s="206"/>
      <c r="BW100" s="206"/>
      <c r="BY100" s="299"/>
      <c r="BZ100" s="299"/>
      <c r="CA100" s="299"/>
      <c r="CB100" s="299"/>
      <c r="CC100" s="299"/>
      <c r="CD100" s="299"/>
      <c r="CE100" s="299"/>
      <c r="CS100" s="478" t="str">
        <v/>
      </c>
      <c r="CT100" s="405" t="str">
        <v/>
      </c>
      <c r="CU100" s="405" t="str">
        <v/>
      </c>
      <c r="CV100" s="405" t="str">
        <v/>
      </c>
      <c r="CW100" s="206"/>
      <c r="CX100" s="206"/>
      <c r="CY100" s="206"/>
    </row>
    <row r="101" spans="6:103" x14ac:dyDescent="0.25">
      <c r="BT101" s="206"/>
      <c r="BU101" s="206"/>
      <c r="BV101" s="206"/>
      <c r="BW101" s="206"/>
      <c r="BY101" s="299"/>
      <c r="BZ101" s="299"/>
      <c r="CA101" s="299"/>
      <c r="CB101" s="299"/>
      <c r="CC101" s="299"/>
      <c r="CD101" s="299"/>
      <c r="CE101" s="299"/>
      <c r="CS101" s="478" t="str">
        <v/>
      </c>
      <c r="CT101" s="405" t="str">
        <v/>
      </c>
      <c r="CU101" s="405" t="str">
        <v/>
      </c>
      <c r="CV101" s="405" t="str">
        <v/>
      </c>
      <c r="CW101" s="206"/>
      <c r="CX101" s="206"/>
      <c r="CY101" s="206"/>
    </row>
    <row r="102" spans="6:103" x14ac:dyDescent="0.25">
      <c r="BT102" s="206"/>
      <c r="BU102" s="206"/>
      <c r="BV102" s="206"/>
      <c r="BW102" s="206"/>
      <c r="BY102" s="299"/>
      <c r="BZ102" s="299"/>
      <c r="CA102" s="299"/>
      <c r="CB102" s="299"/>
      <c r="CC102" s="299"/>
      <c r="CD102" s="299"/>
      <c r="CE102" s="299"/>
      <c r="CS102" s="478" t="str">
        <v/>
      </c>
      <c r="CT102" s="405" t="str">
        <v/>
      </c>
      <c r="CU102" s="405" t="str">
        <v/>
      </c>
      <c r="CV102" s="405" t="str">
        <v/>
      </c>
      <c r="CW102" s="206"/>
      <c r="CX102" s="206"/>
      <c r="CY102" s="206"/>
    </row>
    <row r="103" spans="6:103" x14ac:dyDescent="0.25">
      <c r="BT103" s="206"/>
      <c r="BU103" s="206"/>
      <c r="BV103" s="206"/>
      <c r="BW103" s="206"/>
      <c r="BY103" s="299"/>
      <c r="BZ103" s="299"/>
      <c r="CA103" s="299"/>
      <c r="CB103" s="299"/>
      <c r="CC103" s="299"/>
      <c r="CD103" s="299"/>
      <c r="CE103" s="299"/>
      <c r="CS103" s="478" t="str">
        <v/>
      </c>
      <c r="CT103" s="405" t="str">
        <v/>
      </c>
      <c r="CU103" s="405" t="str">
        <v/>
      </c>
      <c r="CV103" s="405" t="str">
        <v/>
      </c>
      <c r="CW103" s="206"/>
      <c r="CX103" s="206"/>
      <c r="CY103" s="206"/>
    </row>
    <row r="104" spans="6:103" x14ac:dyDescent="0.25">
      <c r="BT104" s="206"/>
      <c r="BU104" s="206"/>
      <c r="BV104" s="206"/>
      <c r="BW104" s="206"/>
      <c r="BY104" s="299"/>
      <c r="BZ104" s="299"/>
      <c r="CA104" s="299"/>
      <c r="CB104" s="299"/>
      <c r="CC104" s="299"/>
      <c r="CD104" s="299"/>
      <c r="CE104" s="299"/>
      <c r="CS104" s="206"/>
      <c r="CT104" s="206"/>
      <c r="CU104" s="206"/>
      <c r="CV104" s="206"/>
      <c r="CW104" s="206"/>
      <c r="CX104" s="206"/>
      <c r="CY104" s="206"/>
    </row>
    <row r="105" spans="6:103" x14ac:dyDescent="0.25">
      <c r="BT105" s="206"/>
      <c r="BU105" s="206"/>
      <c r="BV105" s="206"/>
      <c r="BW105" s="206"/>
      <c r="BY105" s="299"/>
      <c r="BZ105" s="299"/>
      <c r="CA105" s="299"/>
      <c r="CB105" s="299"/>
      <c r="CC105" s="299"/>
      <c r="CD105" s="299"/>
      <c r="CE105" s="299"/>
      <c r="CS105" s="206"/>
      <c r="CT105" s="206"/>
      <c r="CU105" s="206"/>
      <c r="CV105" s="206"/>
      <c r="CW105" s="206"/>
      <c r="CX105" s="206"/>
      <c r="CY105" s="206"/>
    </row>
    <row r="106" spans="6:103" x14ac:dyDescent="0.25">
      <c r="BT106" s="206"/>
      <c r="BU106" s="206"/>
      <c r="BV106" s="206"/>
      <c r="BW106" s="206"/>
      <c r="BY106" s="299"/>
      <c r="BZ106" s="299"/>
      <c r="CA106" s="299"/>
      <c r="CB106" s="299"/>
      <c r="CC106" s="299"/>
      <c r="CD106" s="299"/>
      <c r="CE106" s="299"/>
      <c r="CS106" s="206"/>
      <c r="CT106" s="206"/>
      <c r="CU106" s="206"/>
      <c r="CV106" s="206"/>
      <c r="CW106" s="206"/>
      <c r="CX106" s="206"/>
      <c r="CY106" s="206"/>
    </row>
    <row r="107" spans="6:103" x14ac:dyDescent="0.25">
      <c r="BT107" s="206"/>
      <c r="BU107" s="206"/>
      <c r="BV107" s="206"/>
      <c r="BW107" s="206"/>
      <c r="BY107" s="299"/>
      <c r="BZ107" s="299"/>
      <c r="CA107" s="299"/>
      <c r="CB107" s="299"/>
      <c r="CC107" s="299"/>
      <c r="CD107" s="299"/>
      <c r="CE107" s="299"/>
      <c r="CS107" s="206"/>
      <c r="CT107" s="206"/>
      <c r="CU107" s="206"/>
      <c r="CV107" s="206"/>
      <c r="CW107" s="206"/>
      <c r="CX107" s="206"/>
      <c r="CY107" s="206"/>
    </row>
    <row r="108" spans="6:103" x14ac:dyDescent="0.25">
      <c r="BT108" s="206"/>
      <c r="BU108" s="206"/>
      <c r="BV108" s="206"/>
      <c r="BW108" s="206"/>
      <c r="BY108" s="299"/>
      <c r="BZ108" s="299"/>
      <c r="CA108" s="299"/>
      <c r="CB108" s="299"/>
      <c r="CC108" s="299"/>
      <c r="CD108" s="299"/>
      <c r="CE108" s="299"/>
      <c r="CS108" s="206"/>
      <c r="CT108" s="206"/>
      <c r="CU108" s="206"/>
      <c r="CV108" s="206"/>
      <c r="CW108" s="206"/>
      <c r="CX108" s="206"/>
      <c r="CY108" s="206"/>
    </row>
    <row r="109" spans="6:103" x14ac:dyDescent="0.25">
      <c r="BT109" s="206"/>
      <c r="BU109" s="206"/>
      <c r="BV109" s="206"/>
      <c r="BW109" s="206"/>
      <c r="BY109" s="299"/>
      <c r="BZ109" s="299"/>
      <c r="CA109" s="299"/>
      <c r="CB109" s="299"/>
      <c r="CC109" s="299"/>
      <c r="CD109" s="299"/>
      <c r="CE109" s="299"/>
      <c r="CS109" s="206"/>
      <c r="CT109" s="206"/>
      <c r="CU109" s="206"/>
      <c r="CV109" s="206"/>
      <c r="CW109" s="206"/>
      <c r="CX109" s="206"/>
      <c r="CY109" s="206"/>
    </row>
    <row r="110" spans="6:103" x14ac:dyDescent="0.25">
      <c r="BT110" s="206"/>
      <c r="BU110" s="206"/>
      <c r="BV110" s="206"/>
      <c r="BW110" s="206"/>
      <c r="BY110" s="299"/>
      <c r="BZ110" s="299"/>
      <c r="CA110" s="299"/>
      <c r="CB110" s="299"/>
      <c r="CC110" s="299"/>
      <c r="CD110" s="299"/>
      <c r="CE110" s="299"/>
      <c r="CS110" s="206"/>
      <c r="CT110" s="206"/>
      <c r="CU110" s="206"/>
      <c r="CV110" s="206"/>
      <c r="CW110" s="206"/>
      <c r="CX110" s="206"/>
      <c r="CY110" s="206"/>
    </row>
    <row r="111" spans="6:103" x14ac:dyDescent="0.25">
      <c r="BT111" s="206"/>
      <c r="BU111" s="206"/>
      <c r="BV111" s="206"/>
      <c r="BW111" s="206"/>
      <c r="BY111" s="299"/>
      <c r="BZ111" s="299"/>
      <c r="CA111" s="299"/>
      <c r="CB111" s="299"/>
      <c r="CC111" s="299"/>
      <c r="CD111" s="299"/>
      <c r="CE111" s="299"/>
      <c r="CS111" s="206"/>
      <c r="CT111" s="206"/>
      <c r="CU111" s="206"/>
      <c r="CV111" s="206"/>
      <c r="CW111" s="206"/>
      <c r="CX111" s="206"/>
      <c r="CY111" s="206"/>
    </row>
    <row r="112" spans="6:103" x14ac:dyDescent="0.25">
      <c r="BT112" s="206"/>
      <c r="BU112" s="206"/>
      <c r="BV112" s="206"/>
      <c r="BW112" s="206"/>
      <c r="BY112" s="299"/>
      <c r="BZ112" s="299"/>
      <c r="CA112" s="299"/>
      <c r="CB112" s="299"/>
      <c r="CC112" s="299"/>
      <c r="CD112" s="299"/>
      <c r="CE112" s="299"/>
      <c r="CS112" s="206"/>
      <c r="CT112" s="206"/>
      <c r="CU112" s="206"/>
      <c r="CV112" s="206"/>
      <c r="CW112" s="206"/>
      <c r="CX112" s="206"/>
      <c r="CY112" s="206"/>
    </row>
    <row r="113" spans="72:103" x14ac:dyDescent="0.25">
      <c r="BT113" s="206"/>
      <c r="BU113" s="206"/>
      <c r="BV113" s="206"/>
      <c r="BW113" s="206"/>
      <c r="BY113" s="299"/>
      <c r="BZ113" s="299"/>
      <c r="CA113" s="299"/>
      <c r="CB113" s="299"/>
      <c r="CC113" s="299"/>
      <c r="CD113" s="299"/>
      <c r="CE113" s="299"/>
      <c r="CS113" s="206"/>
      <c r="CT113" s="206"/>
      <c r="CU113" s="206"/>
      <c r="CV113" s="206"/>
      <c r="CW113" s="206"/>
      <c r="CX113" s="206"/>
      <c r="CY113" s="206"/>
    </row>
    <row r="114" spans="72:103" x14ac:dyDescent="0.25">
      <c r="BT114" s="206"/>
      <c r="BU114" s="206"/>
      <c r="BV114" s="206"/>
      <c r="BW114" s="206"/>
      <c r="BY114" s="299"/>
      <c r="BZ114" s="299"/>
      <c r="CA114" s="299"/>
      <c r="CB114" s="299"/>
      <c r="CC114" s="299"/>
      <c r="CD114" s="299"/>
      <c r="CE114" s="299"/>
      <c r="CS114" s="206"/>
      <c r="CT114" s="206"/>
      <c r="CU114" s="206"/>
      <c r="CV114" s="206"/>
      <c r="CW114" s="206"/>
      <c r="CX114" s="206"/>
      <c r="CY114" s="206"/>
    </row>
    <row r="115" spans="72:103" x14ac:dyDescent="0.25">
      <c r="BT115" s="206"/>
      <c r="BU115" s="206"/>
      <c r="BV115" s="206"/>
      <c r="BW115" s="206"/>
      <c r="BY115" s="299"/>
      <c r="BZ115" s="299"/>
      <c r="CA115" s="299"/>
      <c r="CB115" s="299"/>
      <c r="CC115" s="299"/>
      <c r="CD115" s="299"/>
      <c r="CE115" s="299"/>
      <c r="CS115" s="206"/>
      <c r="CT115" s="206"/>
      <c r="CU115" s="206"/>
      <c r="CV115" s="206"/>
      <c r="CW115" s="206"/>
      <c r="CX115" s="206"/>
      <c r="CY115" s="206"/>
    </row>
    <row r="116" spans="72:103" x14ac:dyDescent="0.25">
      <c r="BT116" s="206"/>
      <c r="BU116" s="206"/>
      <c r="BV116" s="206"/>
      <c r="BW116" s="206"/>
      <c r="BY116" s="299"/>
      <c r="BZ116" s="299"/>
      <c r="CA116" s="299"/>
      <c r="CB116" s="299"/>
      <c r="CC116" s="299"/>
      <c r="CD116" s="299"/>
      <c r="CE116" s="299"/>
      <c r="CS116" s="206"/>
      <c r="CT116" s="206"/>
      <c r="CU116" s="206"/>
      <c r="CV116" s="206"/>
      <c r="CW116" s="206"/>
      <c r="CX116" s="206"/>
      <c r="CY116" s="206"/>
    </row>
    <row r="117" spans="72:103" x14ac:dyDescent="0.25">
      <c r="BT117" s="206"/>
      <c r="BU117" s="206"/>
      <c r="BV117" s="206"/>
      <c r="BW117" s="206"/>
      <c r="BY117" s="299"/>
      <c r="BZ117" s="299"/>
      <c r="CA117" s="299"/>
      <c r="CB117" s="299"/>
      <c r="CC117" s="299"/>
      <c r="CD117" s="299"/>
      <c r="CE117" s="299"/>
      <c r="CS117" s="206"/>
      <c r="CT117" s="206"/>
      <c r="CU117" s="206"/>
      <c r="CV117" s="206"/>
      <c r="CW117" s="206"/>
      <c r="CX117" s="206"/>
      <c r="CY117" s="206"/>
    </row>
    <row r="118" spans="72:103" x14ac:dyDescent="0.25">
      <c r="BT118" s="206"/>
      <c r="BU118" s="206"/>
      <c r="BV118" s="206"/>
      <c r="BW118" s="206"/>
      <c r="BY118" s="299"/>
      <c r="BZ118" s="299"/>
      <c r="CA118" s="299"/>
      <c r="CB118" s="299"/>
      <c r="CC118" s="299"/>
      <c r="CD118" s="299"/>
      <c r="CE118" s="299"/>
      <c r="CS118" s="206"/>
      <c r="CT118" s="206"/>
      <c r="CU118" s="206"/>
      <c r="CV118" s="206"/>
      <c r="CW118" s="206"/>
      <c r="CX118" s="206"/>
      <c r="CY118" s="206"/>
    </row>
    <row r="119" spans="72:103" x14ac:dyDescent="0.25">
      <c r="BT119" s="206"/>
      <c r="BU119" s="206"/>
      <c r="BV119" s="206"/>
      <c r="BW119" s="206"/>
      <c r="BY119" s="299"/>
      <c r="BZ119" s="299"/>
      <c r="CA119" s="299"/>
      <c r="CB119" s="299"/>
      <c r="CC119" s="299"/>
      <c r="CD119" s="299"/>
      <c r="CE119" s="299"/>
      <c r="CS119" s="206"/>
      <c r="CT119" s="206"/>
      <c r="CU119" s="206"/>
      <c r="CV119" s="206"/>
      <c r="CW119" s="206"/>
      <c r="CX119" s="206"/>
      <c r="CY119" s="206"/>
    </row>
    <row r="120" spans="72:103" x14ac:dyDescent="0.25">
      <c r="BT120" s="206"/>
      <c r="BU120" s="206"/>
      <c r="BV120" s="206"/>
      <c r="BW120" s="206"/>
      <c r="BY120" s="299"/>
      <c r="BZ120" s="299"/>
      <c r="CA120" s="299"/>
      <c r="CB120" s="299"/>
      <c r="CC120" s="299"/>
      <c r="CD120" s="299"/>
      <c r="CE120" s="299"/>
      <c r="CS120" s="206"/>
      <c r="CT120" s="206"/>
      <c r="CU120" s="206"/>
      <c r="CV120" s="206"/>
      <c r="CW120" s="206"/>
      <c r="CX120" s="206"/>
      <c r="CY120" s="206"/>
    </row>
    <row r="121" spans="72:103" x14ac:dyDescent="0.25">
      <c r="BT121" s="206"/>
      <c r="BU121" s="206"/>
      <c r="BV121" s="206"/>
      <c r="BW121" s="206"/>
      <c r="BY121" s="299"/>
      <c r="BZ121" s="299"/>
      <c r="CA121" s="299"/>
      <c r="CB121" s="299"/>
      <c r="CC121" s="299"/>
      <c r="CD121" s="299"/>
      <c r="CE121" s="299"/>
      <c r="CS121" s="206"/>
      <c r="CT121" s="206"/>
      <c r="CU121" s="206"/>
      <c r="CV121" s="206"/>
      <c r="CW121" s="206"/>
      <c r="CX121" s="206"/>
      <c r="CY121" s="206"/>
    </row>
    <row r="122" spans="72:103" x14ac:dyDescent="0.25">
      <c r="BT122" s="206"/>
      <c r="BU122" s="206"/>
      <c r="BV122" s="206"/>
      <c r="BW122" s="206"/>
      <c r="BY122" s="299"/>
      <c r="BZ122" s="299"/>
      <c r="CA122" s="299"/>
      <c r="CB122" s="299"/>
      <c r="CC122" s="299"/>
      <c r="CD122" s="299"/>
      <c r="CE122" s="299"/>
      <c r="CS122" s="206"/>
      <c r="CT122" s="206"/>
      <c r="CU122" s="206"/>
      <c r="CV122" s="206"/>
      <c r="CW122" s="206"/>
      <c r="CX122" s="206"/>
      <c r="CY122" s="206"/>
    </row>
    <row r="123" spans="72:103" x14ac:dyDescent="0.25">
      <c r="BT123" s="206"/>
      <c r="BU123" s="206"/>
      <c r="BV123" s="206"/>
      <c r="BW123" s="206"/>
      <c r="BY123" s="299"/>
      <c r="BZ123" s="299"/>
      <c r="CA123" s="299"/>
      <c r="CB123" s="299"/>
      <c r="CC123" s="299"/>
      <c r="CD123" s="299"/>
      <c r="CE123" s="299"/>
      <c r="CS123" s="206"/>
      <c r="CT123" s="206"/>
      <c r="CU123" s="206"/>
      <c r="CV123" s="206"/>
      <c r="CW123" s="206"/>
      <c r="CX123" s="206"/>
      <c r="CY123" s="206"/>
    </row>
    <row r="124" spans="72:103" x14ac:dyDescent="0.25">
      <c r="BT124" s="206"/>
      <c r="BU124" s="206"/>
      <c r="BV124" s="206"/>
      <c r="BW124" s="206"/>
      <c r="BY124" s="299"/>
      <c r="BZ124" s="299"/>
      <c r="CA124" s="299"/>
      <c r="CB124" s="299"/>
      <c r="CC124" s="299"/>
      <c r="CD124" s="299"/>
      <c r="CE124" s="299"/>
      <c r="CS124" s="206"/>
      <c r="CT124" s="206"/>
      <c r="CU124" s="206"/>
      <c r="CV124" s="206"/>
      <c r="CW124" s="206"/>
      <c r="CX124" s="206"/>
      <c r="CY124" s="206"/>
    </row>
    <row r="125" spans="72:103" x14ac:dyDescent="0.25">
      <c r="BT125" s="206"/>
      <c r="BU125" s="206"/>
      <c r="BV125" s="206"/>
      <c r="BW125" s="206"/>
      <c r="BY125" s="298"/>
      <c r="BZ125" s="298"/>
      <c r="CA125" s="298"/>
      <c r="CB125" s="298"/>
      <c r="CC125" s="298"/>
      <c r="CD125" s="298"/>
      <c r="CE125" s="298"/>
      <c r="CS125" s="206"/>
      <c r="CT125" s="206"/>
      <c r="CU125" s="206"/>
      <c r="CV125" s="206"/>
      <c r="CW125" s="206"/>
      <c r="CX125" s="206"/>
      <c r="CY125" s="206"/>
    </row>
    <row r="126" spans="72:103" x14ac:dyDescent="0.25">
      <c r="BT126" s="206"/>
      <c r="BU126" s="206"/>
      <c r="BV126" s="206"/>
      <c r="BW126" s="206"/>
      <c r="BY126" s="206"/>
      <c r="BZ126" s="206"/>
      <c r="CA126" s="206"/>
      <c r="CB126" s="206"/>
      <c r="CC126" s="206"/>
      <c r="CD126" s="206"/>
      <c r="CE126" s="206"/>
      <c r="CS126" s="206"/>
      <c r="CT126" s="206"/>
      <c r="CU126" s="206"/>
      <c r="CV126" s="206"/>
      <c r="CW126" s="206"/>
      <c r="CX126" s="206"/>
      <c r="CY126" s="206"/>
    </row>
    <row r="127" spans="72:103" x14ac:dyDescent="0.25">
      <c r="BT127" s="206"/>
      <c r="BU127" s="206"/>
      <c r="BV127" s="206"/>
      <c r="BW127" s="206"/>
      <c r="BY127" s="206"/>
      <c r="BZ127" s="206"/>
      <c r="CA127" s="206"/>
      <c r="CB127" s="206"/>
      <c r="CC127" s="206"/>
      <c r="CD127" s="206"/>
      <c r="CE127" s="206"/>
      <c r="CS127" s="206"/>
      <c r="CT127" s="206"/>
      <c r="CU127" s="206"/>
      <c r="CV127" s="206"/>
      <c r="CW127" s="206"/>
      <c r="CX127" s="206"/>
      <c r="CY127" s="206"/>
    </row>
  </sheetData>
  <dataValidations count="2">
    <dataValidation type="list" allowBlank="1" showInputMessage="1" showErrorMessage="1" sqref="H6 S6 AD6 AZ6 AO6 BK6 CE6 CK6">
      <formula1>"TRUE,FALSE"</formula1>
    </dataValidation>
    <dataValidation type="list" allowBlank="1" showInputMessage="1" showErrorMessage="1" sqref="BV6">
      <formula1>"True,False"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JumpToCoverPage">
                <anchor moveWithCells="1" sizeWithCells="1">
                  <from>
                    <xdr:col>1</xdr:col>
                    <xdr:colOff>19050</xdr:colOff>
                    <xdr:row>0</xdr:row>
                    <xdr:rowOff>38100</xdr:rowOff>
                  </from>
                  <to>
                    <xdr:col>2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282</vt:i4>
      </vt:variant>
    </vt:vector>
  </HeadingPairs>
  <TitlesOfParts>
    <vt:vector size="323" baseType="lpstr">
      <vt:lpstr>USD_DATA</vt:lpstr>
      <vt:lpstr>EUR_DATA</vt:lpstr>
      <vt:lpstr>JPY_DATA</vt:lpstr>
      <vt:lpstr>AED_DATA</vt:lpstr>
      <vt:lpstr>BRL_DATA</vt:lpstr>
      <vt:lpstr>CAD_DATA</vt:lpstr>
      <vt:lpstr>CNH_DATA</vt:lpstr>
      <vt:lpstr>CZK_DATA</vt:lpstr>
      <vt:lpstr>GBP_DATA</vt:lpstr>
      <vt:lpstr>HKD_DATA</vt:lpstr>
      <vt:lpstr>HUF_DATA</vt:lpstr>
      <vt:lpstr>ILS_DATA</vt:lpstr>
      <vt:lpstr>INR_DATA</vt:lpstr>
      <vt:lpstr>PLN_DATA</vt:lpstr>
      <vt:lpstr>RON_DATA</vt:lpstr>
      <vt:lpstr>RUB_DATA</vt:lpstr>
      <vt:lpstr>SAR_DATA</vt:lpstr>
      <vt:lpstr>TRY_DATA</vt:lpstr>
      <vt:lpstr>ZAR_DATA</vt:lpstr>
      <vt:lpstr>COVER</vt:lpstr>
      <vt:lpstr>STATIC DATA</vt:lpstr>
      <vt:lpstr>CFETS</vt:lpstr>
      <vt:lpstr>FX</vt:lpstr>
      <vt:lpstr>USD_CURVES</vt:lpstr>
      <vt:lpstr>EUR_CURVES</vt:lpstr>
      <vt:lpstr>JPY_CURVES</vt:lpstr>
      <vt:lpstr>AED_CURVES</vt:lpstr>
      <vt:lpstr>BRL_CURVES</vt:lpstr>
      <vt:lpstr>CAD_CURVES</vt:lpstr>
      <vt:lpstr>CNH_CURVES</vt:lpstr>
      <vt:lpstr>CZK_CURVES</vt:lpstr>
      <vt:lpstr>HKD_CURVES</vt:lpstr>
      <vt:lpstr>HUF_CURVES</vt:lpstr>
      <vt:lpstr>ILS_CURVES</vt:lpstr>
      <vt:lpstr>INR_CURVES</vt:lpstr>
      <vt:lpstr>PLN_CURVES</vt:lpstr>
      <vt:lpstr>RON_CURVES</vt:lpstr>
      <vt:lpstr>RUB_CURVES</vt:lpstr>
      <vt:lpstr>SAR_CURVES</vt:lpstr>
      <vt:lpstr>TRY_CURVES</vt:lpstr>
      <vt:lpstr>ZAR_CURVES</vt:lpstr>
      <vt:lpstr>AED3M</vt:lpstr>
      <vt:lpstr>AED6M</vt:lpstr>
      <vt:lpstr>AEDEURCSA</vt:lpstr>
      <vt:lpstr>AEDJPYCSA</vt:lpstr>
      <vt:lpstr>AEDOIS</vt:lpstr>
      <vt:lpstr>AEDXCCY</vt:lpstr>
      <vt:lpstr>CAD1M</vt:lpstr>
      <vt:lpstr>CAD3M</vt:lpstr>
      <vt:lpstr>CAD6M</vt:lpstr>
      <vt:lpstr>CADEURCSA</vt:lpstr>
      <vt:lpstr>CADJPYCSA</vt:lpstr>
      <vt:lpstr>CADOIS</vt:lpstr>
      <vt:lpstr>CADXCCY</vt:lpstr>
      <vt:lpstr>CalculationTriggers</vt:lpstr>
      <vt:lpstr>CNH3M</vt:lpstr>
      <vt:lpstr>CNH6M</vt:lpstr>
      <vt:lpstr>CNHEURCSA</vt:lpstr>
      <vt:lpstr>CNHJPYCSA</vt:lpstr>
      <vt:lpstr>CNHOIS</vt:lpstr>
      <vt:lpstr>CNHXCCY</vt:lpstr>
      <vt:lpstr>Currencies</vt:lpstr>
      <vt:lpstr>USD_CURVES!CurveCollection</vt:lpstr>
      <vt:lpstr>CZK1M</vt:lpstr>
      <vt:lpstr>CZK3M</vt:lpstr>
      <vt:lpstr>CZK6M</vt:lpstr>
      <vt:lpstr>CZKEURCSA</vt:lpstr>
      <vt:lpstr>CZKJPYCSA</vt:lpstr>
      <vt:lpstr>CZKOIS</vt:lpstr>
      <vt:lpstr>CZKXCCY</vt:lpstr>
      <vt:lpstr>EnableAED</vt:lpstr>
      <vt:lpstr>EnableBRL</vt:lpstr>
      <vt:lpstr>EnableCAD</vt:lpstr>
      <vt:lpstr>EnableCNH</vt:lpstr>
      <vt:lpstr>EnableCZK</vt:lpstr>
      <vt:lpstr>EnableEUR</vt:lpstr>
      <vt:lpstr>EnableHKD</vt:lpstr>
      <vt:lpstr>EnableHUF</vt:lpstr>
      <vt:lpstr>EnableILS</vt:lpstr>
      <vt:lpstr>EnableINR</vt:lpstr>
      <vt:lpstr>EnableJPY</vt:lpstr>
      <vt:lpstr>EnablePLN</vt:lpstr>
      <vt:lpstr>EnableRON</vt:lpstr>
      <vt:lpstr>EnableRUB</vt:lpstr>
      <vt:lpstr>EnableSAR</vt:lpstr>
      <vt:lpstr>EnableTRY</vt:lpstr>
      <vt:lpstr>EnableUSD</vt:lpstr>
      <vt:lpstr>EnableZAR</vt:lpstr>
      <vt:lpstr>EUR1M</vt:lpstr>
      <vt:lpstr>EUR3M</vt:lpstr>
      <vt:lpstr>EUR6M</vt:lpstr>
      <vt:lpstr>EURJPYCSA</vt:lpstr>
      <vt:lpstr>EUROIS</vt:lpstr>
      <vt:lpstr>EURXCCY</vt:lpstr>
      <vt:lpstr>ExistsAED3M</vt:lpstr>
      <vt:lpstr>ExistsAED6M</vt:lpstr>
      <vt:lpstr>ExistsAEDEURCSA</vt:lpstr>
      <vt:lpstr>ExistsAEDJPYCSA</vt:lpstr>
      <vt:lpstr>ExistsAEDOIS</vt:lpstr>
      <vt:lpstr>ExistsAEDXCCY</vt:lpstr>
      <vt:lpstr>ExistsCAD1M</vt:lpstr>
      <vt:lpstr>ExistsCAD3M</vt:lpstr>
      <vt:lpstr>ExistsCAD6M</vt:lpstr>
      <vt:lpstr>ExistsCADEURCSA</vt:lpstr>
      <vt:lpstr>ExistsCADJPYCSA</vt:lpstr>
      <vt:lpstr>ExistsCADOIS</vt:lpstr>
      <vt:lpstr>ExistsCADXCCY</vt:lpstr>
      <vt:lpstr>ExistsCNH3M</vt:lpstr>
      <vt:lpstr>ExistsCNH6M</vt:lpstr>
      <vt:lpstr>ExistsCNHEURCSA</vt:lpstr>
      <vt:lpstr>ExistsCNHJPYCSA</vt:lpstr>
      <vt:lpstr>ExistsCNHOIS</vt:lpstr>
      <vt:lpstr>ExistsCNHXCCY</vt:lpstr>
      <vt:lpstr>ExistsCZK1M</vt:lpstr>
      <vt:lpstr>ExistsCZK3M</vt:lpstr>
      <vt:lpstr>ExistsCZK6M</vt:lpstr>
      <vt:lpstr>ExistsCZKEURCSA</vt:lpstr>
      <vt:lpstr>ExistsCZKJPYCSA</vt:lpstr>
      <vt:lpstr>ExistsCZKOIS</vt:lpstr>
      <vt:lpstr>ExistsCZKXCCY</vt:lpstr>
      <vt:lpstr>ExistsEUR1M</vt:lpstr>
      <vt:lpstr>ExistsEUR3M</vt:lpstr>
      <vt:lpstr>ExistsEUR6M</vt:lpstr>
      <vt:lpstr>ExistsEURJPYCSA</vt:lpstr>
      <vt:lpstr>ExistsEUROIS</vt:lpstr>
      <vt:lpstr>ExistsEURXCCY</vt:lpstr>
      <vt:lpstr>ExistsHKD1M</vt:lpstr>
      <vt:lpstr>ExistsHKD3M</vt:lpstr>
      <vt:lpstr>ExistsHKD6M</vt:lpstr>
      <vt:lpstr>ExistsHKDEURCSA</vt:lpstr>
      <vt:lpstr>ExistsHKDJPYCSA</vt:lpstr>
      <vt:lpstr>ExistsHKDOIS</vt:lpstr>
      <vt:lpstr>ExistsHKDXCCY</vt:lpstr>
      <vt:lpstr>ExistsHUF1M</vt:lpstr>
      <vt:lpstr>ExistsHUF3M</vt:lpstr>
      <vt:lpstr>ExistsHUF6M</vt:lpstr>
      <vt:lpstr>ExistsHUFJPYCSA</vt:lpstr>
      <vt:lpstr>ExistsHUFOIS</vt:lpstr>
      <vt:lpstr>ExistsHUFUSDCSA</vt:lpstr>
      <vt:lpstr>ExistsHUFXCCY</vt:lpstr>
      <vt:lpstr>ExistsILS3M</vt:lpstr>
      <vt:lpstr>ExistsILS6M</vt:lpstr>
      <vt:lpstr>ExistsILSEURCSA</vt:lpstr>
      <vt:lpstr>ExistsILSJPYCSA</vt:lpstr>
      <vt:lpstr>ExistsILSOIS</vt:lpstr>
      <vt:lpstr>ExistsILSXCCY</vt:lpstr>
      <vt:lpstr>ExistsINR3M</vt:lpstr>
      <vt:lpstr>ExistsINR6M</vt:lpstr>
      <vt:lpstr>ExistsINREURCSA</vt:lpstr>
      <vt:lpstr>ExistsINRJPYCSA</vt:lpstr>
      <vt:lpstr>ExistsINROIS</vt:lpstr>
      <vt:lpstr>ExistsINRXCCY</vt:lpstr>
      <vt:lpstr>ExistsJPY3M</vt:lpstr>
      <vt:lpstr>ExistsJPY6M</vt:lpstr>
      <vt:lpstr>ExistsJPYEURCSA</vt:lpstr>
      <vt:lpstr>ExistsJPYOIS</vt:lpstr>
      <vt:lpstr>ExistsJPYXCCY</vt:lpstr>
      <vt:lpstr>ExistsPLN1M</vt:lpstr>
      <vt:lpstr>ExistsPLN3M</vt:lpstr>
      <vt:lpstr>ExistsPLN6M</vt:lpstr>
      <vt:lpstr>ExistsPLNEURCSA</vt:lpstr>
      <vt:lpstr>ExistsPLNJPYCSA</vt:lpstr>
      <vt:lpstr>ExistsPLNOIS</vt:lpstr>
      <vt:lpstr>ExistsPLNXCCY</vt:lpstr>
      <vt:lpstr>ExistsRON3M</vt:lpstr>
      <vt:lpstr>ExistsRON6M</vt:lpstr>
      <vt:lpstr>ExistsRONOIS</vt:lpstr>
      <vt:lpstr>ExistsRONXCCY</vt:lpstr>
      <vt:lpstr>ExistsRUB3M</vt:lpstr>
      <vt:lpstr>ExistsRUB6M</vt:lpstr>
      <vt:lpstr>ExistsRUBEURCSA</vt:lpstr>
      <vt:lpstr>ExistsRUBJPYCSA</vt:lpstr>
      <vt:lpstr>ExistsRUBOIS</vt:lpstr>
      <vt:lpstr>ExistsRUBXCCY</vt:lpstr>
      <vt:lpstr>ExistsSAR1M</vt:lpstr>
      <vt:lpstr>ExistsSAR3M</vt:lpstr>
      <vt:lpstr>ExistsSAR6M</vt:lpstr>
      <vt:lpstr>ExistsSAREURCSA</vt:lpstr>
      <vt:lpstr>ExistsSARJPYCSA</vt:lpstr>
      <vt:lpstr>ExistsSAROIS</vt:lpstr>
      <vt:lpstr>ExistsSARXCCY</vt:lpstr>
      <vt:lpstr>ExistsTRY3M</vt:lpstr>
      <vt:lpstr>ExistsTRY6M</vt:lpstr>
      <vt:lpstr>ExistsTRYEURCSA</vt:lpstr>
      <vt:lpstr>ExistsTRYJPYCSA</vt:lpstr>
      <vt:lpstr>ExistsTRYOIS</vt:lpstr>
      <vt:lpstr>ExistsTRYXCCY</vt:lpstr>
      <vt:lpstr>ExistsUSD1M</vt:lpstr>
      <vt:lpstr>ExistsUSD3M</vt:lpstr>
      <vt:lpstr>ExistsUSD6M</vt:lpstr>
      <vt:lpstr>ExistsUSDEURCSA</vt:lpstr>
      <vt:lpstr>ExistsUSDJPYSCA</vt:lpstr>
      <vt:lpstr>ExistsUSDOIS</vt:lpstr>
      <vt:lpstr>ExistsZAR3M</vt:lpstr>
      <vt:lpstr>ExistsZAR6M</vt:lpstr>
      <vt:lpstr>ExistsZAREURCSA</vt:lpstr>
      <vt:lpstr>ExistsZARJPYCSA</vt:lpstr>
      <vt:lpstr>ExistsZAROIS</vt:lpstr>
      <vt:lpstr>ExistsZARXCCY</vt:lpstr>
      <vt:lpstr>HKD1M</vt:lpstr>
      <vt:lpstr>HKD3M</vt:lpstr>
      <vt:lpstr>HKD6M</vt:lpstr>
      <vt:lpstr>HKDEURCSA</vt:lpstr>
      <vt:lpstr>HKDJPYCSA</vt:lpstr>
      <vt:lpstr>HKDOIS</vt:lpstr>
      <vt:lpstr>HKDXCCY</vt:lpstr>
      <vt:lpstr>HUF1M</vt:lpstr>
      <vt:lpstr>HUF3M</vt:lpstr>
      <vt:lpstr>HUF6M</vt:lpstr>
      <vt:lpstr>HUFJPYCSA</vt:lpstr>
      <vt:lpstr>HUFOIS</vt:lpstr>
      <vt:lpstr>HUFUSDCSA</vt:lpstr>
      <vt:lpstr>HUFXCCY</vt:lpstr>
      <vt:lpstr>ILS3M</vt:lpstr>
      <vt:lpstr>ILS6M</vt:lpstr>
      <vt:lpstr>ILSEURCSA</vt:lpstr>
      <vt:lpstr>ILSJPYCSA</vt:lpstr>
      <vt:lpstr>ILSOIS</vt:lpstr>
      <vt:lpstr>ILSXCCY</vt:lpstr>
      <vt:lpstr>INR6M</vt:lpstr>
      <vt:lpstr>INREURCSA</vt:lpstr>
      <vt:lpstr>INRJPYCSA</vt:lpstr>
      <vt:lpstr>INROIS</vt:lpstr>
      <vt:lpstr>INRXCCY</vt:lpstr>
      <vt:lpstr>EUR_DATA!isUSDMarketDataLoaded</vt:lpstr>
      <vt:lpstr>JPY_DATA!isUSDMarketDataLoaded</vt:lpstr>
      <vt:lpstr>isUSDMarketDataLoaded</vt:lpstr>
      <vt:lpstr>JPY3M</vt:lpstr>
      <vt:lpstr>JPY6M</vt:lpstr>
      <vt:lpstr>JPYEURCSA</vt:lpstr>
      <vt:lpstr>JPYOIS</vt:lpstr>
      <vt:lpstr>JPYXCCY</vt:lpstr>
      <vt:lpstr>JumpToCurveAED</vt:lpstr>
      <vt:lpstr>JumpToCurveBRL</vt:lpstr>
      <vt:lpstr>JumpToCurveCAD</vt:lpstr>
      <vt:lpstr>JumpToCurveCNH</vt:lpstr>
      <vt:lpstr>JumpToCurveCZK</vt:lpstr>
      <vt:lpstr>JumpToCurveEUR</vt:lpstr>
      <vt:lpstr>JumpToCurveHKD</vt:lpstr>
      <vt:lpstr>JumpToCurveHUF</vt:lpstr>
      <vt:lpstr>JumpToCurveILS</vt:lpstr>
      <vt:lpstr>JumpToCurveINR</vt:lpstr>
      <vt:lpstr>JumpToCurveJPY</vt:lpstr>
      <vt:lpstr>JumpToCurvePLN</vt:lpstr>
      <vt:lpstr>JumpToCurveRON</vt:lpstr>
      <vt:lpstr>JumpToCurveRUB</vt:lpstr>
      <vt:lpstr>JumpToCurveSAR</vt:lpstr>
      <vt:lpstr>JumpToCurveTRY</vt:lpstr>
      <vt:lpstr>JumpToCurveUSD</vt:lpstr>
      <vt:lpstr>JumpToCurveZAR</vt:lpstr>
      <vt:lpstr>JumpToDataAED</vt:lpstr>
      <vt:lpstr>JumpToDataBRL</vt:lpstr>
      <vt:lpstr>JumpToDataCAD</vt:lpstr>
      <vt:lpstr>JumpToDataCNH</vt:lpstr>
      <vt:lpstr>JumpToDataCZK</vt:lpstr>
      <vt:lpstr>JumpToDataEUR</vt:lpstr>
      <vt:lpstr>JumpToDataHKD</vt:lpstr>
      <vt:lpstr>JumpToDataHUF</vt:lpstr>
      <vt:lpstr>JumpToDataILS</vt:lpstr>
      <vt:lpstr>JumpToDataINR</vt:lpstr>
      <vt:lpstr>JumpToDataJPY</vt:lpstr>
      <vt:lpstr>JumpToDataPLN</vt:lpstr>
      <vt:lpstr>JumpToDataRON</vt:lpstr>
      <vt:lpstr>JumpToDataRUB</vt:lpstr>
      <vt:lpstr>JumpToDataSAR</vt:lpstr>
      <vt:lpstr>JumpToDataTRY</vt:lpstr>
      <vt:lpstr>JumpToDataUSD</vt:lpstr>
      <vt:lpstr>JumpToDataZAR</vt:lpstr>
      <vt:lpstr>EUR_DATA!MissingDataPointsUSD</vt:lpstr>
      <vt:lpstr>JPY_DATA!MissingDataPointsUSD</vt:lpstr>
      <vt:lpstr>MissingDataPointsUSD</vt:lpstr>
      <vt:lpstr>PLN1M</vt:lpstr>
      <vt:lpstr>PLN3M</vt:lpstr>
      <vt:lpstr>PLN6M</vt:lpstr>
      <vt:lpstr>PLNEURCSA</vt:lpstr>
      <vt:lpstr>PLNJPYCSA</vt:lpstr>
      <vt:lpstr>PLNOIS</vt:lpstr>
      <vt:lpstr>PLNXCCY</vt:lpstr>
      <vt:lpstr>RON3M</vt:lpstr>
      <vt:lpstr>RON6M</vt:lpstr>
      <vt:lpstr>RONOIS</vt:lpstr>
      <vt:lpstr>RONXCCY</vt:lpstr>
      <vt:lpstr>RUB3M</vt:lpstr>
      <vt:lpstr>RUB6M</vt:lpstr>
      <vt:lpstr>RUBEURCSA</vt:lpstr>
      <vt:lpstr>RUBJPYCSA</vt:lpstr>
      <vt:lpstr>RUBOIS</vt:lpstr>
      <vt:lpstr>RUBXCCY</vt:lpstr>
      <vt:lpstr>SAR1M</vt:lpstr>
      <vt:lpstr>SAR3M</vt:lpstr>
      <vt:lpstr>SAR6M</vt:lpstr>
      <vt:lpstr>SAREURCSA</vt:lpstr>
      <vt:lpstr>SARJPYCSA</vt:lpstr>
      <vt:lpstr>SAROIS</vt:lpstr>
      <vt:lpstr>SARXCCY</vt:lpstr>
      <vt:lpstr>StaticData.Today</vt:lpstr>
      <vt:lpstr>TRY3M</vt:lpstr>
      <vt:lpstr>TRY6M</vt:lpstr>
      <vt:lpstr>TRYEURCSA</vt:lpstr>
      <vt:lpstr>TRYJPYCSA</vt:lpstr>
      <vt:lpstr>TRYOIS</vt:lpstr>
      <vt:lpstr>TRYXCCY</vt:lpstr>
      <vt:lpstr>USD1M</vt:lpstr>
      <vt:lpstr>USD3M</vt:lpstr>
      <vt:lpstr>USD6M</vt:lpstr>
      <vt:lpstr>USDCNH</vt:lpstr>
      <vt:lpstr>USDCNHCSA</vt:lpstr>
      <vt:lpstr>USDEURCSA</vt:lpstr>
      <vt:lpstr>USDHKD</vt:lpstr>
      <vt:lpstr>USDINR</vt:lpstr>
      <vt:lpstr>USDJPYCSA</vt:lpstr>
      <vt:lpstr>USDOIS</vt:lpstr>
      <vt:lpstr>USDTRY</vt:lpstr>
      <vt:lpstr>USDZAR</vt:lpstr>
      <vt:lpstr>ZAR_SWAP_FIX_FREQ</vt:lpstr>
      <vt:lpstr>ZAR_SWAP_FLOAT_FREQ</vt:lpstr>
      <vt:lpstr>ZAR_SWAP_FLOAT_FREQUENCY</vt:lpstr>
      <vt:lpstr>ZAR3M</vt:lpstr>
      <vt:lpstr>ZAR6M</vt:lpstr>
      <vt:lpstr>ZAREURCSA</vt:lpstr>
      <vt:lpstr>ZARJPYCSA</vt:lpstr>
      <vt:lpstr>ZAROIS</vt:lpstr>
      <vt:lpstr>ZARXCCY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Parsley Mark</dc:creator>
  <cp:lastModifiedBy>Burgess Nicholas</cp:lastModifiedBy>
  <cp:lastPrinted>2020-04-30T17:35:21Z</cp:lastPrinted>
  <dcterms:created xsi:type="dcterms:W3CDTF">2020-03-30T13:18:44Z</dcterms:created>
  <dcterms:modified xsi:type="dcterms:W3CDTF">2020-09-09T11:06:33Z</dcterms:modified>
</cp:coreProperties>
</file>