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9320" windowHeight="7170" tabRatio="681" activeTab="1"/>
  </bookViews>
  <sheets>
    <sheet name="Model Assumptions" sheetId="7" r:id="rId1"/>
    <sheet name="Bootstrapping USD OIS" sheetId="2" r:id="rId2"/>
    <sheet name="Bootstrapping USD SWAP 3ML" sheetId="4" r:id="rId3"/>
    <sheet name="Bootstrapping USD BASIS 6ML" sheetId="5" r:id="rId4"/>
    <sheet name="Bootstrapping USD BASIS 1ML" sheetId="8" r:id="rId5"/>
    <sheet name="Bootstrapping USD BASIS 12ML" sheetId="6" r:id="rId6"/>
    <sheet name="Bootrapping USD3ML Prototype" sheetId="1" state="hidden" r:id="rId7"/>
  </sheets>
  <functionGroups builtInGroupCount="17"/>
  <definedNames>
    <definedName name="DiscountFactor1Y">'Bootrapping USD3ML Prototype'!$F$11</definedName>
    <definedName name="DiscountFactor2Y">'Bootrapping USD3ML Prototype'!$F$12</definedName>
    <definedName name="DiscountFactor3Y">'Bootrapping USD3ML Prototype'!$F$13</definedName>
    <definedName name="DiscountFactor4Y">'Bootrapping USD3ML Prototype'!$F$14</definedName>
    <definedName name="DiscountFactor5Y">'Bootrapping USD3ML Prototype'!$F$15</definedName>
    <definedName name="ParRate1Y">'Bootrapping USD3ML Prototype'!$E$11</definedName>
    <definedName name="ParRate2Y">'Bootrapping USD3ML Prototype'!$E$12</definedName>
    <definedName name="ParRate3Y">'Bootrapping USD3ML Prototype'!$E$13</definedName>
    <definedName name="ParRate4Y">'Bootrapping USD3ML Prototype'!$E$14</definedName>
    <definedName name="ParRate5Y">'Bootrapping USD3ML Prototype'!$E$15</definedName>
  </definedNames>
  <calcPr calcId="145621"/>
</workbook>
</file>

<file path=xl/calcChain.xml><?xml version="1.0" encoding="utf-8"?>
<calcChain xmlns="http://schemas.openxmlformats.org/spreadsheetml/2006/main">
  <c r="Q6" i="2" l="1"/>
  <c r="D8" i="8" l="1"/>
  <c r="B8" i="8"/>
  <c r="J6" i="8"/>
  <c r="L7" i="8"/>
  <c r="J7" i="8"/>
  <c r="L8" i="8"/>
  <c r="J8" i="8"/>
  <c r="L9" i="8"/>
  <c r="J9" i="8"/>
  <c r="L10" i="8"/>
  <c r="J10" i="8"/>
  <c r="L11" i="8"/>
  <c r="J11" i="8"/>
  <c r="L12" i="8"/>
  <c r="J12" i="8"/>
  <c r="L13" i="8"/>
  <c r="J13" i="8"/>
  <c r="L14" i="8"/>
  <c r="J14" i="8"/>
  <c r="L15" i="8"/>
  <c r="J15" i="8"/>
  <c r="L16" i="8"/>
  <c r="J16" i="8"/>
  <c r="L17" i="8"/>
  <c r="J17" i="8"/>
  <c r="L18" i="8"/>
  <c r="J18" i="8"/>
  <c r="L19" i="8"/>
  <c r="J19" i="8"/>
  <c r="L20" i="8"/>
  <c r="J20" i="8"/>
  <c r="L21" i="8"/>
  <c r="J21" i="8"/>
  <c r="L22" i="8"/>
  <c r="J22" i="8"/>
  <c r="L23" i="8"/>
  <c r="J23" i="8"/>
  <c r="L24" i="8"/>
  <c r="J24" i="8"/>
  <c r="L25" i="8"/>
  <c r="J25" i="8"/>
  <c r="L26" i="8"/>
  <c r="J26" i="8"/>
  <c r="L27" i="8"/>
  <c r="J27" i="8"/>
  <c r="L28" i="8"/>
  <c r="J28" i="8"/>
  <c r="K29" i="2"/>
  <c r="M29" i="8"/>
  <c r="K29" i="4"/>
  <c r="S29" i="4"/>
  <c r="U29" i="8"/>
  <c r="L29" i="8"/>
  <c r="J29" i="8"/>
  <c r="L30" i="8"/>
  <c r="J30" i="8"/>
  <c r="L31" i="8"/>
  <c r="J31" i="8"/>
  <c r="L32" i="8"/>
  <c r="J32" i="8"/>
  <c r="L33" i="8"/>
  <c r="J33" i="8"/>
  <c r="L34" i="8"/>
  <c r="J34" i="8"/>
  <c r="L35" i="8"/>
  <c r="J35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U5" i="8"/>
  <c r="M5" i="8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J36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U6" i="6"/>
  <c r="K5" i="2"/>
  <c r="M6" i="6"/>
  <c r="J6" i="5"/>
  <c r="L7" i="5"/>
  <c r="J7" i="5"/>
  <c r="L8" i="5"/>
  <c r="J8" i="5"/>
  <c r="L9" i="5"/>
  <c r="J9" i="5"/>
  <c r="L10" i="5"/>
  <c r="J10" i="5"/>
  <c r="L11" i="5"/>
  <c r="J11" i="5"/>
  <c r="L12" i="5"/>
  <c r="J12" i="5"/>
  <c r="L13" i="5"/>
  <c r="J13" i="5"/>
  <c r="L14" i="5"/>
  <c r="J14" i="5"/>
  <c r="L15" i="5"/>
  <c r="J15" i="5"/>
  <c r="L16" i="5"/>
  <c r="J16" i="5"/>
  <c r="L17" i="5"/>
  <c r="J17" i="5"/>
  <c r="L18" i="5"/>
  <c r="J18" i="5"/>
  <c r="L19" i="5"/>
  <c r="J19" i="5"/>
  <c r="L20" i="5"/>
  <c r="J20" i="5"/>
  <c r="L21" i="5"/>
  <c r="J21" i="5"/>
  <c r="L22" i="5"/>
  <c r="J22" i="5"/>
  <c r="L23" i="5"/>
  <c r="J23" i="5"/>
  <c r="L24" i="5"/>
  <c r="J24" i="5"/>
  <c r="L25" i="5"/>
  <c r="J25" i="5"/>
  <c r="L26" i="5"/>
  <c r="J26" i="5"/>
  <c r="L27" i="5"/>
  <c r="J27" i="5"/>
  <c r="L28" i="5"/>
  <c r="J28" i="5"/>
  <c r="L29" i="5"/>
  <c r="J29" i="5"/>
  <c r="L30" i="5"/>
  <c r="J30" i="5"/>
  <c r="L31" i="5"/>
  <c r="J31" i="5"/>
  <c r="L32" i="5"/>
  <c r="J32" i="5"/>
  <c r="L33" i="5"/>
  <c r="J33" i="5"/>
  <c r="L34" i="5"/>
  <c r="J34" i="5"/>
  <c r="L35" i="5"/>
  <c r="J35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U5" i="5"/>
  <c r="M5" i="5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S5" i="4"/>
  <c r="K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H42" i="1"/>
  <c r="J42" i="1"/>
  <c r="K42" i="1"/>
  <c r="H43" i="1"/>
  <c r="J43" i="1"/>
  <c r="K43" i="1"/>
  <c r="H44" i="1"/>
  <c r="J44" i="1"/>
  <c r="K44" i="1"/>
  <c r="H45" i="1"/>
  <c r="J45" i="1"/>
  <c r="K45" i="1"/>
  <c r="H46" i="1"/>
  <c r="J46" i="1"/>
  <c r="K46" i="1"/>
  <c r="K40" i="1"/>
  <c r="H20" i="1"/>
  <c r="J20" i="1"/>
  <c r="K20" i="1"/>
  <c r="K18" i="1"/>
  <c r="U20" i="1"/>
  <c r="S20" i="1"/>
  <c r="S42" i="1"/>
  <c r="U42" i="1"/>
  <c r="V42" i="1"/>
  <c r="H24" i="1"/>
  <c r="J24" i="1"/>
  <c r="K24" i="1"/>
  <c r="H25" i="1"/>
  <c r="J25" i="1"/>
  <c r="K25" i="1"/>
  <c r="K22" i="1"/>
  <c r="S24" i="1"/>
  <c r="U24" i="1"/>
  <c r="V24" i="1"/>
  <c r="U25" i="1"/>
  <c r="S25" i="1"/>
  <c r="S43" i="1"/>
  <c r="U43" i="1"/>
  <c r="V43" i="1"/>
  <c r="H29" i="1"/>
  <c r="J29" i="1"/>
  <c r="K29" i="1"/>
  <c r="H30" i="1"/>
  <c r="J30" i="1"/>
  <c r="K30" i="1"/>
  <c r="H31" i="1"/>
  <c r="J31" i="1"/>
  <c r="K31" i="1"/>
  <c r="K27" i="1"/>
  <c r="S29" i="1"/>
  <c r="U29" i="1"/>
  <c r="V29" i="1"/>
  <c r="S30" i="1"/>
  <c r="U30" i="1"/>
  <c r="V30" i="1"/>
  <c r="U31" i="1"/>
  <c r="S31" i="1"/>
  <c r="S44" i="1"/>
  <c r="U44" i="1"/>
  <c r="V44" i="1"/>
  <c r="H35" i="1"/>
  <c r="J35" i="1"/>
  <c r="K35" i="1"/>
  <c r="H36" i="1"/>
  <c r="J36" i="1"/>
  <c r="K36" i="1"/>
  <c r="H37" i="1"/>
  <c r="J37" i="1"/>
  <c r="K37" i="1"/>
  <c r="H38" i="1"/>
  <c r="J38" i="1"/>
  <c r="K38" i="1"/>
  <c r="K33" i="1"/>
  <c r="S35" i="1"/>
  <c r="U35" i="1"/>
  <c r="V35" i="1"/>
  <c r="S36" i="1"/>
  <c r="U36" i="1"/>
  <c r="V36" i="1"/>
  <c r="S37" i="1"/>
  <c r="U37" i="1"/>
  <c r="V37" i="1"/>
  <c r="U38" i="1"/>
  <c r="S38" i="1"/>
  <c r="S45" i="1"/>
  <c r="U45" i="1"/>
  <c r="V45" i="1"/>
  <c r="U46" i="1"/>
  <c r="S46" i="1"/>
  <c r="V46" i="1"/>
  <c r="V40" i="1"/>
  <c r="V38" i="1"/>
  <c r="V33" i="1"/>
  <c r="V31" i="1"/>
  <c r="V27" i="1"/>
  <c r="V25" i="1"/>
  <c r="V22" i="1"/>
  <c r="V20" i="1"/>
  <c r="V18" i="1"/>
  <c r="I15" i="1"/>
  <c r="I14" i="1"/>
  <c r="I13" i="1"/>
  <c r="I12" i="1"/>
  <c r="I11" i="1"/>
  <c r="M30" i="6"/>
  <c r="U30" i="6"/>
  <c r="M29" i="5"/>
  <c r="U29" i="5"/>
  <c r="I7" i="4"/>
  <c r="I10" i="2"/>
  <c r="I11" i="4"/>
  <c r="I14" i="2"/>
  <c r="I15" i="4"/>
  <c r="I18" i="2"/>
  <c r="I19" i="4"/>
  <c r="I22" i="2"/>
  <c r="I23" i="4"/>
  <c r="I26" i="2"/>
  <c r="I27" i="4"/>
  <c r="I6" i="2"/>
  <c r="I9" i="2"/>
  <c r="I10" i="4"/>
  <c r="I13" i="2"/>
  <c r="I14" i="4"/>
  <c r="I17" i="2"/>
  <c r="I18" i="4"/>
  <c r="I21" i="2"/>
  <c r="I22" i="4"/>
  <c r="I25" i="2"/>
  <c r="I26" i="4"/>
  <c r="I29" i="2"/>
  <c r="I29" i="4"/>
  <c r="I30" i="4"/>
  <c r="I31" i="4"/>
  <c r="I32" i="4"/>
  <c r="I33" i="4"/>
  <c r="I34" i="4"/>
  <c r="I35" i="4"/>
  <c r="I6" i="4"/>
  <c r="I8" i="2"/>
  <c r="I9" i="4"/>
  <c r="I12" i="2"/>
  <c r="I13" i="4"/>
  <c r="I16" i="2"/>
  <c r="I17" i="4"/>
  <c r="I20" i="2"/>
  <c r="I21" i="4"/>
  <c r="I24" i="2"/>
  <c r="I25" i="4"/>
  <c r="I28" i="2"/>
  <c r="I30" i="2"/>
  <c r="I31" i="2"/>
  <c r="I7" i="2"/>
  <c r="I8" i="4"/>
  <c r="I11" i="2"/>
  <c r="I12" i="4"/>
  <c r="I15" i="2"/>
  <c r="I16" i="4"/>
  <c r="I24" i="4"/>
  <c r="I19" i="2"/>
  <c r="I32" i="2"/>
  <c r="I34" i="2"/>
  <c r="I23" i="2"/>
  <c r="I20" i="4"/>
  <c r="I27" i="2"/>
  <c r="I28" i="4"/>
  <c r="I33" i="2"/>
  <c r="I35" i="2"/>
  <c r="S6" i="2" l="1"/>
  <c r="S6" i="4" l="1"/>
  <c r="K6" i="2"/>
  <c r="U6" i="8"/>
  <c r="U6" i="5"/>
  <c r="U7" i="6"/>
  <c r="S7" i="2" l="1"/>
  <c r="T6" i="2"/>
  <c r="M6" i="8"/>
  <c r="K6" i="4"/>
  <c r="L6" i="2"/>
  <c r="M6" i="5"/>
  <c r="M7" i="6"/>
  <c r="L6" i="4" l="1"/>
  <c r="Q6" i="4" s="1"/>
  <c r="K7" i="2"/>
  <c r="U7" i="8"/>
  <c r="S7" i="4"/>
  <c r="U7" i="5"/>
  <c r="U8" i="6"/>
  <c r="Q7" i="2"/>
  <c r="L7" i="2" l="1"/>
  <c r="S8" i="2"/>
  <c r="T7" i="2"/>
  <c r="M7" i="8"/>
  <c r="K7" i="4"/>
  <c r="M8" i="6"/>
  <c r="M7" i="5"/>
  <c r="S6" i="8"/>
  <c r="T6" i="4"/>
  <c r="I6" i="5"/>
  <c r="K6" i="5" s="1"/>
  <c r="I7" i="6"/>
  <c r="K7" i="6" s="1"/>
  <c r="K8" i="2" l="1"/>
  <c r="U9" i="6"/>
  <c r="U8" i="8"/>
  <c r="U8" i="5"/>
  <c r="S8" i="4"/>
  <c r="Q8" i="2"/>
  <c r="L7" i="4"/>
  <c r="Q7" i="4" s="1"/>
  <c r="N6" i="5"/>
  <c r="S6" i="5" s="1"/>
  <c r="N7" i="6"/>
  <c r="S7" i="6" s="1"/>
  <c r="V6" i="8"/>
  <c r="I6" i="8" s="1"/>
  <c r="T7" i="4" l="1"/>
  <c r="S7" i="8"/>
  <c r="I8" i="6"/>
  <c r="K8" i="6" s="1"/>
  <c r="N8" i="6" s="1"/>
  <c r="I7" i="5"/>
  <c r="K7" i="5" s="1"/>
  <c r="N7" i="5" s="1"/>
  <c r="T8" i="2"/>
  <c r="M8" i="8"/>
  <c r="L8" i="2"/>
  <c r="K8" i="4"/>
  <c r="M9" i="6"/>
  <c r="M8" i="5"/>
  <c r="S9" i="2"/>
  <c r="V6" i="5"/>
  <c r="S7" i="5"/>
  <c r="V7" i="6"/>
  <c r="S8" i="6" s="1"/>
  <c r="V8" i="6" s="1"/>
  <c r="K6" i="8"/>
  <c r="N6" i="8"/>
  <c r="V7" i="5" l="1"/>
  <c r="U9" i="8"/>
  <c r="U9" i="5"/>
  <c r="S9" i="4"/>
  <c r="K9" i="2"/>
  <c r="U10" i="6"/>
  <c r="Q9" i="2"/>
  <c r="L8" i="4"/>
  <c r="Q8" i="4" s="1"/>
  <c r="V7" i="8"/>
  <c r="I7" i="8" s="1"/>
  <c r="K7" i="8" l="1"/>
  <c r="N7" i="8"/>
  <c r="S10" i="2"/>
  <c r="T9" i="2"/>
  <c r="I8" i="5"/>
  <c r="K8" i="5" s="1"/>
  <c r="N8" i="5" s="1"/>
  <c r="S8" i="5" s="1"/>
  <c r="S8" i="8"/>
  <c r="I9" i="6"/>
  <c r="K9" i="6" s="1"/>
  <c r="N9" i="6" s="1"/>
  <c r="S9" i="6" s="1"/>
  <c r="T8" i="4"/>
  <c r="M9" i="8"/>
  <c r="K9" i="4"/>
  <c r="M10" i="6"/>
  <c r="M9" i="5"/>
  <c r="L9" i="2"/>
  <c r="V8" i="8" l="1"/>
  <c r="I8" i="8" s="1"/>
  <c r="L9" i="4"/>
  <c r="Q9" i="4" s="1"/>
  <c r="V8" i="5"/>
  <c r="V9" i="6"/>
  <c r="S10" i="4"/>
  <c r="U10" i="5"/>
  <c r="K10" i="2"/>
  <c r="U10" i="8"/>
  <c r="U11" i="6"/>
  <c r="Q10" i="2"/>
  <c r="I9" i="5" l="1"/>
  <c r="K9" i="5" s="1"/>
  <c r="N9" i="5" s="1"/>
  <c r="S9" i="5" s="1"/>
  <c r="S9" i="8"/>
  <c r="I10" i="6"/>
  <c r="K10" i="6" s="1"/>
  <c r="N10" i="6" s="1"/>
  <c r="T9" i="4"/>
  <c r="T10" i="2"/>
  <c r="S11" i="2"/>
  <c r="M11" i="6"/>
  <c r="M10" i="5"/>
  <c r="K10" i="4"/>
  <c r="M10" i="8"/>
  <c r="L10" i="2"/>
  <c r="K8" i="8"/>
  <c r="N8" i="8"/>
  <c r="S10" i="6"/>
  <c r="L10" i="4" l="1"/>
  <c r="Q10" i="4"/>
  <c r="V10" i="6"/>
  <c r="V9" i="8"/>
  <c r="I9" i="8" s="1"/>
  <c r="K11" i="2"/>
  <c r="U11" i="5"/>
  <c r="U11" i="8"/>
  <c r="S11" i="4"/>
  <c r="U12" i="6"/>
  <c r="Q11" i="2"/>
  <c r="V9" i="5"/>
  <c r="K9" i="8" l="1"/>
  <c r="N9" i="8"/>
  <c r="K11" i="4"/>
  <c r="M11" i="8"/>
  <c r="M12" i="6"/>
  <c r="M11" i="5"/>
  <c r="L11" i="2"/>
  <c r="S12" i="2"/>
  <c r="T11" i="2"/>
  <c r="S10" i="8"/>
  <c r="I11" i="6"/>
  <c r="K11" i="6" s="1"/>
  <c r="N11" i="6" s="1"/>
  <c r="S11" i="6" s="1"/>
  <c r="I10" i="5"/>
  <c r="K10" i="5" s="1"/>
  <c r="N10" i="5" s="1"/>
  <c r="S10" i="5" s="1"/>
  <c r="T10" i="4"/>
  <c r="V11" i="6" l="1"/>
  <c r="V10" i="5"/>
  <c r="V10" i="8"/>
  <c r="I10" i="8" s="1"/>
  <c r="Q12" i="2"/>
  <c r="K12" i="2"/>
  <c r="U12" i="5"/>
  <c r="U12" i="8"/>
  <c r="S12" i="4"/>
  <c r="U13" i="6"/>
  <c r="L11" i="4"/>
  <c r="Q11" i="4" s="1"/>
  <c r="M13" i="6" l="1"/>
  <c r="M12" i="5"/>
  <c r="M12" i="8"/>
  <c r="K12" i="4"/>
  <c r="L12" i="4" s="1"/>
  <c r="L12" i="2"/>
  <c r="K10" i="8"/>
  <c r="N10" i="8"/>
  <c r="S13" i="2"/>
  <c r="T12" i="2"/>
  <c r="I12" i="6"/>
  <c r="K12" i="6" s="1"/>
  <c r="N12" i="6" s="1"/>
  <c r="I11" i="5"/>
  <c r="K11" i="5" s="1"/>
  <c r="N11" i="5" s="1"/>
  <c r="S11" i="5" s="1"/>
  <c r="S11" i="8"/>
  <c r="T11" i="4"/>
  <c r="Q12" i="4" s="1"/>
  <c r="S12" i="6"/>
  <c r="S12" i="8" l="1"/>
  <c r="I13" i="6"/>
  <c r="K13" i="6" s="1"/>
  <c r="I12" i="5"/>
  <c r="K12" i="5" s="1"/>
  <c r="T12" i="4"/>
  <c r="V11" i="5"/>
  <c r="Q13" i="2"/>
  <c r="K13" i="2"/>
  <c r="U13" i="8"/>
  <c r="U13" i="5"/>
  <c r="S13" i="4"/>
  <c r="U14" i="6"/>
  <c r="N12" i="5"/>
  <c r="S12" i="5" s="1"/>
  <c r="V12" i="5" s="1"/>
  <c r="V11" i="8"/>
  <c r="I11" i="8" s="1"/>
  <c r="V12" i="8"/>
  <c r="I12" i="8"/>
  <c r="K12" i="8" s="1"/>
  <c r="N12" i="8"/>
  <c r="V12" i="6"/>
  <c r="N13" i="6"/>
  <c r="K11" i="8" l="1"/>
  <c r="N11" i="8"/>
  <c r="M13" i="8"/>
  <c r="K13" i="4"/>
  <c r="L13" i="4" s="1"/>
  <c r="M14" i="6"/>
  <c r="M13" i="5"/>
  <c r="L13" i="2"/>
  <c r="S13" i="6"/>
  <c r="Q13" i="4"/>
  <c r="T13" i="2"/>
  <c r="S14" i="2"/>
  <c r="I14" i="6" l="1"/>
  <c r="K14" i="6" s="1"/>
  <c r="I13" i="5"/>
  <c r="K13" i="5" s="1"/>
  <c r="N13" i="5" s="1"/>
  <c r="S13" i="5" s="1"/>
  <c r="V13" i="5" s="1"/>
  <c r="S13" i="8"/>
  <c r="V13" i="8" s="1"/>
  <c r="T13" i="4"/>
  <c r="N14" i="6"/>
  <c r="V13" i="6"/>
  <c r="S14" i="4"/>
  <c r="U14" i="5"/>
  <c r="K14" i="2"/>
  <c r="U14" i="8"/>
  <c r="U15" i="6"/>
  <c r="Q14" i="2"/>
  <c r="I13" i="8"/>
  <c r="K13" i="8" s="1"/>
  <c r="T14" i="2" l="1"/>
  <c r="S15" i="2"/>
  <c r="M14" i="5"/>
  <c r="M14" i="8"/>
  <c r="M15" i="6"/>
  <c r="K14" i="4"/>
  <c r="L14" i="4" s="1"/>
  <c r="L14" i="2"/>
  <c r="N13" i="8"/>
  <c r="Q14" i="4"/>
  <c r="S14" i="6"/>
  <c r="V14" i="6" s="1"/>
  <c r="I15" i="6" l="1"/>
  <c r="K15" i="6" s="1"/>
  <c r="S14" i="8"/>
  <c r="V14" i="8" s="1"/>
  <c r="I14" i="8" s="1"/>
  <c r="I14" i="5"/>
  <c r="K14" i="5" s="1"/>
  <c r="T14" i="4"/>
  <c r="N14" i="5"/>
  <c r="S14" i="5" s="1"/>
  <c r="V14" i="5" s="1"/>
  <c r="N15" i="6"/>
  <c r="S15" i="6" s="1"/>
  <c r="V15" i="6" s="1"/>
  <c r="U15" i="8"/>
  <c r="S15" i="4"/>
  <c r="U16" i="6"/>
  <c r="K15" i="2"/>
  <c r="U15" i="5"/>
  <c r="Q15" i="2"/>
  <c r="K14" i="8" l="1"/>
  <c r="N14" i="8"/>
  <c r="T15" i="2"/>
  <c r="S16" i="2"/>
  <c r="K15" i="4"/>
  <c r="L15" i="4" s="1"/>
  <c r="Q15" i="4" s="1"/>
  <c r="M15" i="5"/>
  <c r="M15" i="8"/>
  <c r="M16" i="6"/>
  <c r="L15" i="2"/>
  <c r="S15" i="8" l="1"/>
  <c r="V15" i="8" s="1"/>
  <c r="I15" i="5"/>
  <c r="K15" i="5" s="1"/>
  <c r="I16" i="6"/>
  <c r="K16" i="6" s="1"/>
  <c r="T15" i="4"/>
  <c r="S16" i="4"/>
  <c r="U16" i="8"/>
  <c r="U16" i="5"/>
  <c r="K16" i="2"/>
  <c r="U17" i="6"/>
  <c r="Q16" i="2"/>
  <c r="I15" i="8"/>
  <c r="K15" i="8" s="1"/>
  <c r="N15" i="5"/>
  <c r="S15" i="5" s="1"/>
  <c r="V15" i="5" s="1"/>
  <c r="N16" i="6"/>
  <c r="S16" i="6" s="1"/>
  <c r="V16" i="6" s="1"/>
  <c r="T16" i="2" l="1"/>
  <c r="S17" i="2"/>
  <c r="N15" i="8"/>
  <c r="M16" i="5"/>
  <c r="M17" i="6"/>
  <c r="M16" i="8"/>
  <c r="K16" i="4"/>
  <c r="L16" i="4" s="1"/>
  <c r="L16" i="2"/>
  <c r="Q16" i="4"/>
  <c r="I16" i="5" l="1"/>
  <c r="K16" i="5" s="1"/>
  <c r="N16" i="5" s="1"/>
  <c r="S16" i="5" s="1"/>
  <c r="V16" i="5" s="1"/>
  <c r="I17" i="6"/>
  <c r="K17" i="6" s="1"/>
  <c r="S16" i="8"/>
  <c r="V16" i="8" s="1"/>
  <c r="I16" i="8" s="1"/>
  <c r="T16" i="4"/>
  <c r="N17" i="6"/>
  <c r="S17" i="6" s="1"/>
  <c r="V17" i="6" s="1"/>
  <c r="U17" i="8"/>
  <c r="U17" i="5"/>
  <c r="U18" i="6"/>
  <c r="S17" i="4"/>
  <c r="K17" i="2"/>
  <c r="Q17" i="2"/>
  <c r="K16" i="8" l="1"/>
  <c r="N16" i="8"/>
  <c r="T17" i="2"/>
  <c r="S18" i="2"/>
  <c r="M18" i="6"/>
  <c r="M17" i="5"/>
  <c r="K17" i="4"/>
  <c r="L17" i="4" s="1"/>
  <c r="Q17" i="4" s="1"/>
  <c r="L17" i="2"/>
  <c r="M17" i="8"/>
  <c r="I18" i="6" l="1"/>
  <c r="K18" i="6" s="1"/>
  <c r="I17" i="5"/>
  <c r="K17" i="5" s="1"/>
  <c r="S17" i="8"/>
  <c r="V17" i="8" s="1"/>
  <c r="I17" i="8" s="1"/>
  <c r="T17" i="4"/>
  <c r="N17" i="5"/>
  <c r="S17" i="5" s="1"/>
  <c r="V17" i="5" s="1"/>
  <c r="U18" i="5"/>
  <c r="S18" i="4"/>
  <c r="K18" i="2"/>
  <c r="U19" i="6"/>
  <c r="U18" i="8"/>
  <c r="Q18" i="2"/>
  <c r="N18" i="6"/>
  <c r="S18" i="6" s="1"/>
  <c r="V18" i="6" s="1"/>
  <c r="K17" i="8" l="1"/>
  <c r="N17" i="8"/>
  <c r="T18" i="2"/>
  <c r="S19" i="2"/>
  <c r="L18" i="2"/>
  <c r="M19" i="6"/>
  <c r="M18" i="5"/>
  <c r="M18" i="8"/>
  <c r="K18" i="4"/>
  <c r="L18" i="4" s="1"/>
  <c r="Q18" i="4"/>
  <c r="I19" i="6" l="1"/>
  <c r="K19" i="6" s="1"/>
  <c r="I18" i="5"/>
  <c r="K18" i="5" s="1"/>
  <c r="S18" i="8"/>
  <c r="V18" i="8" s="1"/>
  <c r="I18" i="8" s="1"/>
  <c r="T18" i="4"/>
  <c r="N18" i="5"/>
  <c r="S18" i="5" s="1"/>
  <c r="V18" i="5" s="1"/>
  <c r="N19" i="6"/>
  <c r="S19" i="6" s="1"/>
  <c r="V19" i="6" s="1"/>
  <c r="K19" i="2"/>
  <c r="U19" i="5"/>
  <c r="U19" i="8"/>
  <c r="S19" i="4"/>
  <c r="U20" i="6"/>
  <c r="Q19" i="2"/>
  <c r="K18" i="8" l="1"/>
  <c r="N18" i="8"/>
  <c r="T19" i="2"/>
  <c r="S20" i="2"/>
  <c r="L19" i="2"/>
  <c r="M19" i="8"/>
  <c r="K19" i="4"/>
  <c r="L19" i="4" s="1"/>
  <c r="Q19" i="4" s="1"/>
  <c r="M19" i="5"/>
  <c r="M20" i="6"/>
  <c r="S19" i="8" l="1"/>
  <c r="V19" i="8" s="1"/>
  <c r="I19" i="5"/>
  <c r="K19" i="5" s="1"/>
  <c r="I20" i="6"/>
  <c r="K20" i="6" s="1"/>
  <c r="T19" i="4"/>
  <c r="I19" i="8"/>
  <c r="K19" i="8" s="1"/>
  <c r="N20" i="6"/>
  <c r="S20" i="6" s="1"/>
  <c r="V20" i="6" s="1"/>
  <c r="N19" i="5"/>
  <c r="S19" i="5" s="1"/>
  <c r="V19" i="5" s="1"/>
  <c r="S20" i="4"/>
  <c r="K20" i="2"/>
  <c r="U20" i="5"/>
  <c r="U21" i="6"/>
  <c r="U20" i="8"/>
  <c r="Q20" i="2"/>
  <c r="T20" i="2" l="1"/>
  <c r="S21" i="2"/>
  <c r="L20" i="2"/>
  <c r="K20" i="4"/>
  <c r="L20" i="4" s="1"/>
  <c r="M20" i="5"/>
  <c r="M20" i="8"/>
  <c r="M21" i="6"/>
  <c r="N19" i="8"/>
  <c r="Q20" i="4"/>
  <c r="T20" i="4" l="1"/>
  <c r="S20" i="8"/>
  <c r="V20" i="8" s="1"/>
  <c r="I21" i="6"/>
  <c r="K21" i="6" s="1"/>
  <c r="I20" i="5"/>
  <c r="K20" i="5" s="1"/>
  <c r="Q21" i="2"/>
  <c r="U22" i="6"/>
  <c r="K21" i="2"/>
  <c r="U21" i="8"/>
  <c r="U21" i="5"/>
  <c r="S21" i="4"/>
  <c r="N21" i="6"/>
  <c r="S21" i="6" s="1"/>
  <c r="V21" i="6" s="1"/>
  <c r="N20" i="5"/>
  <c r="S20" i="5" s="1"/>
  <c r="V20" i="5" s="1"/>
  <c r="I20" i="8"/>
  <c r="K20" i="8" s="1"/>
  <c r="N20" i="8" l="1"/>
  <c r="L21" i="2"/>
  <c r="M22" i="6"/>
  <c r="M21" i="5"/>
  <c r="M21" i="8"/>
  <c r="K21" i="4"/>
  <c r="L21" i="4" s="1"/>
  <c r="Q21" i="4" s="1"/>
  <c r="T21" i="2"/>
  <c r="S22" i="2"/>
  <c r="T21" i="4" l="1"/>
  <c r="S21" i="8"/>
  <c r="V21" i="8" s="1"/>
  <c r="I21" i="5"/>
  <c r="K21" i="5" s="1"/>
  <c r="I22" i="6"/>
  <c r="K22" i="6" s="1"/>
  <c r="N21" i="5"/>
  <c r="S21" i="5" s="1"/>
  <c r="V21" i="5" s="1"/>
  <c r="S22" i="4"/>
  <c r="U22" i="5"/>
  <c r="K22" i="2"/>
  <c r="U22" i="8"/>
  <c r="U23" i="6"/>
  <c r="Q22" i="2"/>
  <c r="N22" i="6"/>
  <c r="S22" i="6" s="1"/>
  <c r="V22" i="6" s="1"/>
  <c r="I21" i="8"/>
  <c r="K21" i="8" s="1"/>
  <c r="T22" i="2" l="1"/>
  <c r="S23" i="2"/>
  <c r="L22" i="2"/>
  <c r="M23" i="6"/>
  <c r="M22" i="5"/>
  <c r="M22" i="8"/>
  <c r="K22" i="4"/>
  <c r="L22" i="4" s="1"/>
  <c r="N21" i="8"/>
  <c r="Q22" i="4"/>
  <c r="N23" i="6" l="1"/>
  <c r="S23" i="6" s="1"/>
  <c r="V23" i="6" s="1"/>
  <c r="K23" i="2"/>
  <c r="U23" i="5"/>
  <c r="U24" i="6"/>
  <c r="U23" i="8"/>
  <c r="S23" i="4"/>
  <c r="Q23" i="2"/>
  <c r="T22" i="4"/>
  <c r="I23" i="6"/>
  <c r="K23" i="6" s="1"/>
  <c r="S22" i="8"/>
  <c r="V22" i="8" s="1"/>
  <c r="I22" i="8" s="1"/>
  <c r="I22" i="5"/>
  <c r="K22" i="5" s="1"/>
  <c r="N22" i="5" s="1"/>
  <c r="S22" i="5" s="1"/>
  <c r="V22" i="5" s="1"/>
  <c r="K22" i="8" l="1"/>
  <c r="N22" i="8"/>
  <c r="T23" i="2"/>
  <c r="S24" i="2"/>
  <c r="L23" i="2"/>
  <c r="M23" i="8"/>
  <c r="M23" i="5"/>
  <c r="M24" i="6"/>
  <c r="K23" i="4"/>
  <c r="L23" i="4" s="1"/>
  <c r="Q23" i="4" s="1"/>
  <c r="T23" i="4" l="1"/>
  <c r="I24" i="6"/>
  <c r="K24" i="6" s="1"/>
  <c r="I23" i="5"/>
  <c r="K23" i="5" s="1"/>
  <c r="S23" i="8"/>
  <c r="V23" i="8" s="1"/>
  <c r="I23" i="8" s="1"/>
  <c r="S24" i="4"/>
  <c r="U25" i="6"/>
  <c r="K24" i="2"/>
  <c r="U24" i="5"/>
  <c r="U24" i="8"/>
  <c r="Q24" i="2"/>
  <c r="N24" i="6"/>
  <c r="S24" i="6" s="1"/>
  <c r="V24" i="6" s="1"/>
  <c r="N23" i="5"/>
  <c r="S23" i="5" s="1"/>
  <c r="V23" i="5" s="1"/>
  <c r="K23" i="8" l="1"/>
  <c r="N23" i="8"/>
  <c r="L24" i="2"/>
  <c r="K24" i="4"/>
  <c r="L24" i="4" s="1"/>
  <c r="M25" i="6"/>
  <c r="M24" i="5"/>
  <c r="M24" i="8"/>
  <c r="T24" i="2"/>
  <c r="S25" i="2"/>
  <c r="Q24" i="4"/>
  <c r="Q25" i="2" l="1"/>
  <c r="S25" i="4"/>
  <c r="K25" i="2"/>
  <c r="U25" i="8"/>
  <c r="U25" i="5"/>
  <c r="U26" i="6"/>
  <c r="T24" i="4"/>
  <c r="S24" i="8"/>
  <c r="V24" i="8" s="1"/>
  <c r="I24" i="8" s="1"/>
  <c r="I25" i="6"/>
  <c r="K25" i="6" s="1"/>
  <c r="N25" i="6" s="1"/>
  <c r="S25" i="6" s="1"/>
  <c r="V25" i="6" s="1"/>
  <c r="I24" i="5"/>
  <c r="K24" i="5" s="1"/>
  <c r="N24" i="5" s="1"/>
  <c r="S24" i="5" s="1"/>
  <c r="V24" i="5" s="1"/>
  <c r="K24" i="8" l="1"/>
  <c r="N24" i="8"/>
  <c r="L25" i="2"/>
  <c r="M25" i="5"/>
  <c r="M25" i="8"/>
  <c r="K25" i="4"/>
  <c r="L25" i="4" s="1"/>
  <c r="Q25" i="4" s="1"/>
  <c r="M26" i="6"/>
  <c r="T25" i="2"/>
  <c r="S26" i="2"/>
  <c r="T25" i="4" l="1"/>
  <c r="I26" i="6"/>
  <c r="K26" i="6" s="1"/>
  <c r="S25" i="8"/>
  <c r="V25" i="8" s="1"/>
  <c r="I25" i="8" s="1"/>
  <c r="I25" i="5"/>
  <c r="K25" i="5" s="1"/>
  <c r="U27" i="6"/>
  <c r="S26" i="4"/>
  <c r="U26" i="5"/>
  <c r="K26" i="2"/>
  <c r="U26" i="8"/>
  <c r="Q26" i="2"/>
  <c r="N25" i="5"/>
  <c r="S25" i="5" s="1"/>
  <c r="V25" i="5" s="1"/>
  <c r="N26" i="6"/>
  <c r="S26" i="6" s="1"/>
  <c r="V26" i="6" s="1"/>
  <c r="K25" i="8" l="1"/>
  <c r="N25" i="8"/>
  <c r="L26" i="2"/>
  <c r="M26" i="5"/>
  <c r="K26" i="4"/>
  <c r="L26" i="4" s="1"/>
  <c r="M26" i="8"/>
  <c r="M27" i="6"/>
  <c r="T26" i="2"/>
  <c r="S27" i="2"/>
  <c r="Q26" i="4"/>
  <c r="T26" i="4" l="1"/>
  <c r="S26" i="8"/>
  <c r="V26" i="8" s="1"/>
  <c r="I26" i="8" s="1"/>
  <c r="I26" i="5"/>
  <c r="K26" i="5" s="1"/>
  <c r="N26" i="5" s="1"/>
  <c r="S26" i="5" s="1"/>
  <c r="V26" i="5" s="1"/>
  <c r="I27" i="6"/>
  <c r="K27" i="6" s="1"/>
  <c r="N27" i="6" s="1"/>
  <c r="S27" i="6" s="1"/>
  <c r="V27" i="6" s="1"/>
  <c r="U27" i="8"/>
  <c r="S27" i="4"/>
  <c r="U27" i="5"/>
  <c r="U28" i="6"/>
  <c r="K27" i="2"/>
  <c r="Q27" i="2"/>
  <c r="K26" i="8" l="1"/>
  <c r="N26" i="8"/>
  <c r="T27" i="2"/>
  <c r="S28" i="2"/>
  <c r="L27" i="2"/>
  <c r="M28" i="6"/>
  <c r="M27" i="5"/>
  <c r="M27" i="8"/>
  <c r="K27" i="4"/>
  <c r="L27" i="4" s="1"/>
  <c r="Q27" i="4" s="1"/>
  <c r="T27" i="4" l="1"/>
  <c r="I28" i="6"/>
  <c r="K28" i="6" s="1"/>
  <c r="I27" i="5"/>
  <c r="K27" i="5" s="1"/>
  <c r="S27" i="8"/>
  <c r="V27" i="8" s="1"/>
  <c r="Q28" i="2"/>
  <c r="K28" i="2"/>
  <c r="U28" i="8"/>
  <c r="U28" i="5"/>
  <c r="S28" i="4"/>
  <c r="U29" i="6"/>
  <c r="I27" i="8"/>
  <c r="K27" i="8" s="1"/>
  <c r="N27" i="5"/>
  <c r="S27" i="5" s="1"/>
  <c r="V27" i="5" s="1"/>
  <c r="N28" i="6"/>
  <c r="S28" i="6" s="1"/>
  <c r="V28" i="6" s="1"/>
  <c r="L28" i="2" l="1"/>
  <c r="L29" i="2"/>
  <c r="K28" i="4"/>
  <c r="M29" i="6"/>
  <c r="M28" i="8"/>
  <c r="M28" i="5"/>
  <c r="N27" i="8"/>
  <c r="T28" i="2"/>
  <c r="S29" i="2"/>
  <c r="Q29" i="2" s="1"/>
  <c r="T29" i="2" l="1"/>
  <c r="S30" i="2"/>
  <c r="L29" i="4"/>
  <c r="L28" i="4"/>
  <c r="Q28" i="4" s="1"/>
  <c r="T28" i="4" l="1"/>
  <c r="Q29" i="4" s="1"/>
  <c r="I29" i="6"/>
  <c r="K29" i="6" s="1"/>
  <c r="S28" i="8"/>
  <c r="V28" i="8" s="1"/>
  <c r="I28" i="8" s="1"/>
  <c r="I28" i="5"/>
  <c r="K28" i="5" s="1"/>
  <c r="Q30" i="2"/>
  <c r="U31" i="6"/>
  <c r="U30" i="5"/>
  <c r="S30" i="4"/>
  <c r="K30" i="2"/>
  <c r="U30" i="8"/>
  <c r="N28" i="5" l="1"/>
  <c r="S28" i="5" s="1"/>
  <c r="V28" i="5" s="1"/>
  <c r="K28" i="8"/>
  <c r="N28" i="8"/>
  <c r="N29" i="6"/>
  <c r="S29" i="6" s="1"/>
  <c r="V29" i="6" s="1"/>
  <c r="L30" i="2"/>
  <c r="M30" i="5"/>
  <c r="M30" i="8"/>
  <c r="M31" i="6"/>
  <c r="K30" i="4"/>
  <c r="L30" i="4" s="1"/>
  <c r="Q30" i="4" s="1"/>
  <c r="T30" i="2"/>
  <c r="S31" i="2"/>
  <c r="I30" i="6"/>
  <c r="K30" i="6" s="1"/>
  <c r="N30" i="6" s="1"/>
  <c r="I29" i="5"/>
  <c r="K29" i="5" s="1"/>
  <c r="N29" i="5" s="1"/>
  <c r="S29" i="5" s="1"/>
  <c r="V29" i="5" s="1"/>
  <c r="S29" i="8"/>
  <c r="V29" i="8" s="1"/>
  <c r="I29" i="8" s="1"/>
  <c r="K29" i="8" s="1"/>
  <c r="T29" i="4"/>
  <c r="T30" i="4" l="1"/>
  <c r="S30" i="8"/>
  <c r="V30" i="8" s="1"/>
  <c r="I31" i="6"/>
  <c r="K31" i="6" s="1"/>
  <c r="I30" i="5"/>
  <c r="K30" i="5" s="1"/>
  <c r="N30" i="5"/>
  <c r="S30" i="5" s="1"/>
  <c r="V30" i="5" s="1"/>
  <c r="N31" i="6"/>
  <c r="N29" i="8"/>
  <c r="U31" i="8"/>
  <c r="U32" i="6"/>
  <c r="U31" i="5"/>
  <c r="S31" i="4"/>
  <c r="K31" i="2"/>
  <c r="Q31" i="2"/>
  <c r="I30" i="8"/>
  <c r="K30" i="8" s="1"/>
  <c r="S30" i="6"/>
  <c r="V30" i="6" s="1"/>
  <c r="N30" i="8" l="1"/>
  <c r="L31" i="2"/>
  <c r="M31" i="5"/>
  <c r="M31" i="8"/>
  <c r="M32" i="6"/>
  <c r="K31" i="4"/>
  <c r="L31" i="4" s="1"/>
  <c r="Q31" i="4" s="1"/>
  <c r="T31" i="2"/>
  <c r="S32" i="2"/>
  <c r="S31" i="6"/>
  <c r="V31" i="6" s="1"/>
  <c r="T31" i="4" l="1"/>
  <c r="I32" i="6"/>
  <c r="K32" i="6" s="1"/>
  <c r="S31" i="8"/>
  <c r="V31" i="8" s="1"/>
  <c r="I31" i="8" s="1"/>
  <c r="I31" i="5"/>
  <c r="K31" i="5" s="1"/>
  <c r="N31" i="5"/>
  <c r="S31" i="5" s="1"/>
  <c r="V31" i="5" s="1"/>
  <c r="S32" i="4"/>
  <c r="K32" i="2"/>
  <c r="U32" i="8"/>
  <c r="U32" i="5"/>
  <c r="U33" i="6"/>
  <c r="Q32" i="2"/>
  <c r="N32" i="6"/>
  <c r="S32" i="6" s="1"/>
  <c r="V32" i="6" s="1"/>
  <c r="K31" i="8" l="1"/>
  <c r="N31" i="8"/>
  <c r="T32" i="2"/>
  <c r="S33" i="2"/>
  <c r="L32" i="2"/>
  <c r="M32" i="8"/>
  <c r="K32" i="4"/>
  <c r="L32" i="4" s="1"/>
  <c r="M33" i="6"/>
  <c r="M32" i="5"/>
  <c r="Q32" i="4"/>
  <c r="T32" i="4" l="1"/>
  <c r="I33" i="6"/>
  <c r="K33" i="6" s="1"/>
  <c r="S32" i="8"/>
  <c r="V32" i="8" s="1"/>
  <c r="I32" i="8" s="1"/>
  <c r="I32" i="5"/>
  <c r="K32" i="5" s="1"/>
  <c r="N32" i="5" s="1"/>
  <c r="S32" i="5" s="1"/>
  <c r="V32" i="5" s="1"/>
  <c r="N33" i="6"/>
  <c r="S33" i="6" s="1"/>
  <c r="V33" i="6" s="1"/>
  <c r="U34" i="6"/>
  <c r="U33" i="8"/>
  <c r="U33" i="5"/>
  <c r="K33" i="2"/>
  <c r="S33" i="4"/>
  <c r="Q33" i="2"/>
  <c r="K32" i="8" l="1"/>
  <c r="N32" i="8"/>
  <c r="L33" i="2"/>
  <c r="K33" i="4"/>
  <c r="L33" i="4" s="1"/>
  <c r="M33" i="5"/>
  <c r="M34" i="6"/>
  <c r="M33" i="8"/>
  <c r="T33" i="2"/>
  <c r="S34" i="2"/>
  <c r="Q33" i="4"/>
  <c r="Q34" i="2" l="1"/>
  <c r="S34" i="4"/>
  <c r="U34" i="5"/>
  <c r="U35" i="6"/>
  <c r="U34" i="8"/>
  <c r="K34" i="2"/>
  <c r="T33" i="4"/>
  <c r="I34" i="6"/>
  <c r="K34" i="6" s="1"/>
  <c r="S33" i="8"/>
  <c r="V33" i="8" s="1"/>
  <c r="I33" i="8" s="1"/>
  <c r="I33" i="5"/>
  <c r="K33" i="5" s="1"/>
  <c r="N33" i="5" s="1"/>
  <c r="S33" i="5" s="1"/>
  <c r="V33" i="5" s="1"/>
  <c r="N34" i="6"/>
  <c r="S34" i="6" s="1"/>
  <c r="V34" i="6" s="1"/>
  <c r="K33" i="8" l="1"/>
  <c r="N33" i="8"/>
  <c r="L34" i="2"/>
  <c r="K34" i="4"/>
  <c r="L34" i="4" s="1"/>
  <c r="M34" i="5"/>
  <c r="M35" i="6"/>
  <c r="M34" i="8"/>
  <c r="Q34" i="4"/>
  <c r="T34" i="2"/>
  <c r="S35" i="2"/>
  <c r="U35" i="5" l="1"/>
  <c r="U35" i="8"/>
  <c r="U36" i="6"/>
  <c r="S35" i="4"/>
  <c r="K35" i="2"/>
  <c r="Q35" i="2"/>
  <c r="T35" i="2" s="1"/>
  <c r="N34" i="5"/>
  <c r="S34" i="5" s="1"/>
  <c r="V34" i="5" s="1"/>
  <c r="T34" i="4"/>
  <c r="S34" i="8"/>
  <c r="V34" i="8" s="1"/>
  <c r="I34" i="8" s="1"/>
  <c r="I35" i="6"/>
  <c r="K35" i="6" s="1"/>
  <c r="N35" i="6" s="1"/>
  <c r="S35" i="6" s="1"/>
  <c r="V35" i="6" s="1"/>
  <c r="I34" i="5"/>
  <c r="K34" i="5" s="1"/>
  <c r="K34" i="8" l="1"/>
  <c r="N34" i="8"/>
  <c r="L35" i="2"/>
  <c r="M35" i="8"/>
  <c r="M36" i="6"/>
  <c r="K35" i="4"/>
  <c r="L35" i="4" s="1"/>
  <c r="Q35" i="4" s="1"/>
  <c r="M35" i="5"/>
  <c r="T35" i="4" l="1"/>
  <c r="S35" i="8"/>
  <c r="V35" i="8" s="1"/>
  <c r="I35" i="8" s="1"/>
  <c r="I35" i="5"/>
  <c r="K35" i="5" s="1"/>
  <c r="I36" i="6"/>
  <c r="K36" i="6" s="1"/>
  <c r="N35" i="5"/>
  <c r="S35" i="5" s="1"/>
  <c r="V35" i="5" s="1"/>
  <c r="N36" i="6"/>
  <c r="S36" i="6" s="1"/>
  <c r="V36" i="6" s="1"/>
  <c r="K35" i="8" l="1"/>
  <c r="N35" i="8"/>
</calcChain>
</file>

<file path=xl/sharedStrings.xml><?xml version="1.0" encoding="utf-8"?>
<sst xmlns="http://schemas.openxmlformats.org/spreadsheetml/2006/main" count="360" uniqueCount="101">
  <si>
    <t>Yield Curve Calibration - Example USD3ML</t>
  </si>
  <si>
    <t>Simplified toy example for USD3ML using Annual Swaps. We bootstrap swaps  and assume</t>
  </si>
  <si>
    <t>we have already bootrapped the USDOIS curve and implied the OIS curve discount factors.</t>
  </si>
  <si>
    <t>Calibration Inputs</t>
  </si>
  <si>
    <t>Calibration Outputs</t>
  </si>
  <si>
    <t>Tenor</t>
  </si>
  <si>
    <t>Instrument</t>
  </si>
  <si>
    <t>ParRate, p</t>
  </si>
  <si>
    <r>
      <t>P(0,t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 +</t>
    </r>
  </si>
  <si>
    <r>
      <t>Forwards, l</t>
    </r>
    <r>
      <rPr>
        <b/>
        <vertAlign val="subscript"/>
        <sz val="11"/>
        <color theme="1"/>
        <rFont val="Calibri"/>
        <family val="2"/>
        <scheme val="minor"/>
      </rPr>
      <t>j</t>
    </r>
  </si>
  <si>
    <t>Swap</t>
  </si>
  <si>
    <r>
      <t>+ OIS Discount Factors, P(0,t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</si>
  <si>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Bloomberg: USD3ML</t>
  </si>
  <si>
    <t>Pay Fixed Leg</t>
  </si>
  <si>
    <t>PV Total</t>
  </si>
  <si>
    <t>Receive Float Leg</t>
  </si>
  <si>
    <t>Row</t>
  </si>
  <si>
    <t>Accrual Start</t>
  </si>
  <si>
    <t>Accrual End</t>
  </si>
  <si>
    <t>Pay Date</t>
  </si>
  <si>
    <t>ti</t>
  </si>
  <si>
    <t>N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</si>
  <si>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</si>
  <si>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t>PVFixed</t>
  </si>
  <si>
    <t>Fixing Date</t>
  </si>
  <si>
    <t>tj</t>
  </si>
  <si>
    <t>lj-1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</si>
  <si>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</si>
  <si>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t>PVFloat</t>
  </si>
  <si>
    <t>** Solve for the Libor rate that makes the Trade PV = 0, i.e. PV(Fixed)=PV(Float)</t>
  </si>
  <si>
    <t>* From previous swap result, since we are bootstrapping</t>
  </si>
  <si>
    <r>
      <t>PayDate, t</t>
    </r>
    <r>
      <rPr>
        <vertAlign val="subscript"/>
        <sz val="11"/>
        <color theme="1"/>
        <rFont val="Calibri"/>
        <family val="2"/>
        <scheme val="minor"/>
      </rPr>
      <t>i</t>
    </r>
  </si>
  <si>
    <t>Notional, N</t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</si>
  <si>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</si>
  <si>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PayDate, t</t>
    </r>
    <r>
      <rPr>
        <vertAlign val="subscript"/>
        <sz val="11"/>
        <color theme="1"/>
        <rFont val="Calibri"/>
        <family val="2"/>
        <scheme val="minor"/>
      </rPr>
      <t>j</t>
    </r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</si>
  <si>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,tj)</t>
    </r>
  </si>
  <si>
    <t>Market Quotes: OIS Par Rates</t>
  </si>
  <si>
    <t>1Y</t>
  </si>
  <si>
    <t>2Y</t>
  </si>
  <si>
    <t>5Y</t>
  </si>
  <si>
    <t>10Y</t>
  </si>
  <si>
    <t>O/N</t>
  </si>
  <si>
    <t>Total PV</t>
  </si>
  <si>
    <t>3Y</t>
  </si>
  <si>
    <t>4Y</t>
  </si>
  <si>
    <t>15Y</t>
  </si>
  <si>
    <t>20Y</t>
  </si>
  <si>
    <t>30Y</t>
  </si>
  <si>
    <t>Year</t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</si>
  <si>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Symbol"/>
        <family val="1"/>
        <charset val="2"/>
      </rPr>
      <t>i</t>
    </r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</si>
  <si>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j</t>
    </r>
  </si>
  <si>
    <t>3M</t>
  </si>
  <si>
    <t>Market Quotes: 3M Swap Par Rates</t>
  </si>
  <si>
    <t>OIS Swap - Fixed Leg</t>
  </si>
  <si>
    <t>OIS Swap - Float Leg</t>
  </si>
  <si>
    <t>IRS Swap - Fixed Leg</t>
  </si>
  <si>
    <t>IRS Swap - Float Leg</t>
  </si>
  <si>
    <t>Interpolation</t>
  </si>
  <si>
    <t>SPLINE</t>
  </si>
  <si>
    <t>ParSpread, s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</si>
  <si>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3M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</si>
  <si>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</si>
  <si>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  <r>
      <rPr>
        <sz val="11"/>
        <color theme="1"/>
        <rFont val="Calibri"/>
        <family val="2"/>
        <scheme val="minor"/>
      </rPr>
      <t xml:space="preserve"> + s</t>
    </r>
  </si>
  <si>
    <t>6M</t>
  </si>
  <si>
    <t>ParSpread, s (Bps)</t>
  </si>
  <si>
    <r>
      <t>DiscFactor, P(t</t>
    </r>
    <r>
      <rPr>
        <vertAlign val="subscript"/>
        <sz val="11"/>
        <color rgb="FFC00000"/>
        <rFont val="Calibri"/>
        <family val="2"/>
        <scheme val="minor"/>
      </rPr>
      <t>0</t>
    </r>
    <r>
      <rPr>
        <sz val="11"/>
        <color rgb="FFC00000"/>
        <rFont val="Calibri"/>
        <family val="2"/>
        <scheme val="minor"/>
      </rPr>
      <t>,tj)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</si>
  <si>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3M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</si>
  <si>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6M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</si>
  <si>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12M</t>
    </r>
  </si>
  <si>
    <t xml:space="preserve">Burgess, Nicholas, How to Price Swaps in Your Head - An Interest Rate Swap &amp; Asset Swap Primer (April 9, 2017). </t>
  </si>
  <si>
    <t>Burgess, Nicholas, Tenor Basis Swap Formulae (December 30, 2015).</t>
  </si>
  <si>
    <t>Available at SSRN: https://ssrn.com/abstract=2959605</t>
  </si>
  <si>
    <t>Available at SSRN: https://ssrn.com/abstract=2815495</t>
  </si>
  <si>
    <t>Model Assumptions</t>
  </si>
  <si>
    <t>This is a stylistic toy model with the following assumptions:</t>
  </si>
  <si>
    <t>… Bloomberg Data</t>
  </si>
  <si>
    <t>1. Regularized Cashflows</t>
  </si>
  <si>
    <t>All cashflows are annual with no holidays and regular intervals using a 30/360 daycount.</t>
  </si>
  <si>
    <t>2. Parametric Market Data</t>
  </si>
  <si>
    <t>… Model Formulae</t>
  </si>
  <si>
    <t>3. Calibration Instruments</t>
  </si>
  <si>
    <t>We assume our calibration instruments consist of OIS, IRS and Tenor Basis Swaps only</t>
  </si>
  <si>
    <t>4. OIS Swaps</t>
  </si>
  <si>
    <t>OIS swap effective floating rates comprise of daily OIS fixings that are averaged and compounded.</t>
  </si>
  <si>
    <t>For simplicity we assume the OIS floating rate is a single annualized rate set once a year.</t>
  </si>
  <si>
    <t>Calibration market data is known for every period and every year. We interpolate market data par rates and par spreads, the choice of</t>
  </si>
  <si>
    <t>interpolator drives the parametric form of the market data. In practice however, rather than interpolate the market data, practitoners</t>
  </si>
  <si>
    <t>specify forward rates and discount factors as an interpolation function, which becomes the target function in a solver routine.</t>
  </si>
  <si>
    <t>SOLVING FOR :</t>
  </si>
  <si>
    <t>Basis Swap - 12ML Float Leg (Unknown)</t>
  </si>
  <si>
    <t>Basis Swap - 3ML Float Leg (Known)</t>
  </si>
  <si>
    <t>Basis Swap - 6ML Float Leg (Unknown)</t>
  </si>
  <si>
    <t>Basis Swap - 1ML Float Leg (Unknown)</t>
  </si>
  <si>
    <t>1M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</si>
  <si>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1M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</si>
  <si>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</si>
  <si>
    <t>Market Quotes: 3X6 Basis Swap Par Spreads</t>
  </si>
  <si>
    <t>Market Quotes: 1X3 Basis Swap Par Spreads</t>
  </si>
  <si>
    <t>Market Quotes: 3X12 Basis Swap Par Spreads</t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</si>
  <si>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1M</t>
    </r>
    <r>
      <rPr>
        <sz val="11"/>
        <color theme="1"/>
        <rFont val="Calibri"/>
        <family val="2"/>
        <scheme val="minor"/>
      </rPr>
      <t xml:space="preserve"> + s</t>
    </r>
  </si>
  <si>
    <t>* Basis spreads are always applied to leg with the shorter float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</si>
</sst>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%"/>
    <numFmt numFmtId="165" formatCode="#,##0.000000"/>
    <numFmt numFmtId="166" formatCode="0.0000%"/>
    <numFmt numFmtId="167" formatCode="#,##0.00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0" tint="-0.249977111117893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C00000"/>
      <name val="Calibri"/>
      <family val="2"/>
      <scheme val="minor"/>
    </font>
    <font>
      <vertAlign val="superscript"/>
      <sz val="11"/>
      <color rgb="FFC00000"/>
      <name val="Calibri"/>
      <family val="2"/>
      <scheme val="minor"/>
    </font>
    <font>
      <b/>
      <sz val="12"/>
      <color rgb="FF505050"/>
      <name val="NexusSansWebPro"/>
    </font>
    <font>
      <b/>
      <sz val="12"/>
      <color theme="1"/>
      <name val="NexusSansWebPro"/>
    </font>
    <font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4" fontId="0" fillId="2" borderId="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vertical="center"/>
    </xf>
    <xf numFmtId="4" fontId="0" fillId="2" borderId="6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center" vertical="center"/>
    </xf>
    <xf numFmtId="166" fontId="0" fillId="0" borderId="0" xfId="0" quotePrefix="1" applyNumberFormat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164" fontId="0" fillId="4" borderId="10" xfId="0" applyNumberFormat="1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0" fillId="4" borderId="9" xfId="0" applyFont="1" applyFill="1" applyBorder="1" applyAlignment="1">
      <alignment horizontal="center" vertical="center"/>
    </xf>
    <xf numFmtId="15" fontId="9" fillId="2" borderId="6" xfId="0" applyNumberFormat="1" applyFont="1" applyFill="1" applyBorder="1" applyAlignment="1">
      <alignment horizontal="center" vertical="center"/>
    </xf>
    <xf numFmtId="15" fontId="9" fillId="2" borderId="7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3" fontId="9" fillId="2" borderId="7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3" fontId="4" fillId="2" borderId="8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Alignment="1">
      <alignment horizontal="center" vertical="center"/>
    </xf>
    <xf numFmtId="3" fontId="11" fillId="2" borderId="8" xfId="0" applyNumberFormat="1" applyFont="1" applyFill="1" applyBorder="1" applyAlignment="1">
      <alignment horizontal="center" vertical="center"/>
    </xf>
    <xf numFmtId="0" fontId="6" fillId="0" borderId="0" xfId="0" quotePrefix="1" applyFont="1"/>
    <xf numFmtId="164" fontId="0" fillId="0" borderId="0" xfId="0" applyNumberFormat="1"/>
    <xf numFmtId="15" fontId="9" fillId="2" borderId="1" xfId="0" applyNumberFormat="1" applyFon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3" fontId="4" fillId="2" borderId="3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3" fontId="11" fillId="2" borderId="3" xfId="0" applyNumberFormat="1" applyFont="1" applyFill="1" applyBorder="1" applyAlignment="1">
      <alignment horizontal="center" vertical="center"/>
    </xf>
    <xf numFmtId="15" fontId="9" fillId="2" borderId="4" xfId="0" applyNumberFormat="1" applyFon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165" fontId="4" fillId="2" borderId="0" xfId="0" applyNumberFormat="1" applyFont="1" applyFill="1" applyBorder="1" applyAlignment="1">
      <alignment horizontal="center" vertical="center"/>
    </xf>
    <xf numFmtId="3" fontId="4" fillId="2" borderId="5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3" fontId="11" fillId="2" borderId="5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9" fillId="3" borderId="5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4" fontId="9" fillId="3" borderId="8" xfId="0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4" fontId="0" fillId="2" borderId="2" xfId="0" applyNumberFormat="1" applyFill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 vertical="center"/>
    </xf>
    <xf numFmtId="3" fontId="0" fillId="2" borderId="4" xfId="0" applyNumberFormat="1" applyFill="1" applyBorder="1" applyAlignment="1">
      <alignment horizontal="center" vertical="center"/>
    </xf>
    <xf numFmtId="4" fontId="0" fillId="2" borderId="0" xfId="0" applyNumberFormat="1" applyFill="1" applyBorder="1" applyAlignment="1">
      <alignment horizontal="center" vertical="center"/>
    </xf>
    <xf numFmtId="4" fontId="4" fillId="2" borderId="0" xfId="0" applyNumberFormat="1" applyFont="1" applyFill="1" applyBorder="1" applyAlignment="1">
      <alignment horizontal="center" vertical="center"/>
    </xf>
    <xf numFmtId="3" fontId="0" fillId="2" borderId="6" xfId="0" applyNumberFormat="1" applyFill="1" applyBorder="1" applyAlignment="1">
      <alignment horizontal="center" vertical="center"/>
    </xf>
    <xf numFmtId="4" fontId="0" fillId="2" borderId="7" xfId="0" applyNumberForma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3" fontId="9" fillId="2" borderId="1" xfId="0" applyNumberFormat="1" applyFont="1" applyFill="1" applyBorder="1" applyAlignment="1">
      <alignment horizontal="center" vertical="center"/>
    </xf>
    <xf numFmtId="3" fontId="9" fillId="2" borderId="4" xfId="0" applyNumberFormat="1" applyFont="1" applyFill="1" applyBorder="1" applyAlignment="1">
      <alignment horizontal="center" vertical="center"/>
    </xf>
    <xf numFmtId="3" fontId="9" fillId="2" borderId="6" xfId="0" applyNumberFormat="1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7" fontId="4" fillId="2" borderId="0" xfId="0" applyNumberFormat="1" applyFont="1" applyFill="1" applyBorder="1" applyAlignment="1">
      <alignment horizontal="center" vertical="center"/>
    </xf>
    <xf numFmtId="167" fontId="0" fillId="3" borderId="3" xfId="0" applyNumberFormat="1" applyFill="1" applyBorder="1" applyAlignment="1">
      <alignment horizontal="center" vertical="center"/>
    </xf>
    <xf numFmtId="167" fontId="9" fillId="3" borderId="5" xfId="0" applyNumberFormat="1" applyFont="1" applyFill="1" applyBorder="1" applyAlignment="1">
      <alignment horizontal="center" vertical="center"/>
    </xf>
    <xf numFmtId="167" fontId="9" fillId="3" borderId="8" xfId="0" applyNumberFormat="1" applyFont="1" applyFill="1" applyBorder="1" applyAlignment="1">
      <alignment horizontal="center" vertical="center"/>
    </xf>
    <xf numFmtId="167" fontId="4" fillId="2" borderId="7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4" fontId="6" fillId="2" borderId="7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165" fontId="6" fillId="2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/>
    <xf numFmtId="0" fontId="21" fillId="0" borderId="0" xfId="0" applyFont="1"/>
    <xf numFmtId="0" fontId="1" fillId="0" borderId="0" xfId="0" quotePrefix="1" applyFont="1" applyAlignment="1">
      <alignment horizontal="center" vertical="center"/>
    </xf>
    <xf numFmtId="167" fontId="9" fillId="3" borderId="3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" fontId="13" fillId="0" borderId="0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AB-41D1-92D7-CD39E50B6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45376"/>
        <c:axId val="228594432"/>
      </c:scatterChart>
      <c:valAx>
        <c:axId val="22744537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594432"/>
        <c:crosses val="autoZero"/>
        <c:crossBetween val="midCat"/>
      </c:valAx>
      <c:valAx>
        <c:axId val="22859443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4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</a:t>
            </a:r>
            <a:r>
              <a:rPr lang="en-GB" baseline="0"/>
              <a:t> OIS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455159667541558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USDOIS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C3-410D-A439-842BE5B21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565952"/>
        <c:axId val="263508352"/>
      </c:scatterChart>
      <c:valAx>
        <c:axId val="25156595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08352"/>
        <c:crosses val="autoZero"/>
        <c:crossBetween val="midCat"/>
      </c:valAx>
      <c:valAx>
        <c:axId val="263508352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56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94422572178476"/>
          <c:y val="0.75744167395742212"/>
          <c:w val="0.16058377077865266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3ML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6773818897637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USD3ML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032-4F5C-BCD0-1A92BC9960EE}"/>
            </c:ext>
          </c:extLst>
        </c:ser>
        <c:ser>
          <c:idx val="1"/>
          <c:order val="1"/>
          <c:tx>
            <c:v>USDOIS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032-4F5C-BCD0-1A92BC996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33536"/>
        <c:axId val="234439808"/>
      </c:scatterChart>
      <c:valAx>
        <c:axId val="23443353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39808"/>
        <c:crosses val="autoZero"/>
        <c:crossBetween val="midCat"/>
      </c:valAx>
      <c:valAx>
        <c:axId val="23443980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33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16644794400702"/>
          <c:y val="0.69060112277631958"/>
          <c:w val="0.17079221347331583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91-448A-AAD3-5008C1003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52480"/>
        <c:axId val="234454400"/>
      </c:scatterChart>
      <c:valAx>
        <c:axId val="2344524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54400"/>
        <c:crosses val="autoZero"/>
        <c:crossBetween val="midCat"/>
      </c:valAx>
      <c:valAx>
        <c:axId val="23445440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6ML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BA-449B-A2A5-36AC50C5B402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BA-449B-A2A5-36AC50C5B402}"/>
            </c:ext>
          </c:extLst>
        </c:ser>
        <c:ser>
          <c:idx val="2"/>
          <c:order val="2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BA-449B-A2A5-36AC50C5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37952"/>
        <c:axId val="234640128"/>
      </c:scatterChart>
      <c:valAx>
        <c:axId val="23463795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40128"/>
        <c:crosses val="autoZero"/>
        <c:crossBetween val="midCat"/>
      </c:valAx>
      <c:valAx>
        <c:axId val="23464012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3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69934483380401"/>
          <c:y val="0.6191309419655876"/>
          <c:w val="0.12516070605678106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78-4638-A8FF-C62132A2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60608"/>
        <c:axId val="234662528"/>
      </c:scatterChart>
      <c:valAx>
        <c:axId val="23466060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62528"/>
        <c:crosses val="autoZero"/>
        <c:crossBetween val="midCat"/>
      </c:valAx>
      <c:valAx>
        <c:axId val="23466252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6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1ML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4D-4D20-9010-6CF8AE5C966F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4D-4D20-9010-6CF8AE5C966F}"/>
            </c:ext>
          </c:extLst>
        </c:ser>
        <c:ser>
          <c:idx val="3"/>
          <c:order val="2"/>
          <c:tx>
            <c:v>USD1ML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4D-4D20-9010-6CF8AE5C966F}"/>
            </c:ext>
          </c:extLst>
        </c:ser>
        <c:ser>
          <c:idx val="2"/>
          <c:order val="3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4D-4D20-9010-6CF8AE5C9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550336"/>
        <c:axId val="251568896"/>
      </c:scatterChart>
      <c:valAx>
        <c:axId val="25155033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568896"/>
        <c:crosses val="autoZero"/>
        <c:crossBetween val="midCat"/>
      </c:valAx>
      <c:valAx>
        <c:axId val="25156889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550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77059165314247"/>
          <c:y val="0.56820501603966167"/>
          <c:w val="0.12516070605678106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43-440E-9431-4A11BA5FF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5648"/>
        <c:axId val="262797568"/>
      </c:scatterChart>
      <c:valAx>
        <c:axId val="26279564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797568"/>
        <c:crosses val="autoZero"/>
        <c:crossBetween val="midCat"/>
      </c:valAx>
      <c:valAx>
        <c:axId val="26279756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79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6868546011901179E-2"/>
          <c:y val="0.13004629629629633"/>
          <c:w val="0.87029135861834062"/>
          <c:h val="0.73477653834937295"/>
        </c:manualLayout>
      </c:layout>
      <c:scatterChart>
        <c:scatterStyle val="lineMarker"/>
        <c:varyColors val="0"/>
        <c:ser>
          <c:idx val="3"/>
          <c:order val="0"/>
          <c:tx>
            <c:v>USD12ML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12ML'!$T$7:$T$36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12ML'!$S$7:$S$36</c:f>
              <c:numCache>
                <c:formatCode>0.00000%</c:formatCode>
                <c:ptCount val="30"/>
                <c:pt idx="0">
                  <c:v>1.912662E-2</c:v>
                </c:pt>
                <c:pt idx="1">
                  <c:v>1.5914245331243235E-2</c:v>
                </c:pt>
                <c:pt idx="2">
                  <c:v>1.5557960011591656E-2</c:v>
                </c:pt>
                <c:pt idx="3">
                  <c:v>1.5721804137419505E-2</c:v>
                </c:pt>
                <c:pt idx="4">
                  <c:v>1.691440788704187E-2</c:v>
                </c:pt>
                <c:pt idx="5">
                  <c:v>1.7804029563755146E-2</c:v>
                </c:pt>
                <c:pt idx="6">
                  <c:v>1.8544616959542251E-2</c:v>
                </c:pt>
                <c:pt idx="7">
                  <c:v>1.9307335816504425E-2</c:v>
                </c:pt>
                <c:pt idx="8">
                  <c:v>1.9984827499014132E-2</c:v>
                </c:pt>
                <c:pt idx="9">
                  <c:v>2.046676908491012E-2</c:v>
                </c:pt>
                <c:pt idx="10">
                  <c:v>2.0692219101640083E-2</c:v>
                </c:pt>
                <c:pt idx="11">
                  <c:v>2.0797851820367148E-2</c:v>
                </c:pt>
                <c:pt idx="12">
                  <c:v>2.0848242723155924E-2</c:v>
                </c:pt>
                <c:pt idx="13">
                  <c:v>2.0870464077845929E-2</c:v>
                </c:pt>
                <c:pt idx="14">
                  <c:v>2.0892206971012992E-2</c:v>
                </c:pt>
                <c:pt idx="15">
                  <c:v>2.0927999719213775E-2</c:v>
                </c:pt>
                <c:pt idx="16">
                  <c:v>2.0943588571235225E-2</c:v>
                </c:pt>
                <c:pt idx="17">
                  <c:v>2.0930965482435879E-2</c:v>
                </c:pt>
                <c:pt idx="18">
                  <c:v>2.089353760624197E-2</c:v>
                </c:pt>
                <c:pt idx="19">
                  <c:v>2.0834773783929127E-2</c:v>
                </c:pt>
                <c:pt idx="20">
                  <c:v>2.0759878126445246E-2</c:v>
                </c:pt>
                <c:pt idx="21">
                  <c:v>2.0679627443798386E-2</c:v>
                </c:pt>
                <c:pt idx="22">
                  <c:v>2.0599514542900991E-2</c:v>
                </c:pt>
                <c:pt idx="23">
                  <c:v>2.0523200374768607E-2</c:v>
                </c:pt>
                <c:pt idx="24">
                  <c:v>2.0454462132115391E-2</c:v>
                </c:pt>
                <c:pt idx="25">
                  <c:v>2.0397193051978367E-2</c:v>
                </c:pt>
                <c:pt idx="26">
                  <c:v>2.0355403056484096E-2</c:v>
                </c:pt>
                <c:pt idx="27">
                  <c:v>2.033322067854355E-2</c:v>
                </c:pt>
                <c:pt idx="28">
                  <c:v>2.0334896765945139E-2</c:v>
                </c:pt>
                <c:pt idx="29">
                  <c:v>2.0364810508033959E-2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7B9-45F9-9D90-7159802E4200}"/>
            </c:ext>
          </c:extLst>
        </c:ser>
        <c:ser>
          <c:idx val="0"/>
          <c:order val="1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7B9-45F9-9D90-7159802E4200}"/>
            </c:ext>
          </c:extLst>
        </c:ser>
        <c:ser>
          <c:idx val="1"/>
          <c:order val="2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7B9-45F9-9D90-7159802E4200}"/>
            </c:ext>
          </c:extLst>
        </c:ser>
        <c:ser>
          <c:idx val="4"/>
          <c:order val="3"/>
          <c:tx>
            <c:v>USD1ML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1E-4EE9-AD5E-D2B903970D14}"/>
            </c:ext>
          </c:extLst>
        </c:ser>
        <c:ser>
          <c:idx val="2"/>
          <c:order val="4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7B9-45F9-9D90-7159802E4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363968"/>
        <c:axId val="263366528"/>
      </c:scatterChart>
      <c:valAx>
        <c:axId val="26336396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 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569048105628018"/>
              <c:y val="0.9249766695829687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366528"/>
        <c:crosses val="autoZero"/>
        <c:crossBetween val="midCat"/>
      </c:valAx>
      <c:valAx>
        <c:axId val="26336652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Forward Rate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36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55685119512732"/>
          <c:y val="0.55894575678040248"/>
          <c:w val="0.14958818697281162"/>
          <c:h val="0.29290609507144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036361308494976"/>
          <c:y val="0.13467592592592595"/>
          <c:w val="0.76746836523483342"/>
          <c:h val="0.7199383931175269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0E-4525-9E0A-6B4ABD76B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06176"/>
        <c:axId val="263852800"/>
      </c:scatterChart>
      <c:valAx>
        <c:axId val="26350617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 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557476047201409"/>
              <c:y val="0.9157174103237095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852800"/>
        <c:crosses val="autoZero"/>
        <c:crossBetween val="midCat"/>
      </c:valAx>
      <c:valAx>
        <c:axId val="26385280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Discount Factor</a:t>
                </a:r>
              </a:p>
            </c:rich>
          </c:tx>
          <c:layout>
            <c:manualLayout>
              <c:xMode val="edge"/>
              <c:yMode val="edge"/>
              <c:x val="2.1680216802168022E-2"/>
              <c:y val="0.349112715077282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0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Forward</a:t>
            </a:r>
            <a:r>
              <a:rPr lang="en-GB" baseline="0"/>
              <a:t> Rates, USD3ML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'Bootrapping USD3ML Prototype'!$H$10</c:f>
              <c:strCache>
                <c:ptCount val="1"/>
                <c:pt idx="0">
                  <c:v>Tenor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'Bootrapping USD3ML Prototype'!$H$11:$H$15</c:f>
              <c:numCache>
                <c:formatCode>#,##0.00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'Bootrapping USD3ML Prototype'!$I$11:$I$15</c:f>
              <c:numCache>
                <c:formatCode>0.00000%</c:formatCode>
                <c:ptCount val="5"/>
                <c:pt idx="0">
                  <c:v>1.7891899999999999E-2</c:v>
                </c:pt>
                <c:pt idx="1">
                  <c:v>1.1297500000000004E-2</c:v>
                </c:pt>
                <c:pt idx="2">
                  <c:v>1.6389599999999997E-2</c:v>
                </c:pt>
                <c:pt idx="3">
                  <c:v>1.8565000000000009E-2</c:v>
                </c:pt>
                <c:pt idx="4">
                  <c:v>1.8795999999999993E-2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BA7-4E82-8EA4-86B5007C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528064"/>
        <c:axId val="267542528"/>
      </c:lineChart>
      <c:catAx>
        <c:axId val="26752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Tenor,</a:t>
                </a:r>
                <a:r>
                  <a:rPr lang="en-GB" b="1" baseline="0"/>
                  <a:t>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42528"/>
        <c:crosses val="autoZero"/>
        <c:auto val="1"/>
        <c:lblAlgn val="ctr"/>
        <c:lblOffset val="100"/>
        <c:noMultiLvlLbl val="0"/>
      </c:catAx>
      <c:valAx>
        <c:axId val="2675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Libor</a:t>
                </a:r>
                <a:r>
                  <a:rPr lang="en-GB" baseline="0"/>
                  <a:t> Forward Rate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5157232704402517E-2"/>
              <c:y val="0.2510514858340982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4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7</xdr:row>
      <xdr:rowOff>4762</xdr:rowOff>
    </xdr:from>
    <xdr:to>
      <xdr:col>19</xdr:col>
      <xdr:colOff>400050</xdr:colOff>
      <xdr:row>21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157162</xdr:colOff>
      <xdr:row>7</xdr:row>
      <xdr:rowOff>33337</xdr:rowOff>
    </xdr:from>
    <xdr:to>
      <xdr:col>11</xdr:col>
      <xdr:colOff>452437</xdr:colOff>
      <xdr:row>21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9525</xdr:colOff>
      <xdr:row>4</xdr:row>
      <xdr:rowOff>9525</xdr:rowOff>
    </xdr:from>
    <xdr:to>
      <xdr:col>33</xdr:col>
      <xdr:colOff>342900</xdr:colOff>
      <xdr:row>21</xdr:row>
      <xdr:rowOff>99275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59075" y="819150"/>
          <a:ext cx="7648575" cy="332825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22</xdr:row>
      <xdr:rowOff>47626</xdr:rowOff>
    </xdr:from>
    <xdr:to>
      <xdr:col>33</xdr:col>
      <xdr:colOff>361950</xdr:colOff>
      <xdr:row>38</xdr:row>
      <xdr:rowOff>180222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5" y="4286251"/>
          <a:ext cx="7648575" cy="3180596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39</xdr:row>
      <xdr:rowOff>145940</xdr:rowOff>
    </xdr:from>
    <xdr:to>
      <xdr:col>33</xdr:col>
      <xdr:colOff>361951</xdr:colOff>
      <xdr:row>56</xdr:row>
      <xdr:rowOff>92336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478125" y="7623065"/>
          <a:ext cx="7648576" cy="3184896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36</xdr:row>
      <xdr:rowOff>47625</xdr:rowOff>
    </xdr:from>
    <xdr:to>
      <xdr:col>15</xdr:col>
      <xdr:colOff>67655</xdr:colOff>
      <xdr:row>46</xdr:row>
      <xdr:rowOff>66944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09975" y="6953250"/>
          <a:ext cx="7020905" cy="1924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6</xdr:row>
      <xdr:rowOff>157162</xdr:rowOff>
    </xdr:from>
    <xdr:to>
      <xdr:col>11</xdr:col>
      <xdr:colOff>452437</xdr:colOff>
      <xdr:row>21</xdr:row>
      <xdr:rowOff>42862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266700</xdr:colOff>
      <xdr:row>6</xdr:row>
      <xdr:rowOff>171450</xdr:rowOff>
    </xdr:from>
    <xdr:to>
      <xdr:col>19</xdr:col>
      <xdr:colOff>428625</xdr:colOff>
      <xdr:row>21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57150</xdr:colOff>
      <xdr:row>5</xdr:row>
      <xdr:rowOff>114300</xdr:rowOff>
    </xdr:from>
    <xdr:to>
      <xdr:col>30</xdr:col>
      <xdr:colOff>477074</xdr:colOff>
      <xdr:row>17</xdr:row>
      <xdr:rowOff>114619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63850" y="1114425"/>
          <a:ext cx="5906324" cy="2286319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18</xdr:row>
      <xdr:rowOff>161925</xdr:rowOff>
    </xdr:from>
    <xdr:to>
      <xdr:col>31</xdr:col>
      <xdr:colOff>67532</xdr:colOff>
      <xdr:row>48</xdr:row>
      <xdr:rowOff>124617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25750" y="3638550"/>
          <a:ext cx="6144482" cy="5677692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</xdr:row>
      <xdr:rowOff>0</xdr:rowOff>
    </xdr:from>
    <xdr:to>
      <xdr:col>47</xdr:col>
      <xdr:colOff>561975</xdr:colOff>
      <xdr:row>21</xdr:row>
      <xdr:rowOff>150947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16300" y="819150"/>
          <a:ext cx="7877175" cy="3389447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</xdr:row>
      <xdr:rowOff>0</xdr:rowOff>
    </xdr:from>
    <xdr:to>
      <xdr:col>47</xdr:col>
      <xdr:colOff>567822</xdr:colOff>
      <xdr:row>40</xdr:row>
      <xdr:rowOff>19049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16300" y="4438650"/>
          <a:ext cx="7883022" cy="3257549"/>
        </a:xfrm>
        <a:prstGeom prst="rect">
          <a:avLst/>
        </a:prstGeom>
      </xdr:spPr>
    </xdr:pic>
    <xdr:clientData/>
  </xdr:twoCellAnchor>
  <xdr:twoCellAnchor>
    <xdr:from>
      <xdr:col>35</xdr:col>
      <xdr:colOff>1</xdr:colOff>
      <xdr:row>41</xdr:row>
      <xdr:rowOff>1</xdr:rowOff>
    </xdr:from>
    <xdr:to>
      <xdr:col>47</xdr:col>
      <xdr:colOff>571501</xdr:colOff>
      <xdr:row>58</xdr:row>
      <xdr:rowOff>23259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16301" y="7867651"/>
          <a:ext cx="7886700" cy="3261758"/>
        </a:xfrm>
        <a:prstGeom prst="rect">
          <a:avLst/>
        </a:prstGeom>
      </xdr:spPr>
    </xdr:pic>
    <xdr:clientData/>
  </xdr:twoCellAnchor>
  <xdr:twoCellAnchor editAs="oneCell">
    <xdr:from>
      <xdr:col>5</xdr:col>
      <xdr:colOff>533400</xdr:colOff>
      <xdr:row>36</xdr:row>
      <xdr:rowOff>9525</xdr:rowOff>
    </xdr:from>
    <xdr:to>
      <xdr:col>15</xdr:col>
      <xdr:colOff>67651</xdr:colOff>
      <xdr:row>44</xdr:row>
      <xdr:rowOff>114527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81400" y="6924675"/>
          <a:ext cx="6992326" cy="1629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0125"/>
          <a:ext cx="6115904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0</xdr:rowOff>
    </xdr:from>
    <xdr:to>
      <xdr:col>50</xdr:col>
      <xdr:colOff>542925</xdr:colOff>
      <xdr:row>20</xdr:row>
      <xdr:rowOff>23673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381000"/>
          <a:ext cx="8467725" cy="3509823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1</xdr:rowOff>
    </xdr:from>
    <xdr:to>
      <xdr:col>50</xdr:col>
      <xdr:colOff>542925</xdr:colOff>
      <xdr:row>40</xdr:row>
      <xdr:rowOff>72758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1"/>
          <a:ext cx="8467724" cy="350175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36</xdr:row>
      <xdr:rowOff>161925</xdr:rowOff>
    </xdr:from>
    <xdr:to>
      <xdr:col>14</xdr:col>
      <xdr:colOff>362932</xdr:colOff>
      <xdr:row>56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57650" y="7077075"/>
          <a:ext cx="7039957" cy="37152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9650"/>
          <a:ext cx="0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200024</xdr:rowOff>
    </xdr:from>
    <xdr:to>
      <xdr:col>50</xdr:col>
      <xdr:colOff>533400</xdr:colOff>
      <xdr:row>21</xdr:row>
      <xdr:rowOff>78461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581024"/>
          <a:ext cx="8458200" cy="3555087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0</xdr:rowOff>
    </xdr:from>
    <xdr:to>
      <xdr:col>50</xdr:col>
      <xdr:colOff>533401</xdr:colOff>
      <xdr:row>40</xdr:row>
      <xdr:rowOff>130493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0"/>
          <a:ext cx="8458200" cy="3559493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36</xdr:row>
      <xdr:rowOff>171450</xdr:rowOff>
    </xdr:from>
    <xdr:to>
      <xdr:col>14</xdr:col>
      <xdr:colOff>391507</xdr:colOff>
      <xdr:row>56</xdr:row>
      <xdr:rowOff>76718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86225" y="7086600"/>
          <a:ext cx="7039957" cy="371526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7</xdr:row>
      <xdr:rowOff>176212</xdr:rowOff>
    </xdr:from>
    <xdr:to>
      <xdr:col>13</xdr:col>
      <xdr:colOff>452437</xdr:colOff>
      <xdr:row>22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8</xdr:row>
      <xdr:rowOff>38100</xdr:rowOff>
    </xdr:from>
    <xdr:to>
      <xdr:col>21</xdr:col>
      <xdr:colOff>352425</xdr:colOff>
      <xdr:row>22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6</xdr:row>
      <xdr:rowOff>0</xdr:rowOff>
    </xdr:from>
    <xdr:to>
      <xdr:col>33</xdr:col>
      <xdr:colOff>19904</xdr:colOff>
      <xdr:row>23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73575" y="1000125"/>
          <a:ext cx="6115904" cy="338184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37</xdr:row>
      <xdr:rowOff>161925</xdr:rowOff>
    </xdr:from>
    <xdr:to>
      <xdr:col>14</xdr:col>
      <xdr:colOff>362932</xdr:colOff>
      <xdr:row>57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57650" y="7267575"/>
          <a:ext cx="7039957" cy="37152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1</xdr:row>
      <xdr:rowOff>57150</xdr:rowOff>
    </xdr:from>
    <xdr:to>
      <xdr:col>17</xdr:col>
      <xdr:colOff>257175</xdr:colOff>
      <xdr:row>15</xdr:row>
      <xdr:rowOff>52387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28575</xdr:colOff>
      <xdr:row>1</xdr:row>
      <xdr:rowOff>38100</xdr:rowOff>
    </xdr:from>
    <xdr:to>
      <xdr:col>27</xdr:col>
      <xdr:colOff>180975</xdr:colOff>
      <xdr:row>15</xdr:row>
      <xdr:rowOff>63681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8250" y="228600"/>
          <a:ext cx="5638800" cy="27306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B2:B18"/>
  <sheetViews>
    <sheetView showGridLines="0" workbookViewId="0"/>
  </sheetViews>
  <sheetFormatPr defaultRowHeight="15"/>
  <sheetData>
    <row r="2" spans="2:2">
      <c r="B2" s="1" t="s">
        <v>73</v>
      </c>
    </row>
    <row r="3" spans="2:2">
      <c r="B3" s="107" t="s">
        <v>74</v>
      </c>
    </row>
    <row r="5" spans="2:2">
      <c r="B5" s="1" t="s">
        <v>76</v>
      </c>
    </row>
    <row r="6" spans="2:2">
      <c r="B6" t="s">
        <v>77</v>
      </c>
    </row>
    <row r="8" spans="2:2">
      <c r="B8" s="1" t="s">
        <v>78</v>
      </c>
    </row>
    <row r="9" spans="2:2">
      <c r="B9" t="s">
        <v>85</v>
      </c>
    </row>
    <row r="10" spans="2:2">
      <c r="B10" t="s">
        <v>86</v>
      </c>
    </row>
    <row r="11" spans="2:2">
      <c r="B11" t="s">
        <v>87</v>
      </c>
    </row>
    <row r="13" spans="2:2">
      <c r="B13" s="1" t="s">
        <v>80</v>
      </c>
    </row>
    <row r="14" spans="2:2">
      <c r="B14" t="s">
        <v>81</v>
      </c>
    </row>
    <row r="16" spans="2:2">
      <c r="B16" s="1" t="s">
        <v>82</v>
      </c>
    </row>
    <row r="17" spans="2:2">
      <c r="B17" t="s">
        <v>83</v>
      </c>
    </row>
    <row r="18" spans="2:2">
      <c r="B18" t="s">
        <v>84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B1:AI43"/>
  <sheetViews>
    <sheetView showGridLines="0" tabSelected="1" workbookViewId="0"/>
  </sheetViews>
  <sheetFormatPr defaultRowHeight="15" outlineLevelCol="1"/>
  <cols>
    <col min="1" max="3" width="9.140625" style="20"/>
    <col min="4" max="4" width="10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3.57031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75</v>
      </c>
    </row>
    <row r="3" spans="2:35">
      <c r="B3" s="24" t="s">
        <v>57</v>
      </c>
      <c r="F3" s="24" t="s">
        <v>53</v>
      </c>
      <c r="G3" s="24"/>
      <c r="N3" s="24" t="s">
        <v>54</v>
      </c>
      <c r="O3" s="24"/>
      <c r="S3" s="110" t="s">
        <v>88</v>
      </c>
    </row>
    <row r="4" spans="2:35" ht="18.75">
      <c r="B4" s="91" t="s">
        <v>58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20" t="s">
        <v>61</v>
      </c>
      <c r="R4" s="20" t="s">
        <v>34</v>
      </c>
      <c r="S4" s="103" t="s">
        <v>65</v>
      </c>
      <c r="T4" s="20" t="s">
        <v>42</v>
      </c>
    </row>
    <row r="5" spans="2:35">
      <c r="F5" s="69">
        <v>0</v>
      </c>
      <c r="G5" s="78"/>
      <c r="H5" s="79"/>
      <c r="I5" s="52"/>
      <c r="J5" s="80">
        <v>0</v>
      </c>
      <c r="K5" s="53">
        <f t="shared" ref="K5:K15" si="0">S5</f>
        <v>1</v>
      </c>
      <c r="L5" s="54"/>
      <c r="N5" s="69">
        <v>0</v>
      </c>
      <c r="O5" s="87"/>
      <c r="P5" s="50"/>
      <c r="Q5" s="52">
        <v>0</v>
      </c>
      <c r="R5" s="80">
        <v>0</v>
      </c>
      <c r="S5" s="100">
        <v>1</v>
      </c>
      <c r="T5" s="54"/>
    </row>
    <row r="6" spans="2:35">
      <c r="B6" s="24" t="s">
        <v>36</v>
      </c>
      <c r="F6" s="69">
        <v>1</v>
      </c>
      <c r="G6" s="81">
        <v>1000000</v>
      </c>
      <c r="H6" s="82">
        <v>1</v>
      </c>
      <c r="I6" s="61">
        <f>IF($B$4="LINEAR",LinearInterpolation($B$8:$B$17,$D$8:$D$17,J6),SplineInterpolation($B$8:$B$17,$D$8:$D$17,J6))</f>
        <v>1.45921E-2</v>
      </c>
      <c r="J6" s="83">
        <v>1</v>
      </c>
      <c r="K6" s="62">
        <f>S6</f>
        <v>0.98561776698241588</v>
      </c>
      <c r="L6" s="63">
        <f>SUMPRODUCT($G$6:G6,$H$6:H6,$K$6:K6)*I6</f>
        <v>14382.233017584111</v>
      </c>
      <c r="N6" s="69">
        <v>1</v>
      </c>
      <c r="O6" s="88">
        <v>1000000</v>
      </c>
      <c r="P6" s="59">
        <v>1</v>
      </c>
      <c r="Q6" s="61">
        <f>(S5/S6-1)/P6</f>
        <v>1.4592099999999997E-2</v>
      </c>
      <c r="R6" s="83">
        <v>1</v>
      </c>
      <c r="S6" s="101">
        <f>S5/(I6*P6 +1 )</f>
        <v>0.98561776698241588</v>
      </c>
      <c r="T6" s="63">
        <f>O6*P6*Q6*S6</f>
        <v>14382.233017584107</v>
      </c>
    </row>
    <row r="7" spans="2:35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>IF($B$4="LINEAR",LinearInterpolation($B$8:$B$17,$D$8:$D$17,J7),SplineInterpolation($B$8:$B$17,$D$8:$D$17,J7))</f>
        <v>1.29807E-2</v>
      </c>
      <c r="J7" s="83">
        <f t="shared" ref="J7:J35" si="1">J6+1</f>
        <v>2</v>
      </c>
      <c r="K7" s="62">
        <f t="shared" si="0"/>
        <v>0.97455557786257074</v>
      </c>
      <c r="L7" s="63">
        <f>SUMPRODUCT($G$6:G7,$H$6:H7,$K$6:K7)*I7</f>
        <v>25444.422137429319</v>
      </c>
      <c r="N7" s="69">
        <f>N6+1</f>
        <v>2</v>
      </c>
      <c r="O7" s="88">
        <v>1000000</v>
      </c>
      <c r="P7" s="59">
        <v>1</v>
      </c>
      <c r="Q7" s="61">
        <f t="shared" ref="Q6:Q15" si="2">(S6/S7-1)/P7</f>
        <v>1.135100898412289E-2</v>
      </c>
      <c r="R7" s="83">
        <f t="shared" ref="R7:R35" si="3">R6+1</f>
        <v>2</v>
      </c>
      <c r="S7" s="101">
        <f>(SUMPRODUCT($O$6:O6,$P$6:P6,$Q$6:Q6,$S$6:S6)-SUMPRODUCT($G$6:G6,$H$6:H6*$K$6:K6)*I7+O7*S6)/(G7*H7*I7+O7)</f>
        <v>0.97455557786257074</v>
      </c>
      <c r="T7" s="63">
        <f>SUMPRODUCT($O$6:O7,$P$6:P7,$Q$6:Q7,$S$6:S7)</f>
        <v>25444.422137429221</v>
      </c>
    </row>
    <row r="8" spans="2:35">
      <c r="B8" s="72">
        <v>0</v>
      </c>
      <c r="C8" s="73" t="s">
        <v>41</v>
      </c>
      <c r="D8" s="90">
        <v>1.8200000000000001E-2</v>
      </c>
      <c r="F8" s="69">
        <f t="shared" ref="F8:F35" si="4">F7+1</f>
        <v>3</v>
      </c>
      <c r="G8" s="81">
        <v>1000000</v>
      </c>
      <c r="H8" s="82">
        <v>1</v>
      </c>
      <c r="I8" s="61">
        <f>IF($B$4="LINEAR",LinearInterpolation($B$8:$B$17,$D$8:$D$17,J8),SplineInterpolation($B$8:$B$17,$D$8:$D$17,J8))</f>
        <v>1.26339E-2</v>
      </c>
      <c r="J8" s="83">
        <f t="shared" si="1"/>
        <v>3</v>
      </c>
      <c r="K8" s="62">
        <f t="shared" si="0"/>
        <v>0.96306806041014703</v>
      </c>
      <c r="L8" s="63">
        <f>SUMPRODUCT($G$6:G8,$H$6:H8,$K$6:K8)*I8</f>
        <v>36931.939589852831</v>
      </c>
      <c r="N8" s="69">
        <f t="shared" ref="N8:N35" si="5">N7+1</f>
        <v>3</v>
      </c>
      <c r="O8" s="88">
        <v>1000000</v>
      </c>
      <c r="P8" s="59">
        <v>1</v>
      </c>
      <c r="Q8" s="61">
        <f t="shared" si="2"/>
        <v>1.1928043224205265E-2</v>
      </c>
      <c r="R8" s="83">
        <f t="shared" si="3"/>
        <v>3</v>
      </c>
      <c r="S8" s="101">
        <f>(SUMPRODUCT($O$6:O7,$P$6:P7,$Q$6:Q7,$S$6:S7)-SUMPRODUCT($G$6:G7,$H$6:H7*$K$6:K7)*I8+O8*S7)/(G8*H8*I8+O8)</f>
        <v>0.96306806041014703</v>
      </c>
      <c r="T8" s="63">
        <f>SUMPRODUCT($O$6:O8,$P$6:P8,$Q$6:Q8,$S$6:S8)</f>
        <v>36931.939589852984</v>
      </c>
    </row>
    <row r="9" spans="2:35">
      <c r="B9" s="72">
        <v>1</v>
      </c>
      <c r="C9" s="74" t="s">
        <v>37</v>
      </c>
      <c r="D9" s="75">
        <v>1.45921E-2</v>
      </c>
      <c r="F9" s="69">
        <f t="shared" si="4"/>
        <v>4</v>
      </c>
      <c r="G9" s="81">
        <v>1000000</v>
      </c>
      <c r="H9" s="82">
        <v>1</v>
      </c>
      <c r="I9" s="61">
        <f>IF($B$4="LINEAR",LinearInterpolation($B$8:$B$17,$D$8:$D$17,J9),SplineInterpolation($B$8:$B$17,$D$8:$D$17,J9))</f>
        <v>1.25419E-2</v>
      </c>
      <c r="J9" s="83">
        <f t="shared" si="1"/>
        <v>4</v>
      </c>
      <c r="K9" s="62">
        <f t="shared" si="0"/>
        <v>0.9514045775482779</v>
      </c>
      <c r="L9" s="63">
        <f>SUMPRODUCT($G$6:G9,$H$6:H9,$K$6:K9)*I9</f>
        <v>48595.422451722108</v>
      </c>
      <c r="N9" s="69">
        <f t="shared" si="5"/>
        <v>4</v>
      </c>
      <c r="O9" s="88">
        <v>1000000</v>
      </c>
      <c r="P9" s="59">
        <v>1</v>
      </c>
      <c r="Q9" s="61">
        <f t="shared" si="2"/>
        <v>1.2259225083744552E-2</v>
      </c>
      <c r="R9" s="83">
        <f t="shared" si="3"/>
        <v>4</v>
      </c>
      <c r="S9" s="101">
        <f>(SUMPRODUCT($O$6:O8,$P$6:P8,$Q$6:Q8,$S$6:S8)-SUMPRODUCT($G$6:G8,$H$6:H8*$K$6:K8)*I9+O9*S8)/(G9*H9*I9+O9)</f>
        <v>0.9514045775482779</v>
      </c>
      <c r="T9" s="63">
        <f>SUMPRODUCT($O$6:O9,$P$6:P9,$Q$6:Q9,$S$6:S9)</f>
        <v>48595.422451722217</v>
      </c>
    </row>
    <row r="10" spans="2:35">
      <c r="B10" s="72">
        <v>2</v>
      </c>
      <c r="C10" s="74" t="s">
        <v>38</v>
      </c>
      <c r="D10" s="75">
        <v>1.29807E-2</v>
      </c>
      <c r="F10" s="69">
        <f t="shared" si="4"/>
        <v>5</v>
      </c>
      <c r="G10" s="81">
        <v>1000000</v>
      </c>
      <c r="H10" s="82">
        <v>1</v>
      </c>
      <c r="I10" s="61">
        <f>IF($B$4="LINEAR",LinearInterpolation($B$8:$B$17,$D$8:$D$17,J10),SplineInterpolation($B$8:$B$17,$D$8:$D$17,J10))</f>
        <v>1.25763E-2</v>
      </c>
      <c r="J10" s="83">
        <f t="shared" si="1"/>
        <v>5</v>
      </c>
      <c r="K10" s="62">
        <f t="shared" si="0"/>
        <v>0.939456404150946</v>
      </c>
      <c r="L10" s="63">
        <f>SUMPRODUCT($G$6:G10,$H$6:H10,$K$6:K10)*I10</f>
        <v>60543.595849054094</v>
      </c>
      <c r="N10" s="69">
        <f t="shared" si="5"/>
        <v>5</v>
      </c>
      <c r="O10" s="88">
        <v>1000000</v>
      </c>
      <c r="P10" s="59">
        <v>1</v>
      </c>
      <c r="Q10" s="61">
        <f t="shared" si="2"/>
        <v>1.2718177602004221E-2</v>
      </c>
      <c r="R10" s="83">
        <f t="shared" si="3"/>
        <v>5</v>
      </c>
      <c r="S10" s="101">
        <f>(SUMPRODUCT($O$6:O9,$P$6:P9,$Q$6:Q9,$S$6:S9)-SUMPRODUCT($G$6:G9,$H$6:H9*$K$6:K9)*I10+O10*S9)/(G10*H10*I10+O10)</f>
        <v>0.939456404150946</v>
      </c>
      <c r="T10" s="63">
        <f>SUMPRODUCT($O$6:O10,$P$6:P10,$Q$6:Q10,$S$6:S10)</f>
        <v>60543.595849054203</v>
      </c>
    </row>
    <row r="11" spans="2:35">
      <c r="B11" s="72">
        <v>3</v>
      </c>
      <c r="C11" s="74" t="s">
        <v>43</v>
      </c>
      <c r="D11" s="75">
        <v>1.26339E-2</v>
      </c>
      <c r="F11" s="69">
        <f t="shared" si="4"/>
        <v>6</v>
      </c>
      <c r="G11" s="81">
        <v>1000000</v>
      </c>
      <c r="H11" s="82">
        <v>1</v>
      </c>
      <c r="I11" s="61">
        <f>IF($B$4="LINEAR",LinearInterpolation($B$8:$B$17,$D$8:$D$17,J11),SplineInterpolation($B$8:$B$17,$D$8:$D$17,J11))</f>
        <v>1.2722320602347502E-2</v>
      </c>
      <c r="J11" s="83">
        <f t="shared" si="1"/>
        <v>6</v>
      </c>
      <c r="K11" s="62">
        <f t="shared" si="0"/>
        <v>0.9269603591459189</v>
      </c>
      <c r="L11" s="63">
        <f>SUMPRODUCT($G$6:G11,$H$6:H11,$K$6:K11)*I11</f>
        <v>73039.640854081284</v>
      </c>
      <c r="N11" s="69">
        <f t="shared" si="5"/>
        <v>6</v>
      </c>
      <c r="O11" s="88">
        <v>1000000</v>
      </c>
      <c r="P11" s="59">
        <v>1</v>
      </c>
      <c r="Q11" s="61">
        <f t="shared" si="2"/>
        <v>1.3480668166371945E-2</v>
      </c>
      <c r="R11" s="83">
        <f t="shared" si="3"/>
        <v>6</v>
      </c>
      <c r="S11" s="101">
        <f>(SUMPRODUCT($O$6:O10,$P$6:P10,$Q$6:Q10,$S$6:S10)-SUMPRODUCT($G$6:G10,$H$6:H10*$K$6:K10)*I11+O11*S10)/(G11*H11*I11+O11)</f>
        <v>0.9269603591459189</v>
      </c>
      <c r="T11" s="63">
        <f>SUMPRODUCT($O$6:O11,$P$6:P11,$Q$6:Q11,$S$6:S11)</f>
        <v>73039.640854081299</v>
      </c>
    </row>
    <row r="12" spans="2:35">
      <c r="B12" s="72">
        <v>4</v>
      </c>
      <c r="C12" s="74" t="s">
        <v>44</v>
      </c>
      <c r="D12" s="75">
        <v>1.25419E-2</v>
      </c>
      <c r="F12" s="69">
        <f t="shared" si="4"/>
        <v>7</v>
      </c>
      <c r="G12" s="81">
        <v>1000000</v>
      </c>
      <c r="H12" s="82">
        <v>1</v>
      </c>
      <c r="I12" s="61">
        <f>IF($B$4="LINEAR",LinearInterpolation($B$8:$B$17,$D$8:$D$17,J12),SplineInterpolation($B$8:$B$17,$D$8:$D$17,J12))</f>
        <v>1.2948743805276258E-2</v>
      </c>
      <c r="J12" s="83">
        <f t="shared" si="1"/>
        <v>7</v>
      </c>
      <c r="K12" s="62">
        <f t="shared" si="0"/>
        <v>0.91382753075280565</v>
      </c>
      <c r="L12" s="63">
        <f>SUMPRODUCT($G$6:G12,$H$6:H12,$K$6:K12)*I12</f>
        <v>86172.46924719456</v>
      </c>
      <c r="N12" s="69">
        <f t="shared" si="5"/>
        <v>7</v>
      </c>
      <c r="O12" s="88">
        <v>1000000</v>
      </c>
      <c r="P12" s="59">
        <v>1</v>
      </c>
      <c r="Q12" s="61">
        <f t="shared" si="2"/>
        <v>1.4371233029381925E-2</v>
      </c>
      <c r="R12" s="83">
        <f t="shared" si="3"/>
        <v>7</v>
      </c>
      <c r="S12" s="101">
        <f>(SUMPRODUCT($O$6:O11,$P$6:P11,$Q$6:Q11,$S$6:S11)-SUMPRODUCT($G$6:G11,$H$6:H11*$K$6:K11)*I12+O12*S11)/(G12*H12*I12+O12)</f>
        <v>0.91382753075280565</v>
      </c>
      <c r="T12" s="63">
        <f>SUMPRODUCT($O$6:O12,$P$6:P12,$Q$6:Q12,$S$6:S12)</f>
        <v>86172.469247194545</v>
      </c>
    </row>
    <row r="13" spans="2:35">
      <c r="B13" s="72">
        <v>5</v>
      </c>
      <c r="C13" s="74" t="s">
        <v>39</v>
      </c>
      <c r="D13" s="75">
        <v>1.25763E-2</v>
      </c>
      <c r="F13" s="69">
        <f t="shared" si="4"/>
        <v>8</v>
      </c>
      <c r="G13" s="81">
        <v>1000000</v>
      </c>
      <c r="H13" s="82">
        <v>1</v>
      </c>
      <c r="I13" s="61">
        <f>IF($B$4="LINEAR",LinearInterpolation($B$8:$B$17,$D$8:$D$17,J13),SplineInterpolation($B$8:$B$17,$D$8:$D$17,J13))</f>
        <v>1.3226666707031261E-2</v>
      </c>
      <c r="J13" s="83">
        <f t="shared" si="1"/>
        <v>8</v>
      </c>
      <c r="K13" s="62">
        <f t="shared" si="0"/>
        <v>0.90007301850839927</v>
      </c>
      <c r="L13" s="63">
        <f>SUMPRODUCT($G$6:G13,$H$6:H13,$K$6:K13)*I13</f>
        <v>99926.981491600891</v>
      </c>
      <c r="N13" s="69">
        <f t="shared" si="5"/>
        <v>8</v>
      </c>
      <c r="O13" s="88">
        <v>1000000</v>
      </c>
      <c r="P13" s="59">
        <v>1</v>
      </c>
      <c r="Q13" s="61">
        <f t="shared" si="2"/>
        <v>1.5281551564783502E-2</v>
      </c>
      <c r="R13" s="83">
        <f t="shared" si="3"/>
        <v>8</v>
      </c>
      <c r="S13" s="101">
        <f>(SUMPRODUCT($O$6:O12,$P$6:P12,$Q$6:Q12,$S$6:S12)-SUMPRODUCT($G$6:G12,$H$6:H12*$K$6:K12)*I13+O13*S12)/(G13*H13*I13+O13)</f>
        <v>0.90007301850839927</v>
      </c>
      <c r="T13" s="63">
        <f>SUMPRODUCT($O$6:O13,$P$6:P13,$Q$6:Q13,$S$6:S13)</f>
        <v>99926.981491600978</v>
      </c>
    </row>
    <row r="14" spans="2:35">
      <c r="B14" s="72">
        <v>10</v>
      </c>
      <c r="C14" s="74" t="s">
        <v>40</v>
      </c>
      <c r="D14" s="75">
        <v>1.3821399999999999E-2</v>
      </c>
      <c r="F14" s="69">
        <f t="shared" si="4"/>
        <v>9</v>
      </c>
      <c r="G14" s="81">
        <v>1000000</v>
      </c>
      <c r="H14" s="82">
        <v>1</v>
      </c>
      <c r="I14" s="61">
        <f>IF($B$4="LINEAR",LinearInterpolation($B$8:$B$17,$D$8:$D$17,J14),SplineInterpolation($B$8:$B$17,$D$8:$D$17,J14))</f>
        <v>1.3527186405857513E-2</v>
      </c>
      <c r="J14" s="83">
        <f t="shared" si="1"/>
        <v>9</v>
      </c>
      <c r="K14" s="62">
        <f t="shared" si="0"/>
        <v>0.8858199516068207</v>
      </c>
      <c r="L14" s="63">
        <f>SUMPRODUCT($G$6:G14,$H$6:H14,$K$6:K14)*I14</f>
        <v>114180.04839317946</v>
      </c>
      <c r="N14" s="69">
        <f t="shared" si="5"/>
        <v>9</v>
      </c>
      <c r="O14" s="88">
        <v>1000000</v>
      </c>
      <c r="P14" s="59">
        <v>1</v>
      </c>
      <c r="Q14" s="61">
        <f t="shared" si="2"/>
        <v>1.6090252737844146E-2</v>
      </c>
      <c r="R14" s="83">
        <f t="shared" si="3"/>
        <v>9</v>
      </c>
      <c r="S14" s="101">
        <f>(SUMPRODUCT($O$6:O13,$P$6:P13,$Q$6:Q13,$S$6:S13)-SUMPRODUCT($G$6:G13,$H$6:H13*$K$6:K13)*I14+O14*S13)/(G14*H14*I14+O14)</f>
        <v>0.8858199516068207</v>
      </c>
      <c r="T14" s="63">
        <f>SUMPRODUCT($O$6:O14,$P$6:P14,$Q$6:Q14,$S$6:S14)</f>
        <v>114180.04839317959</v>
      </c>
    </row>
    <row r="15" spans="2:35">
      <c r="B15" s="72">
        <v>15</v>
      </c>
      <c r="C15" s="74" t="s">
        <v>45</v>
      </c>
      <c r="D15" s="75">
        <v>1.4832100000000001E-2</v>
      </c>
      <c r="F15" s="69">
        <f t="shared" si="4"/>
        <v>10</v>
      </c>
      <c r="G15" s="81">
        <v>1000000</v>
      </c>
      <c r="H15" s="82">
        <v>1</v>
      </c>
      <c r="I15" s="61">
        <f>IF($B$4="LINEAR",LinearInterpolation($B$8:$B$17,$D$8:$D$17,J15),SplineInterpolation($B$8:$B$17,$D$8:$D$17,J15))</f>
        <v>1.3821399999999999E-2</v>
      </c>
      <c r="J15" s="83">
        <f t="shared" si="1"/>
        <v>10</v>
      </c>
      <c r="K15" s="62">
        <f t="shared" si="0"/>
        <v>0.87129405478159427</v>
      </c>
      <c r="L15" s="63">
        <f>SUMPRODUCT($G$6:G15,$H$6:H15,$K$6:K15)*I15</f>
        <v>128705.94521840601</v>
      </c>
      <c r="N15" s="69">
        <f t="shared" si="5"/>
        <v>10</v>
      </c>
      <c r="O15" s="88">
        <v>1000000</v>
      </c>
      <c r="P15" s="59">
        <v>1</v>
      </c>
      <c r="Q15" s="61">
        <f t="shared" si="2"/>
        <v>1.6671635420337561E-2</v>
      </c>
      <c r="R15" s="83">
        <f t="shared" si="3"/>
        <v>10</v>
      </c>
      <c r="S15" s="101">
        <f>(SUMPRODUCT($O$6:O14,$P$6:P14,$Q$6:Q14,$S$6:S14)-SUMPRODUCT($G$6:G14,$H$6:H14*$K$6:K14)*I15+O15*S14)/(G15*H15*I15+O15)</f>
        <v>0.87129405478159427</v>
      </c>
      <c r="T15" s="63">
        <f>SUMPRODUCT($O$6:O15,$P$6:P15,$Q$6:Q15,$S$6:S15)</f>
        <v>128705.94521840595</v>
      </c>
    </row>
    <row r="16" spans="2:35">
      <c r="B16" s="72">
        <v>20</v>
      </c>
      <c r="C16" s="74" t="s">
        <v>46</v>
      </c>
      <c r="D16" s="75">
        <v>1.5253900000000001E-2</v>
      </c>
      <c r="F16" s="69">
        <f t="shared" si="4"/>
        <v>11</v>
      </c>
      <c r="G16" s="81">
        <v>1000000</v>
      </c>
      <c r="H16" s="82">
        <v>1</v>
      </c>
      <c r="I16" s="61">
        <f>IF($B$4="LINEAR",LinearInterpolation($B$8:$B$17,$D$8:$D$17,J16),SplineInterpolation($B$8:$B$17,$D$8:$D$17,J16))</f>
        <v>1.4085571188991475E-2</v>
      </c>
      <c r="J16" s="83">
        <f t="shared" si="1"/>
        <v>11</v>
      </c>
      <c r="K16" s="62">
        <f t="shared" ref="K16:K35" si="6">S16</f>
        <v>0.85676603329453049</v>
      </c>
      <c r="L16" s="63">
        <f>SUMPRODUCT($G$6:G16,$H$6:H16,$K$6:K16)*I16</f>
        <v>143233.96670546976</v>
      </c>
      <c r="N16" s="69">
        <f t="shared" si="5"/>
        <v>11</v>
      </c>
      <c r="O16" s="88">
        <v>1000000</v>
      </c>
      <c r="P16" s="59">
        <v>1</v>
      </c>
      <c r="Q16" s="61">
        <f t="shared" ref="Q16:Q35" si="7">(S15/S16-1)/P16</f>
        <v>1.6956813088398359E-2</v>
      </c>
      <c r="R16" s="83">
        <f t="shared" si="3"/>
        <v>11</v>
      </c>
      <c r="S16" s="101">
        <f>(SUMPRODUCT($O$6:O15,$P$6:P15,$Q$6:Q15,$S$6:S15)-SUMPRODUCT($G$6:G15,$H$6:H15*$K$6:K15)*I16+O16*S15)/(G16*H16*I16+O16)</f>
        <v>0.85676603329453049</v>
      </c>
      <c r="T16" s="63">
        <f>SUMPRODUCT($O$6:O16,$P$6:P16,$Q$6:Q16,$S$6:S16)</f>
        <v>143233.96670546979</v>
      </c>
    </row>
    <row r="17" spans="2:20">
      <c r="B17" s="72">
        <v>30</v>
      </c>
      <c r="C17" s="76" t="s">
        <v>47</v>
      </c>
      <c r="D17" s="77">
        <v>1.5530199999999999E-2</v>
      </c>
      <c r="F17" s="69">
        <f t="shared" si="4"/>
        <v>12</v>
      </c>
      <c r="G17" s="81">
        <v>1000000</v>
      </c>
      <c r="H17" s="82">
        <v>1</v>
      </c>
      <c r="I17" s="61">
        <f>IF($B$4="LINEAR",LinearInterpolation($B$8:$B$17,$D$8:$D$17,J17),SplineInterpolation($B$8:$B$17,$D$8:$D$17,J17))</f>
        <v>1.4316630077515696E-2</v>
      </c>
      <c r="J17" s="83">
        <f t="shared" si="1"/>
        <v>12</v>
      </c>
      <c r="K17" s="62">
        <f t="shared" si="6"/>
        <v>0.84235672207273415</v>
      </c>
      <c r="L17" s="63">
        <f>SUMPRODUCT($G$6:G17,$H$6:H17,$K$6:K17)*I17</f>
        <v>157643.27792726608</v>
      </c>
      <c r="N17" s="69">
        <f t="shared" si="5"/>
        <v>12</v>
      </c>
      <c r="O17" s="88">
        <v>1000000</v>
      </c>
      <c r="P17" s="59">
        <v>1</v>
      </c>
      <c r="Q17" s="61">
        <f t="shared" si="7"/>
        <v>1.7105949111844598E-2</v>
      </c>
      <c r="R17" s="83">
        <f t="shared" si="3"/>
        <v>12</v>
      </c>
      <c r="S17" s="101">
        <f>(SUMPRODUCT($O$6:O16,$P$6:P16,$Q$6:Q16,$S$6:S16)-SUMPRODUCT($G$6:G16,$H$6:H16*$K$6:K16)*I17+O17*S16)/(G17*H17*I17+O17)</f>
        <v>0.84235672207273415</v>
      </c>
      <c r="T17" s="63">
        <f>SUMPRODUCT($O$6:O17,$P$6:P17,$Q$6:Q17,$S$6:S17)</f>
        <v>157643.2779272662</v>
      </c>
    </row>
    <row r="18" spans="2:20">
      <c r="F18" s="69">
        <f t="shared" si="4"/>
        <v>13</v>
      </c>
      <c r="G18" s="81">
        <v>1000000</v>
      </c>
      <c r="H18" s="82">
        <v>1</v>
      </c>
      <c r="I18" s="61">
        <f>IF($B$4="LINEAR",LinearInterpolation($B$8:$B$17,$D$8:$D$17,J18),SplineInterpolation($B$8:$B$17,$D$8:$D$17,J18))</f>
        <v>1.4516673371544182E-2</v>
      </c>
      <c r="J18" s="83">
        <f t="shared" si="1"/>
        <v>13</v>
      </c>
      <c r="K18" s="62">
        <f t="shared" si="6"/>
        <v>0.82813227953170776</v>
      </c>
      <c r="L18" s="63">
        <f>SUMPRODUCT($G$6:G18,$H$6:H18,$K$6:K18)*I18</f>
        <v>171867.72046829259</v>
      </c>
      <c r="N18" s="69">
        <f t="shared" si="5"/>
        <v>13</v>
      </c>
      <c r="O18" s="88">
        <v>1000000</v>
      </c>
      <c r="P18" s="59">
        <v>1</v>
      </c>
      <c r="Q18" s="61">
        <f t="shared" si="7"/>
        <v>1.7176534344331973E-2</v>
      </c>
      <c r="R18" s="83">
        <f t="shared" si="3"/>
        <v>13</v>
      </c>
      <c r="S18" s="101">
        <f>(SUMPRODUCT($O$6:O17,$P$6:P17,$Q$6:Q17,$S$6:S17)-SUMPRODUCT($G$6:G17,$H$6:H17*$K$6:K17)*I18+O18*S17)/(G18*H18*I18+O18)</f>
        <v>0.82813227953170776</v>
      </c>
      <c r="T18" s="63">
        <f>SUMPRODUCT($O$6:O18,$P$6:P18,$Q$6:Q18,$S$6:S18)</f>
        <v>171867.72046829251</v>
      </c>
    </row>
    <row r="19" spans="2:20">
      <c r="F19" s="69">
        <f t="shared" si="4"/>
        <v>14</v>
      </c>
      <c r="G19" s="81">
        <v>1000000</v>
      </c>
      <c r="H19" s="82">
        <v>1</v>
      </c>
      <c r="I19" s="61">
        <f>IF($B$4="LINEAR",LinearInterpolation($B$8:$B$17,$D$8:$D$17,J19),SplineInterpolation($B$8:$B$17,$D$8:$D$17,J19))</f>
        <v>1.4687797777048444E-2</v>
      </c>
      <c r="J19" s="83">
        <f t="shared" si="1"/>
        <v>14</v>
      </c>
      <c r="K19" s="62">
        <f t="shared" si="6"/>
        <v>0.81414823617061649</v>
      </c>
      <c r="L19" s="63">
        <f>SUMPRODUCT($G$6:G19,$H$6:H19,$K$6:K19)*I19</f>
        <v>185851.76382938368</v>
      </c>
      <c r="N19" s="69">
        <f t="shared" si="5"/>
        <v>14</v>
      </c>
      <c r="O19" s="88">
        <v>1000000</v>
      </c>
      <c r="P19" s="59">
        <v>1</v>
      </c>
      <c r="Q19" s="61">
        <f t="shared" si="7"/>
        <v>1.7176286503875371E-2</v>
      </c>
      <c r="R19" s="83">
        <f t="shared" si="3"/>
        <v>14</v>
      </c>
      <c r="S19" s="101">
        <f>(SUMPRODUCT($O$6:O18,$P$6:P18,$Q$6:Q18,$S$6:S18)-SUMPRODUCT($G$6:G18,$H$6:H18*$K$6:K18)*I19+O19*S18)/(G19*H19*I19+O19)</f>
        <v>0.81414823617061649</v>
      </c>
      <c r="T19" s="63">
        <f>SUMPRODUCT($O$6:O19,$P$6:P19,$Q$6:Q19,$S$6:S19)</f>
        <v>185851.7638293838</v>
      </c>
    </row>
    <row r="20" spans="2:20">
      <c r="F20" s="69">
        <f t="shared" si="4"/>
        <v>15</v>
      </c>
      <c r="G20" s="81">
        <v>1000000</v>
      </c>
      <c r="H20" s="82">
        <v>1</v>
      </c>
      <c r="I20" s="61">
        <f>IF($B$4="LINEAR",LinearInterpolation($B$8:$B$17,$D$8:$D$17,J20),SplineInterpolation($B$8:$B$17,$D$8:$D$17,J20))</f>
        <v>1.4832100000000001E-2</v>
      </c>
      <c r="J20" s="83">
        <f t="shared" si="1"/>
        <v>15</v>
      </c>
      <c r="K20" s="62">
        <f t="shared" si="6"/>
        <v>0.80044995698883037</v>
      </c>
      <c r="L20" s="63">
        <f>SUMPRODUCT($G$6:G20,$H$6:H20,$K$6:K20)*I20</f>
        <v>199550.04301116991</v>
      </c>
      <c r="N20" s="69">
        <f t="shared" si="5"/>
        <v>15</v>
      </c>
      <c r="O20" s="88">
        <v>1000000</v>
      </c>
      <c r="P20" s="59">
        <v>1</v>
      </c>
      <c r="Q20" s="61">
        <f t="shared" si="7"/>
        <v>1.7113223708971059E-2</v>
      </c>
      <c r="R20" s="83">
        <f t="shared" si="3"/>
        <v>15</v>
      </c>
      <c r="S20" s="101">
        <f>(SUMPRODUCT($O$6:O19,$P$6:P19,$Q$6:Q19,$S$6:S19)-SUMPRODUCT($G$6:G19,$H$6:H19*$K$6:K19)*I20+O20*S19)/(G20*H20*I20+O20)</f>
        <v>0.80044995698883037</v>
      </c>
      <c r="T20" s="63">
        <f>SUMPRODUCT($O$6:O20,$P$6:P20,$Q$6:Q20,$S$6:S20)</f>
        <v>199550.04301116991</v>
      </c>
    </row>
    <row r="21" spans="2:20">
      <c r="F21" s="69">
        <f t="shared" si="4"/>
        <v>16</v>
      </c>
      <c r="G21" s="81">
        <v>1000000</v>
      </c>
      <c r="H21" s="82">
        <v>1</v>
      </c>
      <c r="I21" s="61">
        <f>IF($B$4="LINEAR",LinearInterpolation($B$8:$B$17,$D$8:$D$17,J21),SplineInterpolation($B$8:$B$17,$D$8:$D$17,J21))</f>
        <v>1.4951910641686607E-2</v>
      </c>
      <c r="J21" s="83">
        <f t="shared" si="1"/>
        <v>16</v>
      </c>
      <c r="K21" s="62">
        <f t="shared" si="6"/>
        <v>0.78706983509572859</v>
      </c>
      <c r="L21" s="63">
        <f>SUMPRODUCT($G$6:G21,$H$6:H21,$K$6:K21)*I21</f>
        <v>212930.1649042716</v>
      </c>
      <c r="N21" s="69">
        <f t="shared" si="5"/>
        <v>16</v>
      </c>
      <c r="O21" s="88">
        <v>1000000</v>
      </c>
      <c r="P21" s="59">
        <v>1</v>
      </c>
      <c r="Q21" s="61">
        <f t="shared" si="7"/>
        <v>1.6999917029566269E-2</v>
      </c>
      <c r="R21" s="83">
        <f t="shared" si="3"/>
        <v>16</v>
      </c>
      <c r="S21" s="101">
        <f>(SUMPRODUCT($O$6:O20,$P$6:P20,$Q$6:Q20,$S$6:S20)-SUMPRODUCT($G$6:G20,$H$6:H20*$K$6:K20)*I21+O21*S20)/(G21*H21*I21+O21)</f>
        <v>0.78706983509572859</v>
      </c>
      <c r="T21" s="63">
        <f>SUMPRODUCT($O$6:O21,$P$6:P21,$Q$6:Q21,$S$6:S21)</f>
        <v>212930.16490427169</v>
      </c>
    </row>
    <row r="22" spans="2:20">
      <c r="F22" s="69">
        <f t="shared" si="4"/>
        <v>17</v>
      </c>
      <c r="G22" s="81">
        <v>1000000</v>
      </c>
      <c r="H22" s="82">
        <v>1</v>
      </c>
      <c r="I22" s="61">
        <f>IF($B$4="LINEAR",LinearInterpolation($B$8:$B$17,$D$8:$D$17,J22),SplineInterpolation($B$8:$B$17,$D$8:$D$17,J22))</f>
        <v>1.5050495884660963E-2</v>
      </c>
      <c r="J22" s="83">
        <f t="shared" si="1"/>
        <v>17</v>
      </c>
      <c r="K22" s="62">
        <f t="shared" si="6"/>
        <v>0.77401654971836098</v>
      </c>
      <c r="L22" s="63">
        <f>SUMPRODUCT($G$6:G22,$H$6:H22,$K$6:K22)*I22</f>
        <v>225983.45028163923</v>
      </c>
      <c r="N22" s="69">
        <f t="shared" si="5"/>
        <v>17</v>
      </c>
      <c r="O22" s="88">
        <v>1000000</v>
      </c>
      <c r="P22" s="59">
        <v>1</v>
      </c>
      <c r="Q22" s="61">
        <f t="shared" si="7"/>
        <v>1.6864349195268913E-2</v>
      </c>
      <c r="R22" s="83">
        <f t="shared" si="3"/>
        <v>17</v>
      </c>
      <c r="S22" s="101">
        <f>(SUMPRODUCT($O$6:O21,$P$6:P21,$Q$6:Q21,$S$6:S21)-SUMPRODUCT($G$6:G21,$H$6:H21*$K$6:K21)*I22+O22*S21)/(G22*H22*I22+O22)</f>
        <v>0.77401654971836098</v>
      </c>
      <c r="T22" s="63">
        <f>SUMPRODUCT($O$6:O22,$P$6:P22,$Q$6:Q22,$S$6:S22)</f>
        <v>225983.45028163935</v>
      </c>
    </row>
    <row r="23" spans="2:20">
      <c r="F23" s="69">
        <f t="shared" si="4"/>
        <v>18</v>
      </c>
      <c r="G23" s="81">
        <v>1000000</v>
      </c>
      <c r="H23" s="82">
        <v>1</v>
      </c>
      <c r="I23" s="61">
        <f>IF($B$4="LINEAR",LinearInterpolation($B$8:$B$17,$D$8:$D$17,J23),SplineInterpolation($B$8:$B$17,$D$8:$D$17,J23))</f>
        <v>1.5131355806792018E-2</v>
      </c>
      <c r="J23" s="83">
        <f t="shared" si="1"/>
        <v>18</v>
      </c>
      <c r="K23" s="62">
        <f t="shared" si="6"/>
        <v>0.76128318980517651</v>
      </c>
      <c r="L23" s="63">
        <f>SUMPRODUCT($G$6:G23,$H$6:H23,$K$6:K23)*I23</f>
        <v>238716.81019482377</v>
      </c>
      <c r="N23" s="69">
        <f t="shared" si="5"/>
        <v>18</v>
      </c>
      <c r="O23" s="88">
        <v>1000000</v>
      </c>
      <c r="P23" s="59">
        <v>1</v>
      </c>
      <c r="Q23" s="61">
        <f t="shared" si="7"/>
        <v>1.6726180327774065E-2</v>
      </c>
      <c r="R23" s="83">
        <f t="shared" si="3"/>
        <v>18</v>
      </c>
      <c r="S23" s="101">
        <f>(SUMPRODUCT($O$6:O22,$P$6:P22,$Q$6:Q22,$S$6:S22)-SUMPRODUCT($G$6:G22,$H$6:H22*$K$6:K22)*I23+O23*S22)/(G23*H23*I23+O23)</f>
        <v>0.76128318980517651</v>
      </c>
      <c r="T23" s="63">
        <f>SUMPRODUCT($O$6:O23,$P$6:P23,$Q$6:Q23,$S$6:S23)</f>
        <v>238716.81019482377</v>
      </c>
    </row>
    <row r="24" spans="2:20">
      <c r="F24" s="69">
        <f t="shared" si="4"/>
        <v>19</v>
      </c>
      <c r="G24" s="81">
        <v>1000000</v>
      </c>
      <c r="H24" s="82">
        <v>1</v>
      </c>
      <c r="I24" s="61">
        <f>IF($B$4="LINEAR",LinearInterpolation($B$8:$B$17,$D$8:$D$17,J24),SplineInterpolation($B$8:$B$17,$D$8:$D$17,J24))</f>
        <v>1.5197990485948715E-2</v>
      </c>
      <c r="J24" s="83">
        <f t="shared" si="1"/>
        <v>19</v>
      </c>
      <c r="K24" s="62">
        <f t="shared" si="6"/>
        <v>0.74885091207236831</v>
      </c>
      <c r="L24" s="63">
        <f>SUMPRODUCT($G$6:G24,$H$6:H24,$K$6:K24)*I24</f>
        <v>251149.08792763195</v>
      </c>
      <c r="N24" s="69">
        <f t="shared" si="5"/>
        <v>19</v>
      </c>
      <c r="O24" s="88">
        <v>1000000</v>
      </c>
      <c r="P24" s="59">
        <v>1</v>
      </c>
      <c r="Q24" s="61">
        <f t="shared" si="7"/>
        <v>1.6601806223889293E-2</v>
      </c>
      <c r="R24" s="83">
        <f t="shared" si="3"/>
        <v>19</v>
      </c>
      <c r="S24" s="101">
        <f>(SUMPRODUCT($O$6:O23,$P$6:P23,$Q$6:Q23,$S$6:S23)-SUMPRODUCT($G$6:G23,$H$6:H23*$K$6:K23)*I24+O24*S23)/(G24*H24*I24+O24)</f>
        <v>0.74885091207236831</v>
      </c>
      <c r="T24" s="63">
        <f>SUMPRODUCT($O$6:O24,$P$6:P24,$Q$6:Q24,$S$6:S24)</f>
        <v>251149.087927632</v>
      </c>
    </row>
    <row r="25" spans="2:20">
      <c r="F25" s="69">
        <f t="shared" si="4"/>
        <v>20</v>
      </c>
      <c r="G25" s="81">
        <v>1000000</v>
      </c>
      <c r="H25" s="82">
        <v>1</v>
      </c>
      <c r="I25" s="61">
        <f>IF($B$4="LINEAR",LinearInterpolation($B$8:$B$17,$D$8:$D$17,J25),SplineInterpolation($B$8:$B$17,$D$8:$D$17,J25))</f>
        <v>1.5253900000000001E-2</v>
      </c>
      <c r="J25" s="83">
        <f t="shared" si="1"/>
        <v>20</v>
      </c>
      <c r="K25" s="62">
        <f t="shared" si="6"/>
        <v>0.73668960927843929</v>
      </c>
      <c r="L25" s="63">
        <f>SUMPRODUCT($G$6:G25,$H$6:H25,$K$6:K25)*I25</f>
        <v>263310.39072156098</v>
      </c>
      <c r="N25" s="69">
        <f t="shared" si="5"/>
        <v>20</v>
      </c>
      <c r="O25" s="88">
        <v>1000000</v>
      </c>
      <c r="P25" s="59">
        <v>1</v>
      </c>
      <c r="Q25" s="61">
        <f t="shared" si="7"/>
        <v>1.650804170543485E-2</v>
      </c>
      <c r="R25" s="83">
        <f t="shared" si="3"/>
        <v>20</v>
      </c>
      <c r="S25" s="101">
        <f>(SUMPRODUCT($O$6:O24,$P$6:P24,$Q$6:Q24,$S$6:S24)-SUMPRODUCT($G$6:G24,$H$6:H24*$K$6:K24)*I25+O25*S24)/(G25*H25*I25+O25)</f>
        <v>0.73668960927843929</v>
      </c>
      <c r="T25" s="63">
        <f>SUMPRODUCT($O$6:O25,$P$6:P25,$Q$6:Q25,$S$6:S25)</f>
        <v>263310.39072156098</v>
      </c>
    </row>
    <row r="26" spans="2:20">
      <c r="F26" s="69">
        <f t="shared" si="4"/>
        <v>21</v>
      </c>
      <c r="G26" s="81">
        <v>1000000</v>
      </c>
      <c r="H26" s="82">
        <v>1</v>
      </c>
      <c r="I26" s="61">
        <f>IF($B$4="LINEAR",LinearInterpolation($B$8:$B$17,$D$8:$D$17,J26),SplineInterpolation($B$8:$B$17,$D$8:$D$17,J26))</f>
        <v>1.5302121498623936E-2</v>
      </c>
      <c r="J26" s="83">
        <f t="shared" si="1"/>
        <v>21</v>
      </c>
      <c r="K26" s="62">
        <f t="shared" si="6"/>
        <v>0.72476674860907797</v>
      </c>
      <c r="L26" s="63">
        <f>SUMPRODUCT($G$6:G26,$H$6:H26,$K$6:K26)*I26</f>
        <v>275233.25139092223</v>
      </c>
      <c r="N26" s="69">
        <f t="shared" si="5"/>
        <v>21</v>
      </c>
      <c r="O26" s="88">
        <v>1000000</v>
      </c>
      <c r="P26" s="59">
        <v>1</v>
      </c>
      <c r="Q26" s="61">
        <f t="shared" si="7"/>
        <v>1.6450617653531729E-2</v>
      </c>
      <c r="R26" s="83">
        <f t="shared" si="3"/>
        <v>21</v>
      </c>
      <c r="S26" s="101">
        <f>(SUMPRODUCT($O$6:O25,$P$6:P25,$Q$6:Q25,$S$6:S25)-SUMPRODUCT($G$6:G25,$H$6:H25*$K$6:K25)*I26+O26*S25)/(G26*H26*I26+O26)</f>
        <v>0.72476674860907797</v>
      </c>
      <c r="T26" s="63">
        <f>SUMPRODUCT($O$6:O26,$P$6:P26,$Q$6:Q26,$S$6:S26)</f>
        <v>275233.25139092229</v>
      </c>
    </row>
    <row r="27" spans="2:20">
      <c r="F27" s="69">
        <f t="shared" si="4"/>
        <v>22</v>
      </c>
      <c r="G27" s="81">
        <v>1000000</v>
      </c>
      <c r="H27" s="82">
        <v>1</v>
      </c>
      <c r="I27" s="61">
        <f>IF($B$4="LINEAR",LinearInterpolation($B$8:$B$17,$D$8:$D$17,J27),SplineInterpolation($B$8:$B$17,$D$8:$D$17,J27))</f>
        <v>1.5343840418735049E-2</v>
      </c>
      <c r="J27" s="83">
        <f t="shared" si="1"/>
        <v>22</v>
      </c>
      <c r="K27" s="62">
        <f t="shared" si="6"/>
        <v>0.71307505689340323</v>
      </c>
      <c r="L27" s="63">
        <f>SUMPRODUCT($G$6:G27,$H$6:H27,$K$6:K27)*I27</f>
        <v>286924.94310659711</v>
      </c>
      <c r="N27" s="69">
        <f t="shared" si="5"/>
        <v>22</v>
      </c>
      <c r="O27" s="88">
        <v>1000000</v>
      </c>
      <c r="P27" s="59">
        <v>1</v>
      </c>
      <c r="Q27" s="61">
        <f t="shared" si="7"/>
        <v>1.6396158584779386E-2</v>
      </c>
      <c r="R27" s="83">
        <f t="shared" si="3"/>
        <v>22</v>
      </c>
      <c r="S27" s="101">
        <f>(SUMPRODUCT($O$6:O26,$P$6:P26,$Q$6:Q26,$S$6:S26)-SUMPRODUCT($G$6:G26,$H$6:H26*$K$6:K26)*I27+O27*S26)/(G27*H27*I27+O27)</f>
        <v>0.71307505689340323</v>
      </c>
      <c r="T27" s="63">
        <f>SUMPRODUCT($O$6:O27,$P$6:P27,$Q$6:Q27,$S$6:S27)</f>
        <v>286924.94310659711</v>
      </c>
    </row>
    <row r="28" spans="2:20">
      <c r="F28" s="69">
        <f t="shared" si="4"/>
        <v>23</v>
      </c>
      <c r="G28" s="81">
        <v>1000000</v>
      </c>
      <c r="H28" s="82">
        <v>1</v>
      </c>
      <c r="I28" s="61">
        <f>IF($B$4="LINEAR",LinearInterpolation($B$8:$B$17,$D$8:$D$17,J28),SplineInterpolation($B$8:$B$17,$D$8:$D$17,J28))</f>
        <v>1.5379779269056985E-2</v>
      </c>
      <c r="J28" s="83">
        <f t="shared" si="1"/>
        <v>23</v>
      </c>
      <c r="K28" s="62">
        <f t="shared" si="6"/>
        <v>0.70161236844629349</v>
      </c>
      <c r="L28" s="63">
        <f>SUMPRODUCT($G$6:G28,$H$6:H28,$K$6:K28)*I28</f>
        <v>298387.63155370695</v>
      </c>
      <c r="N28" s="69">
        <f t="shared" si="5"/>
        <v>23</v>
      </c>
      <c r="O28" s="88">
        <v>1000000</v>
      </c>
      <c r="P28" s="59">
        <v>1</v>
      </c>
      <c r="Q28" s="61">
        <f t="shared" si="7"/>
        <v>1.6337637365905655E-2</v>
      </c>
      <c r="R28" s="83">
        <f t="shared" si="3"/>
        <v>23</v>
      </c>
      <c r="S28" s="101">
        <f>(SUMPRODUCT($O$6:O27,$P$6:P27,$Q$6:Q27,$S$6:S27)-SUMPRODUCT($G$6:G27,$H$6:H27*$K$6:K27)*I28+O28*S27)/(G28*H28*I28+O28)</f>
        <v>0.70161236844629349</v>
      </c>
      <c r="T28" s="63">
        <f>SUMPRODUCT($O$6:O28,$P$6:P28,$Q$6:Q28,$S$6:S28)</f>
        <v>298387.63155370683</v>
      </c>
    </row>
    <row r="29" spans="2:20">
      <c r="F29" s="69">
        <f t="shared" si="4"/>
        <v>24</v>
      </c>
      <c r="G29" s="81">
        <v>1000000</v>
      </c>
      <c r="H29" s="82">
        <v>1</v>
      </c>
      <c r="I29" s="61">
        <f>IF($B$4="LINEAR",LinearInterpolation($B$8:$B$17,$D$8:$D$17,J29),SplineInterpolation($B$8:$B$17,$D$8:$D$17,J29))</f>
        <v>1.5410660558313397E-2</v>
      </c>
      <c r="J29" s="83">
        <f t="shared" si="1"/>
        <v>24</v>
      </c>
      <c r="K29" s="62">
        <f t="shared" si="6"/>
        <v>0.69037411037637619</v>
      </c>
      <c r="L29" s="63">
        <f>SUMPRODUCT($G$6:G29,$H$6:H29,$K$6:K29)*I29</f>
        <v>309625.88962362416</v>
      </c>
      <c r="N29" s="69">
        <f t="shared" si="5"/>
        <v>24</v>
      </c>
      <c r="O29" s="88">
        <v>1000000</v>
      </c>
      <c r="P29" s="59">
        <v>1</v>
      </c>
      <c r="Q29" s="61">
        <f t="shared" si="7"/>
        <v>1.6278504510823133E-2</v>
      </c>
      <c r="R29" s="83">
        <f t="shared" si="3"/>
        <v>24</v>
      </c>
      <c r="S29" s="101">
        <f>(SUMPRODUCT($O$6:O28,$P$6:P28,$Q$6:Q28,$S$6:S28)-SUMPRODUCT($G$6:G28,$H$6:H28*$K$6:K28)*I29+O29*S28)/(G29*H29*I29+O29)</f>
        <v>0.69037411037637619</v>
      </c>
      <c r="T29" s="63">
        <f>SUMPRODUCT($O$6:O29,$P$6:P29,$Q$6:Q29,$S$6:S29)</f>
        <v>309625.88962362416</v>
      </c>
    </row>
    <row r="30" spans="2:20">
      <c r="F30" s="69">
        <f t="shared" si="4"/>
        <v>25</v>
      </c>
      <c r="G30" s="81">
        <v>1000000</v>
      </c>
      <c r="H30" s="82">
        <v>1</v>
      </c>
      <c r="I30" s="61">
        <f>IF($B$4="LINEAR",LinearInterpolation($B$8:$B$17,$D$8:$D$17,J30),SplineInterpolation($B$8:$B$17,$D$8:$D$17,J30))</f>
        <v>1.5437206795227927E-2</v>
      </c>
      <c r="J30" s="83">
        <f t="shared" si="1"/>
        <v>25</v>
      </c>
      <c r="K30" s="62">
        <f t="shared" si="6"/>
        <v>0.67935343274514559</v>
      </c>
      <c r="L30" s="63">
        <f>SUMPRODUCT($G$6:G30,$H$6:H30,$K$6:K30)*I30</f>
        <v>320646.56725485489</v>
      </c>
      <c r="N30" s="69">
        <f t="shared" si="5"/>
        <v>25</v>
      </c>
      <c r="O30" s="88">
        <v>1000000</v>
      </c>
      <c r="P30" s="59">
        <v>1</v>
      </c>
      <c r="Q30" s="61">
        <f t="shared" si="7"/>
        <v>1.6222303590486042E-2</v>
      </c>
      <c r="R30" s="83">
        <f t="shared" si="3"/>
        <v>25</v>
      </c>
      <c r="S30" s="101">
        <f>(SUMPRODUCT($O$6:O29,$P$6:P29,$Q$6:Q29,$S$6:S29)-SUMPRODUCT($G$6:G29,$H$6:H29*$K$6:K29)*I30+O30*S29)/(G30*H30*I30+O30)</f>
        <v>0.67935343274514559</v>
      </c>
      <c r="T30" s="63">
        <f>SUMPRODUCT($O$6:O30,$P$6:P30,$Q$6:Q30,$S$6:S30)</f>
        <v>320646.56725485477</v>
      </c>
    </row>
    <row r="31" spans="2:20">
      <c r="F31" s="69">
        <f t="shared" si="4"/>
        <v>26</v>
      </c>
      <c r="G31" s="81">
        <v>1000000</v>
      </c>
      <c r="H31" s="82">
        <v>1</v>
      </c>
      <c r="I31" s="61">
        <f>IF($B$4="LINEAR",LinearInterpolation($B$8:$B$17,$D$8:$D$17,J31),SplineInterpolation($B$8:$B$17,$D$8:$D$17,J31))</f>
        <v>1.5460140488524222E-2</v>
      </c>
      <c r="J31" s="83">
        <f t="shared" si="1"/>
        <v>26</v>
      </c>
      <c r="K31" s="62">
        <f t="shared" si="6"/>
        <v>0.6685413335502125</v>
      </c>
      <c r="L31" s="63">
        <f>SUMPRODUCT($G$6:G31,$H$6:H31,$K$6:K31)*I31</f>
        <v>331458.66644978785</v>
      </c>
      <c r="N31" s="69">
        <f t="shared" si="5"/>
        <v>26</v>
      </c>
      <c r="O31" s="88">
        <v>1000000</v>
      </c>
      <c r="P31" s="59">
        <v>1</v>
      </c>
      <c r="Q31" s="61">
        <f t="shared" si="7"/>
        <v>1.6172671235623826E-2</v>
      </c>
      <c r="R31" s="83">
        <f t="shared" si="3"/>
        <v>26</v>
      </c>
      <c r="S31" s="101">
        <f>(SUMPRODUCT($O$6:O30,$P$6:P30,$Q$6:Q30,$S$6:S30)-SUMPRODUCT($G$6:G30,$H$6:H30*$K$6:K30)*I31+O31*S30)/(G31*H31*I31+O31)</f>
        <v>0.6685413335502125</v>
      </c>
      <c r="T31" s="63">
        <f>SUMPRODUCT($O$6:O31,$P$6:P31,$Q$6:Q31,$S$6:S31)</f>
        <v>331458.66644978791</v>
      </c>
    </row>
    <row r="32" spans="2:20">
      <c r="F32" s="69">
        <f t="shared" si="4"/>
        <v>27</v>
      </c>
      <c r="G32" s="81">
        <v>1000000</v>
      </c>
      <c r="H32" s="82">
        <v>1</v>
      </c>
      <c r="I32" s="61">
        <f>IF($B$4="LINEAR",LinearInterpolation($B$8:$B$17,$D$8:$D$17,J32),SplineInterpolation($B$8:$B$17,$D$8:$D$17,J32))</f>
        <v>1.5480184146925931E-2</v>
      </c>
      <c r="J32" s="83">
        <f t="shared" si="1"/>
        <v>27</v>
      </c>
      <c r="K32" s="62">
        <f t="shared" si="6"/>
        <v>0.65792677857211113</v>
      </c>
      <c r="L32" s="63">
        <f>SUMPRODUCT($G$6:G32,$H$6:H32,$K$6:K32)*I32</f>
        <v>342073.22142788931</v>
      </c>
      <c r="N32" s="69">
        <f t="shared" si="5"/>
        <v>27</v>
      </c>
      <c r="O32" s="88">
        <v>1000000</v>
      </c>
      <c r="P32" s="59">
        <v>1</v>
      </c>
      <c r="Q32" s="61">
        <f t="shared" si="7"/>
        <v>1.6133337817831217E-2</v>
      </c>
      <c r="R32" s="83">
        <f t="shared" si="3"/>
        <v>27</v>
      </c>
      <c r="S32" s="101">
        <f>(SUMPRODUCT($O$6:O31,$P$6:P31,$Q$6:Q31,$S$6:S31)-SUMPRODUCT($G$6:G31,$H$6:H31*$K$6:K31)*I32+O32*S31)/(G32*H32*I32+O32)</f>
        <v>0.65792677857211113</v>
      </c>
      <c r="T32" s="63">
        <f>SUMPRODUCT($O$6:O32,$P$6:P32,$Q$6:Q32,$S$6:S32)</f>
        <v>342073.22142788919</v>
      </c>
    </row>
    <row r="33" spans="6:20">
      <c r="F33" s="69">
        <f t="shared" si="4"/>
        <v>28</v>
      </c>
      <c r="G33" s="81">
        <v>1000000</v>
      </c>
      <c r="H33" s="82">
        <v>1</v>
      </c>
      <c r="I33" s="61">
        <f>IF($B$4="LINEAR",LinearInterpolation($B$8:$B$17,$D$8:$D$17,J33),SplineInterpolation($B$8:$B$17,$D$8:$D$17,J33))</f>
        <v>1.5498060279156697E-2</v>
      </c>
      <c r="J33" s="83">
        <f t="shared" si="1"/>
        <v>28</v>
      </c>
      <c r="K33" s="62">
        <f t="shared" si="6"/>
        <v>0.6474968162223933</v>
      </c>
      <c r="L33" s="63">
        <f>SUMPRODUCT($G$6:G33,$H$6:H33,$K$6:K33)*I33</f>
        <v>352503.18377760716</v>
      </c>
      <c r="N33" s="69">
        <f t="shared" si="5"/>
        <v>28</v>
      </c>
      <c r="O33" s="88">
        <v>1000000</v>
      </c>
      <c r="P33" s="59">
        <v>1</v>
      </c>
      <c r="Q33" s="61">
        <f t="shared" si="7"/>
        <v>1.6108129165125495E-2</v>
      </c>
      <c r="R33" s="83">
        <f t="shared" si="3"/>
        <v>28</v>
      </c>
      <c r="S33" s="101">
        <f>(SUMPRODUCT($O$6:O32,$P$6:P32,$Q$6:Q32,$S$6:S32)-SUMPRODUCT($G$6:G32,$H$6:H32*$K$6:K32)*I33+O33*S32)/(G33*H33*I33+O33)</f>
        <v>0.6474968162223933</v>
      </c>
      <c r="T33" s="63">
        <f>SUMPRODUCT($O$6:O33,$P$6:P33,$Q$6:Q33,$S$6:S33)</f>
        <v>352503.18377760705</v>
      </c>
    </row>
    <row r="34" spans="6:20">
      <c r="F34" s="69">
        <f t="shared" si="4"/>
        <v>29</v>
      </c>
      <c r="G34" s="81">
        <v>1000000</v>
      </c>
      <c r="H34" s="82">
        <v>1</v>
      </c>
      <c r="I34" s="61">
        <f>IF($B$4="LINEAR",LinearInterpolation($B$8:$B$17,$D$8:$D$17,J34),SplineInterpolation($B$8:$B$17,$D$8:$D$17,J34))</f>
        <v>1.551449139394017E-2</v>
      </c>
      <c r="J34" s="83">
        <f t="shared" si="1"/>
        <v>29</v>
      </c>
      <c r="K34" s="62">
        <f t="shared" si="6"/>
        <v>0.63723668761981112</v>
      </c>
      <c r="L34" s="63">
        <f>SUMPRODUCT($G$6:G34,$H$6:H34,$K$6:K34)*I34</f>
        <v>362763.31238018931</v>
      </c>
      <c r="N34" s="69">
        <f t="shared" si="5"/>
        <v>29</v>
      </c>
      <c r="O34" s="88">
        <v>1000000</v>
      </c>
      <c r="P34" s="59">
        <v>1</v>
      </c>
      <c r="Q34" s="61">
        <f t="shared" si="7"/>
        <v>1.6100969705472368E-2</v>
      </c>
      <c r="R34" s="83">
        <f t="shared" si="3"/>
        <v>29</v>
      </c>
      <c r="S34" s="101">
        <f>(SUMPRODUCT($O$6:O33,$P$6:P33,$Q$6:Q33,$S$6:S33)-SUMPRODUCT($G$6:G33,$H$6:H33*$K$6:K33)*I34+O34*S33)/(G34*H34*I34+O34)</f>
        <v>0.63723668761981112</v>
      </c>
      <c r="T34" s="63">
        <f>SUMPRODUCT($O$6:O34,$P$6:P34,$Q$6:Q34,$S$6:S34)</f>
        <v>362763.31238018919</v>
      </c>
    </row>
    <row r="35" spans="6:20">
      <c r="F35" s="69">
        <f t="shared" si="4"/>
        <v>30</v>
      </c>
      <c r="G35" s="84">
        <v>1000000</v>
      </c>
      <c r="H35" s="85">
        <v>1</v>
      </c>
      <c r="I35" s="41">
        <f>IF($B$4="LINEAR",LinearInterpolation($B$8:$B$17,$D$8:$D$17,J35),SplineInterpolation($B$8:$B$17,$D$8:$D$17,J35))</f>
        <v>1.5530199999999999E-2</v>
      </c>
      <c r="J35" s="86">
        <f t="shared" si="1"/>
        <v>30</v>
      </c>
      <c r="K35" s="42">
        <f t="shared" si="6"/>
        <v>0.62712993220175961</v>
      </c>
      <c r="L35" s="43">
        <f>SUMPRODUCT($G$6:G35,$H$6:H35,$K$6:K35)*I35</f>
        <v>372870.06779824075</v>
      </c>
      <c r="N35" s="69">
        <f t="shared" si="5"/>
        <v>30</v>
      </c>
      <c r="O35" s="89">
        <v>1000000</v>
      </c>
      <c r="P35" s="39">
        <v>1</v>
      </c>
      <c r="Q35" s="41">
        <f t="shared" si="7"/>
        <v>1.6115887472581969E-2</v>
      </c>
      <c r="R35" s="86">
        <f t="shared" si="3"/>
        <v>30</v>
      </c>
      <c r="S35" s="102">
        <f>(SUMPRODUCT($O$6:O34,$P$6:P34,$Q$6:Q34,$S$6:S34)-SUMPRODUCT($G$6:G34,$H$6:H34*$K$6:K34)*I35+O35*S34)/(G35*H35*I35+O35)</f>
        <v>0.62712993220175961</v>
      </c>
      <c r="T35" s="43">
        <f>SUMPRODUCT($O$6:O35,$P$6:P35,$Q$6:Q35,$S$6:S35)</f>
        <v>372870.06779824069</v>
      </c>
    </row>
    <row r="39" spans="6:20">
      <c r="I39" s="108"/>
      <c r="N39" s="3"/>
    </row>
    <row r="43" spans="6:20">
      <c r="N43" s="3"/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B1:AX35"/>
  <sheetViews>
    <sheetView showGridLines="0" workbookViewId="0">
      <selection activeCell="N19" sqref="N19"/>
    </sheetView>
  </sheetViews>
  <sheetFormatPr defaultRowHeight="15" outlineLevelCol="1"/>
  <cols>
    <col min="1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5.285156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2" width="9.140625" style="20" hidden="1" customWidth="1" outlineLevel="1"/>
    <col min="33" max="33" width="9.140625" style="20" collapsed="1"/>
    <col min="34" max="35" width="9.140625" style="20"/>
    <col min="36" max="49" width="9.140625" style="20" hidden="1" customWidth="1" outlineLevel="1"/>
    <col min="50" max="50" width="9.140625" style="20" collapsed="1"/>
    <col min="51" max="16384" width="9.140625" style="20"/>
  </cols>
  <sheetData>
    <row r="1" spans="2:50">
      <c r="AF1" s="103"/>
      <c r="AG1" s="103" t="s">
        <v>79</v>
      </c>
      <c r="AH1" s="103"/>
      <c r="AI1" s="103"/>
      <c r="AW1" s="103"/>
      <c r="AX1" s="103" t="s">
        <v>75</v>
      </c>
    </row>
    <row r="3" spans="2:50" ht="15.75">
      <c r="B3" s="24" t="s">
        <v>57</v>
      </c>
      <c r="F3" s="24" t="s">
        <v>55</v>
      </c>
      <c r="G3" s="24"/>
      <c r="N3" s="24" t="s">
        <v>56</v>
      </c>
      <c r="O3" s="24"/>
      <c r="Q3" s="110" t="s">
        <v>88</v>
      </c>
      <c r="V3" s="106" t="s">
        <v>69</v>
      </c>
    </row>
    <row r="4" spans="2:50" ht="18.75">
      <c r="B4" s="91" t="s">
        <v>58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103" t="s">
        <v>66</v>
      </c>
      <c r="R4" s="20" t="s">
        <v>34</v>
      </c>
      <c r="S4" s="20" t="s">
        <v>35</v>
      </c>
      <c r="T4" s="20" t="s">
        <v>42</v>
      </c>
      <c r="V4" s="104" t="s">
        <v>72</v>
      </c>
    </row>
    <row r="5" spans="2:50">
      <c r="F5" s="69">
        <v>0</v>
      </c>
      <c r="G5" s="78"/>
      <c r="H5" s="79"/>
      <c r="I5" s="52"/>
      <c r="J5" s="80">
        <v>0</v>
      </c>
      <c r="K5" s="53">
        <f>'Bootstrapping USD OIS'!K5</f>
        <v>1</v>
      </c>
      <c r="L5" s="54"/>
      <c r="N5" s="69">
        <v>0</v>
      </c>
      <c r="O5" s="87"/>
      <c r="P5" s="50"/>
      <c r="Q5" s="99">
        <v>0</v>
      </c>
      <c r="R5" s="80">
        <v>0</v>
      </c>
      <c r="S5" s="53">
        <f>'Bootstrapping USD OIS'!S5</f>
        <v>1</v>
      </c>
      <c r="T5" s="54"/>
    </row>
    <row r="6" spans="2:50">
      <c r="B6" s="24" t="s">
        <v>52</v>
      </c>
      <c r="F6" s="69">
        <v>1</v>
      </c>
      <c r="G6" s="81">
        <v>1000000</v>
      </c>
      <c r="H6" s="82">
        <v>1</v>
      </c>
      <c r="I6" s="61">
        <f>IF($B$4="LINEAR",LinearInterpolation($B$8:$B$17,$D$8:$D$17,J6),SplineInterpolation($B$8:$B$17,$D$8:$D$17,J6))</f>
        <v>1.7821699999999999E-2</v>
      </c>
      <c r="J6" s="83">
        <v>1</v>
      </c>
      <c r="K6" s="62">
        <f>'Bootstrapping USD OIS'!K6</f>
        <v>0.98561776698241588</v>
      </c>
      <c r="L6" s="63">
        <f>SUMPRODUCT($G$6:G6,$H$6:H6,$K$6:K6)*I6</f>
        <v>17565.384157830522</v>
      </c>
      <c r="N6" s="69">
        <v>1</v>
      </c>
      <c r="O6" s="88">
        <v>1000000</v>
      </c>
      <c r="P6" s="59">
        <v>1</v>
      </c>
      <c r="Q6" s="97">
        <f>L6/(O6*P6*S6)</f>
        <v>1.7821699999999999E-2</v>
      </c>
      <c r="R6" s="83">
        <v>1</v>
      </c>
      <c r="S6" s="62">
        <f>'Bootstrapping USD OIS'!S6</f>
        <v>0.98561776698241588</v>
      </c>
      <c r="T6" s="63">
        <f>O6*P6*Q6*S6</f>
        <v>17565.384157830522</v>
      </c>
    </row>
    <row r="7" spans="2:50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>IF($B$4="LINEAR",LinearInterpolation($B$8:$B$17,$D$8:$D$17,J7),SplineInterpolation($B$8:$B$17,$D$8:$D$17,J7))</f>
        <v>1.6301599999999999E-2</v>
      </c>
      <c r="J7" s="83">
        <f t="shared" ref="J7:J35" si="0">J6+1</f>
        <v>2</v>
      </c>
      <c r="K7" s="62">
        <f>'Bootstrapping USD OIS'!K7</f>
        <v>0.97455557786257074</v>
      </c>
      <c r="L7" s="63">
        <f>SUMPRODUCT($G$6:G7,$H$6:H7,$K$6:K7)*I7</f>
        <v>31953.961798325035</v>
      </c>
      <c r="N7" s="69">
        <f>N6+1</f>
        <v>2</v>
      </c>
      <c r="O7" s="88">
        <v>1000000</v>
      </c>
      <c r="P7" s="59">
        <v>1</v>
      </c>
      <c r="Q7" s="97">
        <f>(L7-T6)/(O7*P7*S7)</f>
        <v>1.4764245331243235E-2</v>
      </c>
      <c r="R7" s="83">
        <f t="shared" ref="R7:R35" si="1">R6+1</f>
        <v>2</v>
      </c>
      <c r="S7" s="62">
        <f>'Bootstrapping USD OIS'!S7</f>
        <v>0.97455557786257074</v>
      </c>
      <c r="T7" s="63">
        <f>SUMPRODUCT($O$6:O7,$P$6:P7,$Q$6:Q7,$S$6:S7)</f>
        <v>31953.961798325035</v>
      </c>
    </row>
    <row r="8" spans="2:50">
      <c r="B8" s="72">
        <v>0.25</v>
      </c>
      <c r="C8" s="73" t="s">
        <v>51</v>
      </c>
      <c r="D8" s="90">
        <v>2.0088000000000002E-2</v>
      </c>
      <c r="F8" s="69">
        <f t="shared" ref="F8:F35" si="2">F7+1</f>
        <v>3</v>
      </c>
      <c r="G8" s="81">
        <v>1000000</v>
      </c>
      <c r="H8" s="82">
        <v>1</v>
      </c>
      <c r="I8" s="61">
        <f>IF($B$4="LINEAR",LinearInterpolation($B$8:$B$17,$D$8:$D$17,J8),SplineInterpolation($B$8:$B$17,$D$8:$D$17,J8))</f>
        <v>1.5669499999999999E-2</v>
      </c>
      <c r="J8" s="83">
        <f t="shared" si="0"/>
        <v>3</v>
      </c>
      <c r="K8" s="62">
        <f>'Bootstrapping USD OIS'!K8</f>
        <v>0.96306806041014703</v>
      </c>
      <c r="L8" s="63">
        <f>SUMPRODUCT($G$6:G8,$H$6:H8,$K$6:K8)*I8</f>
        <v>45805.731199645314</v>
      </c>
      <c r="N8" s="69">
        <f t="shared" ref="N8:N35" si="3">N7+1</f>
        <v>3</v>
      </c>
      <c r="O8" s="88">
        <v>1000000</v>
      </c>
      <c r="P8" s="59">
        <v>1</v>
      </c>
      <c r="Q8" s="97">
        <f t="shared" ref="Q8:Q34" si="4">(L8-T7)/(O8*P8*S8)</f>
        <v>1.4382960011591651E-2</v>
      </c>
      <c r="R8" s="83">
        <f t="shared" si="1"/>
        <v>3</v>
      </c>
      <c r="S8" s="62">
        <f>'Bootstrapping USD OIS'!S8</f>
        <v>0.96306806041014703</v>
      </c>
      <c r="T8" s="63">
        <f>SUMPRODUCT($O$6:O8,$P$6:P8,$Q$6:Q8,$S$6:S8)</f>
        <v>45805.731199645314</v>
      </c>
    </row>
    <row r="9" spans="2:50">
      <c r="B9" s="72">
        <v>1</v>
      </c>
      <c r="C9" s="74" t="s">
        <v>37</v>
      </c>
      <c r="D9" s="75">
        <v>1.7821699999999999E-2</v>
      </c>
      <c r="F9" s="69">
        <f t="shared" si="2"/>
        <v>4</v>
      </c>
      <c r="G9" s="81">
        <v>1000000</v>
      </c>
      <c r="H9" s="82">
        <v>1</v>
      </c>
      <c r="I9" s="61">
        <f>IF($B$4="LINEAR",LinearInterpolation($B$8:$B$17,$D$8:$D$17,J9),SplineInterpolation($B$8:$B$17,$D$8:$D$17,J9))</f>
        <v>1.53633E-2</v>
      </c>
      <c r="J9" s="83">
        <f t="shared" si="0"/>
        <v>4</v>
      </c>
      <c r="K9" s="62">
        <f>'Bootstrapping USD OIS'!K9</f>
        <v>0.9514045775482779</v>
      </c>
      <c r="L9" s="63">
        <f>SUMPRODUCT($G$6:G9,$H$6:H9,$K$6:K9)*I9</f>
        <v>59527.348627603656</v>
      </c>
      <c r="N9" s="69">
        <f t="shared" si="3"/>
        <v>4</v>
      </c>
      <c r="O9" s="88">
        <v>1000000</v>
      </c>
      <c r="P9" s="59">
        <v>1</v>
      </c>
      <c r="Q9" s="97">
        <f t="shared" si="4"/>
        <v>1.4422484137419504E-2</v>
      </c>
      <c r="R9" s="83">
        <f t="shared" si="1"/>
        <v>4</v>
      </c>
      <c r="S9" s="62">
        <f>'Bootstrapping USD OIS'!S9</f>
        <v>0.9514045775482779</v>
      </c>
      <c r="T9" s="63">
        <f>SUMPRODUCT($O$6:O9,$P$6:P9,$Q$6:Q9,$S$6:S9)</f>
        <v>59527.348627603656</v>
      </c>
    </row>
    <row r="10" spans="2:50">
      <c r="B10" s="72">
        <v>2</v>
      </c>
      <c r="C10" s="74" t="s">
        <v>38</v>
      </c>
      <c r="D10" s="75">
        <v>1.6301599999999999E-2</v>
      </c>
      <c r="F10" s="69">
        <f t="shared" si="2"/>
        <v>5</v>
      </c>
      <c r="G10" s="81">
        <v>1000000</v>
      </c>
      <c r="H10" s="82">
        <v>1</v>
      </c>
      <c r="I10" s="61">
        <f>IF($B$4="LINEAR",LinearInterpolation($B$8:$B$17,$D$8:$D$17,J10),SplineInterpolation($B$8:$B$17,$D$8:$D$17,J10))</f>
        <v>1.54203E-2</v>
      </c>
      <c r="J10" s="83">
        <f t="shared" si="0"/>
        <v>5</v>
      </c>
      <c r="K10" s="62">
        <f>'Bootstrapping USD OIS'!K10</f>
        <v>0.939456404150946</v>
      </c>
      <c r="L10" s="63">
        <f>SUMPRODUCT($G$6:G10,$H$6:H10,$K$6:K10)*I10</f>
        <v>74234.903037552285</v>
      </c>
      <c r="N10" s="69">
        <f t="shared" si="3"/>
        <v>5</v>
      </c>
      <c r="O10" s="88">
        <v>1000000</v>
      </c>
      <c r="P10" s="59">
        <v>1</v>
      </c>
      <c r="Q10" s="97">
        <f t="shared" si="4"/>
        <v>1.5655387887041867E-2</v>
      </c>
      <c r="R10" s="83">
        <f t="shared" si="1"/>
        <v>5</v>
      </c>
      <c r="S10" s="62">
        <f>'Bootstrapping USD OIS'!S10</f>
        <v>0.939456404150946</v>
      </c>
      <c r="T10" s="63">
        <f>SUMPRODUCT($O$6:O10,$P$6:P10,$Q$6:Q10,$S$6:S10)</f>
        <v>74234.903037552285</v>
      </c>
    </row>
    <row r="11" spans="2:50">
      <c r="B11" s="72">
        <v>3</v>
      </c>
      <c r="C11" s="74" t="s">
        <v>43</v>
      </c>
      <c r="D11" s="75">
        <v>1.5669499999999999E-2</v>
      </c>
      <c r="F11" s="69">
        <f t="shared" si="2"/>
        <v>6</v>
      </c>
      <c r="G11" s="81">
        <v>1000000</v>
      </c>
      <c r="H11" s="82">
        <v>1</v>
      </c>
      <c r="I11" s="61">
        <f>IF($B$4="LINEAR",LinearInterpolation($B$8:$B$17,$D$8:$D$17,J11),SplineInterpolation($B$8:$B$17,$D$8:$D$17,J11))</f>
        <v>1.5604326508436029E-2</v>
      </c>
      <c r="J11" s="83">
        <f t="shared" si="0"/>
        <v>6</v>
      </c>
      <c r="K11" s="62">
        <f>'Bootstrapping USD OIS'!K11</f>
        <v>0.9269603591459189</v>
      </c>
      <c r="L11" s="63">
        <f>SUMPRODUCT($G$6:G11,$H$6:H11,$K$6:K11)*I11</f>
        <v>89585.417595567094</v>
      </c>
      <c r="N11" s="69">
        <f t="shared" si="3"/>
        <v>6</v>
      </c>
      <c r="O11" s="88">
        <v>1000000</v>
      </c>
      <c r="P11" s="59">
        <v>1</v>
      </c>
      <c r="Q11" s="97">
        <f t="shared" si="4"/>
        <v>1.65600550299243E-2</v>
      </c>
      <c r="R11" s="83">
        <f t="shared" si="1"/>
        <v>6</v>
      </c>
      <c r="S11" s="62">
        <f>'Bootstrapping USD OIS'!S11</f>
        <v>0.9269603591459189</v>
      </c>
      <c r="T11" s="63">
        <f>SUMPRODUCT($O$6:O11,$P$6:P11,$Q$6:Q11,$S$6:S11)</f>
        <v>89585.417595567094</v>
      </c>
    </row>
    <row r="12" spans="2:50">
      <c r="B12" s="72">
        <v>4</v>
      </c>
      <c r="C12" s="74" t="s">
        <v>44</v>
      </c>
      <c r="D12" s="75">
        <v>1.53633E-2</v>
      </c>
      <c r="F12" s="69">
        <f t="shared" si="2"/>
        <v>7</v>
      </c>
      <c r="G12" s="81">
        <v>1000000</v>
      </c>
      <c r="H12" s="82">
        <v>1</v>
      </c>
      <c r="I12" s="61">
        <f>IF($B$4="LINEAR",LinearInterpolation($B$8:$B$17,$D$8:$D$17,J12),SplineInterpolation($B$8:$B$17,$D$8:$D$17,J12))</f>
        <v>1.5829525353645724E-2</v>
      </c>
      <c r="J12" s="83">
        <f t="shared" si="0"/>
        <v>7</v>
      </c>
      <c r="K12" s="62">
        <f>'Bootstrapping USD OIS'!K12</f>
        <v>0.91382753075280565</v>
      </c>
      <c r="L12" s="63">
        <f>SUMPRODUCT($G$6:G12,$H$6:H12,$K$6:K12)*I12</f>
        <v>105343.75436317628</v>
      </c>
      <c r="N12" s="69">
        <f t="shared" si="3"/>
        <v>7</v>
      </c>
      <c r="O12" s="88">
        <v>1000000</v>
      </c>
      <c r="P12" s="59">
        <v>1</v>
      </c>
      <c r="Q12" s="97">
        <f t="shared" si="4"/>
        <v>1.7244322629049669E-2</v>
      </c>
      <c r="R12" s="83">
        <f t="shared" si="1"/>
        <v>7</v>
      </c>
      <c r="S12" s="62">
        <f>'Bootstrapping USD OIS'!S12</f>
        <v>0.91382753075280565</v>
      </c>
      <c r="T12" s="63">
        <f>SUMPRODUCT($O$6:O12,$P$6:P12,$Q$6:Q12,$S$6:S12)</f>
        <v>105343.75436317628</v>
      </c>
    </row>
    <row r="13" spans="2:50">
      <c r="B13" s="72">
        <v>5</v>
      </c>
      <c r="C13" s="74" t="s">
        <v>39</v>
      </c>
      <c r="D13" s="75">
        <v>1.54203E-2</v>
      </c>
      <c r="F13" s="69">
        <f t="shared" si="2"/>
        <v>8</v>
      </c>
      <c r="G13" s="81">
        <v>1000000</v>
      </c>
      <c r="H13" s="82">
        <v>1</v>
      </c>
      <c r="I13" s="61">
        <f>IF($B$4="LINEAR",LinearInterpolation($B$8:$B$17,$D$8:$D$17,J13),SplineInterpolation($B$8:$B$17,$D$8:$D$17,J13))</f>
        <v>1.6076980944637404E-2</v>
      </c>
      <c r="J13" s="83">
        <f t="shared" si="0"/>
        <v>8</v>
      </c>
      <c r="K13" s="62">
        <f>'Bootstrapping USD OIS'!K13</f>
        <v>0.90007301850839927</v>
      </c>
      <c r="L13" s="63">
        <f>SUMPRODUCT($G$6:G13,$H$6:H13,$K$6:K13)*I13</f>
        <v>121461.00093696154</v>
      </c>
      <c r="N13" s="69">
        <f t="shared" si="3"/>
        <v>8</v>
      </c>
      <c r="O13" s="88">
        <v>1000000</v>
      </c>
      <c r="P13" s="59">
        <v>1</v>
      </c>
      <c r="Q13" s="97">
        <f t="shared" si="4"/>
        <v>1.7906598956265524E-2</v>
      </c>
      <c r="R13" s="83">
        <f t="shared" si="1"/>
        <v>8</v>
      </c>
      <c r="S13" s="62">
        <f>'Bootstrapping USD OIS'!S13</f>
        <v>0.90007301850839927</v>
      </c>
      <c r="T13" s="63">
        <f>SUMPRODUCT($O$6:O13,$P$6:P13,$Q$6:Q13,$S$6:S13)</f>
        <v>121461.00093696154</v>
      </c>
    </row>
    <row r="14" spans="2:50">
      <c r="B14" s="72">
        <v>10</v>
      </c>
      <c r="C14" s="74" t="s">
        <v>40</v>
      </c>
      <c r="D14" s="75">
        <v>1.6563000000000001E-2</v>
      </c>
      <c r="F14" s="69">
        <f t="shared" si="2"/>
        <v>9</v>
      </c>
      <c r="G14" s="81">
        <v>1000000</v>
      </c>
      <c r="H14" s="82">
        <v>1</v>
      </c>
      <c r="I14" s="61">
        <f>IF($B$4="LINEAR",LinearInterpolation($B$8:$B$17,$D$8:$D$17,J14),SplineInterpolation($B$8:$B$17,$D$8:$D$17,J14))</f>
        <v>1.6327777690419393E-2</v>
      </c>
      <c r="J14" s="83">
        <f t="shared" si="0"/>
        <v>9</v>
      </c>
      <c r="K14" s="62">
        <f>'Bootstrapping USD OIS'!K14</f>
        <v>0.8858199516068207</v>
      </c>
      <c r="L14" s="63">
        <f>SUMPRODUCT($G$6:G14,$H$6:H14,$K$6:K14)*I14</f>
        <v>137819.23238951483</v>
      </c>
      <c r="N14" s="69">
        <f t="shared" si="3"/>
        <v>9</v>
      </c>
      <c r="O14" s="88">
        <v>1000000</v>
      </c>
      <c r="P14" s="59">
        <v>1</v>
      </c>
      <c r="Q14" s="97">
        <f t="shared" si="4"/>
        <v>1.8466767905690656E-2</v>
      </c>
      <c r="R14" s="83">
        <f t="shared" si="1"/>
        <v>9</v>
      </c>
      <c r="S14" s="62">
        <f>'Bootstrapping USD OIS'!S14</f>
        <v>0.8858199516068207</v>
      </c>
      <c r="T14" s="63">
        <f>SUMPRODUCT($O$6:O14,$P$6:P14,$Q$6:Q14,$S$6:S14)</f>
        <v>137819.23238951483</v>
      </c>
    </row>
    <row r="15" spans="2:50">
      <c r="B15" s="72">
        <v>15</v>
      </c>
      <c r="C15" s="74" t="s">
        <v>45</v>
      </c>
      <c r="D15" s="75">
        <v>1.7335300000000001E-2</v>
      </c>
      <c r="F15" s="69">
        <f t="shared" si="2"/>
        <v>10</v>
      </c>
      <c r="G15" s="81">
        <v>1000000</v>
      </c>
      <c r="H15" s="82">
        <v>1</v>
      </c>
      <c r="I15" s="61">
        <f>IF($B$4="LINEAR",LinearInterpolation($B$8:$B$17,$D$8:$D$17,J15),SplineInterpolation($B$8:$B$17,$D$8:$D$17,J15))</f>
        <v>1.6563000000000001E-2</v>
      </c>
      <c r="J15" s="83">
        <f t="shared" si="0"/>
        <v>10</v>
      </c>
      <c r="K15" s="62">
        <f>'Bootstrapping USD OIS'!K15</f>
        <v>0.87129405478159427</v>
      </c>
      <c r="L15" s="63">
        <f>SUMPRODUCT($G$6:G15,$H$6:H15,$K$6:K15)*I15</f>
        <v>154235.93634888355</v>
      </c>
      <c r="N15" s="69">
        <f t="shared" si="3"/>
        <v>10</v>
      </c>
      <c r="O15" s="88">
        <v>1000000</v>
      </c>
      <c r="P15" s="59">
        <v>1</v>
      </c>
      <c r="Q15" s="97">
        <f t="shared" si="4"/>
        <v>1.8841749084910108E-2</v>
      </c>
      <c r="R15" s="83">
        <f t="shared" si="1"/>
        <v>10</v>
      </c>
      <c r="S15" s="62">
        <f>'Bootstrapping USD OIS'!S15</f>
        <v>0.87129405478159427</v>
      </c>
      <c r="T15" s="63">
        <f>SUMPRODUCT($O$6:O15,$P$6:P15,$Q$6:Q15,$S$6:S15)</f>
        <v>154235.93634888355</v>
      </c>
    </row>
    <row r="16" spans="2:50">
      <c r="B16" s="72">
        <v>20</v>
      </c>
      <c r="C16" s="74" t="s">
        <v>46</v>
      </c>
      <c r="D16" s="75">
        <v>1.7742299999999999E-2</v>
      </c>
      <c r="F16" s="69">
        <f t="shared" si="2"/>
        <v>11</v>
      </c>
      <c r="G16" s="81">
        <v>1000000</v>
      </c>
      <c r="H16" s="82">
        <v>1</v>
      </c>
      <c r="I16" s="61">
        <f>IF($B$4="LINEAR",LinearInterpolation($B$8:$B$17,$D$8:$D$17,J16),SplineInterpolation($B$8:$B$17,$D$8:$D$17,J16))</f>
        <v>1.6767667087826166E-2</v>
      </c>
      <c r="J16" s="83">
        <f t="shared" si="0"/>
        <v>11</v>
      </c>
      <c r="K16" s="62">
        <f>'Bootstrapping USD OIS'!K16</f>
        <v>0.85676603329453049</v>
      </c>
      <c r="L16" s="63">
        <f>SUMPRODUCT($G$6:G16,$H$6:H16,$K$6:K16)*I16</f>
        <v>170507.7797102849</v>
      </c>
      <c r="N16" s="69">
        <f t="shared" si="3"/>
        <v>11</v>
      </c>
      <c r="O16" s="88">
        <v>1000000</v>
      </c>
      <c r="P16" s="59">
        <v>1</v>
      </c>
      <c r="Q16" s="97">
        <f t="shared" si="4"/>
        <v>1.8992166739887056E-2</v>
      </c>
      <c r="R16" s="83">
        <f t="shared" si="1"/>
        <v>11</v>
      </c>
      <c r="S16" s="62">
        <f>'Bootstrapping USD OIS'!S16</f>
        <v>0.85676603329453049</v>
      </c>
      <c r="T16" s="63">
        <f>SUMPRODUCT($O$6:O16,$P$6:P16,$Q$6:Q16,$S$6:S16)</f>
        <v>170507.7797102849</v>
      </c>
    </row>
    <row r="17" spans="2:20">
      <c r="B17" s="72">
        <v>30</v>
      </c>
      <c r="C17" s="76" t="s">
        <v>47</v>
      </c>
      <c r="D17" s="77">
        <v>1.8010100000000001E-2</v>
      </c>
      <c r="F17" s="69">
        <f t="shared" si="2"/>
        <v>12</v>
      </c>
      <c r="G17" s="81">
        <v>1000000</v>
      </c>
      <c r="H17" s="82">
        <v>1</v>
      </c>
      <c r="I17" s="61">
        <f>IF($B$4="LINEAR",LinearInterpolation($B$8:$B$17,$D$8:$D$17,J17),SplineInterpolation($B$8:$B$17,$D$8:$D$17,J17))</f>
        <v>1.6942537390099256E-2</v>
      </c>
      <c r="J17" s="83">
        <f t="shared" si="0"/>
        <v>12</v>
      </c>
      <c r="K17" s="62">
        <f>'Bootstrapping USD OIS'!K17</f>
        <v>0.84235672207273415</v>
      </c>
      <c r="L17" s="63">
        <f>SUMPRODUCT($G$6:G17,$H$6:H17,$K$6:K17)*I17</f>
        <v>186557.66867757056</v>
      </c>
      <c r="N17" s="69">
        <f t="shared" si="3"/>
        <v>12</v>
      </c>
      <c r="O17" s="88">
        <v>1000000</v>
      </c>
      <c r="P17" s="59">
        <v>1</v>
      </c>
      <c r="Q17" s="97">
        <f t="shared" si="4"/>
        <v>1.9053553615376521E-2</v>
      </c>
      <c r="R17" s="83">
        <f t="shared" si="1"/>
        <v>12</v>
      </c>
      <c r="S17" s="62">
        <f>'Bootstrapping USD OIS'!S17</f>
        <v>0.84235672207273415</v>
      </c>
      <c r="T17" s="63">
        <f>SUMPRODUCT($O$6:O17,$P$6:P17,$Q$6:Q17,$S$6:S17)</f>
        <v>186557.66867757056</v>
      </c>
    </row>
    <row r="18" spans="2:20">
      <c r="F18" s="69">
        <f t="shared" si="2"/>
        <v>13</v>
      </c>
      <c r="G18" s="81">
        <v>1000000</v>
      </c>
      <c r="H18" s="82">
        <v>1</v>
      </c>
      <c r="I18" s="61">
        <f>IF($B$4="LINEAR",LinearInterpolation($B$8:$B$17,$D$8:$D$17,J18),SplineInterpolation($B$8:$B$17,$D$8:$D$17,J18))</f>
        <v>1.7092304148459268E-2</v>
      </c>
      <c r="J18" s="83">
        <f t="shared" si="0"/>
        <v>13</v>
      </c>
      <c r="K18" s="62">
        <f>'Bootstrapping USD OIS'!K18</f>
        <v>0.82813227953170776</v>
      </c>
      <c r="L18" s="63">
        <f>SUMPRODUCT($G$6:G18,$H$6:H18,$K$6:K18)*I18</f>
        <v>202361.46921269142</v>
      </c>
      <c r="N18" s="69">
        <f t="shared" si="3"/>
        <v>13</v>
      </c>
      <c r="O18" s="88">
        <v>1000000</v>
      </c>
      <c r="P18" s="59">
        <v>1</v>
      </c>
      <c r="Q18" s="97">
        <f t="shared" si="4"/>
        <v>1.9083666855804232E-2</v>
      </c>
      <c r="R18" s="83">
        <f t="shared" si="1"/>
        <v>13</v>
      </c>
      <c r="S18" s="62">
        <f>'Bootstrapping USD OIS'!S18</f>
        <v>0.82813227953170776</v>
      </c>
      <c r="T18" s="63">
        <f>SUMPRODUCT($O$6:O18,$P$6:P18,$Q$6:Q18,$S$6:S18)</f>
        <v>202361.46921269142</v>
      </c>
    </row>
    <row r="19" spans="2:20">
      <c r="F19" s="69">
        <f t="shared" si="2"/>
        <v>14</v>
      </c>
      <c r="G19" s="81">
        <v>1000000</v>
      </c>
      <c r="H19" s="82">
        <v>1</v>
      </c>
      <c r="I19" s="61">
        <f>IF($B$4="LINEAR",LinearInterpolation($B$8:$B$17,$D$8:$D$17,J19),SplineInterpolation($B$8:$B$17,$D$8:$D$17,J19))</f>
        <v>1.7221660604546187E-2</v>
      </c>
      <c r="J19" s="83">
        <f t="shared" si="0"/>
        <v>14</v>
      </c>
      <c r="K19" s="62">
        <f>'Bootstrapping USD OIS'!K19</f>
        <v>0.81414823617061649</v>
      </c>
      <c r="L19" s="63">
        <f>SUMPRODUCT($G$6:G19,$H$6:H19,$K$6:K19)*I19</f>
        <v>217913.94789131582</v>
      </c>
      <c r="N19" s="69">
        <f t="shared" si="3"/>
        <v>14</v>
      </c>
      <c r="O19" s="88">
        <v>1000000</v>
      </c>
      <c r="P19" s="59">
        <v>1</v>
      </c>
      <c r="Q19" s="97">
        <f t="shared" si="4"/>
        <v>1.9102760391370745E-2</v>
      </c>
      <c r="R19" s="83">
        <f t="shared" si="1"/>
        <v>14</v>
      </c>
      <c r="S19" s="62">
        <f>'Bootstrapping USD OIS'!S19</f>
        <v>0.81414823617061649</v>
      </c>
      <c r="T19" s="63">
        <f>SUMPRODUCT($O$6:O19,$P$6:P19,$Q$6:Q19,$S$6:S19)</f>
        <v>217913.94789131582</v>
      </c>
    </row>
    <row r="20" spans="2:20">
      <c r="F20" s="69">
        <f t="shared" si="2"/>
        <v>15</v>
      </c>
      <c r="G20" s="81">
        <v>1000000</v>
      </c>
      <c r="H20" s="82">
        <v>1</v>
      </c>
      <c r="I20" s="61">
        <f>IF($B$4="LINEAR",LinearInterpolation($B$8:$B$17,$D$8:$D$17,J20),SplineInterpolation($B$8:$B$17,$D$8:$D$17,J20))</f>
        <v>1.7335300000000001E-2</v>
      </c>
      <c r="J20" s="83">
        <f t="shared" si="0"/>
        <v>15</v>
      </c>
      <c r="K20" s="62">
        <f>'Bootstrapping USD OIS'!K20</f>
        <v>0.80044995698883037</v>
      </c>
      <c r="L20" s="63">
        <f>SUMPRODUCT($G$6:G20,$H$6:H20,$K$6:K20)*I20</f>
        <v>233227.92191338609</v>
      </c>
      <c r="N20" s="69">
        <f t="shared" si="3"/>
        <v>15</v>
      </c>
      <c r="O20" s="88">
        <v>1000000</v>
      </c>
      <c r="P20" s="59">
        <v>1</v>
      </c>
      <c r="Q20" s="97">
        <f t="shared" si="4"/>
        <v>1.9131706971013004E-2</v>
      </c>
      <c r="R20" s="83">
        <f t="shared" si="1"/>
        <v>15</v>
      </c>
      <c r="S20" s="62">
        <f>'Bootstrapping USD OIS'!S20</f>
        <v>0.80044995698883037</v>
      </c>
      <c r="T20" s="63">
        <f>SUMPRODUCT($O$6:O20,$P$6:P20,$Q$6:Q20,$S$6:S20)</f>
        <v>233227.92191338609</v>
      </c>
    </row>
    <row r="21" spans="2:20">
      <c r="F21" s="69">
        <f t="shared" si="2"/>
        <v>16</v>
      </c>
      <c r="G21" s="81">
        <v>1000000</v>
      </c>
      <c r="H21" s="82">
        <v>1</v>
      </c>
      <c r="I21" s="61">
        <f>IF($B$4="LINEAR",LinearInterpolation($B$8:$B$17,$D$8:$D$17,J21),SplineInterpolation($B$8:$B$17,$D$8:$D$17,J21))</f>
        <v>1.7437197940259323E-2</v>
      </c>
      <c r="J21" s="83">
        <f t="shared" si="0"/>
        <v>16</v>
      </c>
      <c r="K21" s="62">
        <f>'Bootstrapping USD OIS'!K21</f>
        <v>0.78706983509572859</v>
      </c>
      <c r="L21" s="63">
        <f>SUMPRODUCT($G$6:G21,$H$6:H21,$K$6:K21)*I21</f>
        <v>248323.14223013705</v>
      </c>
      <c r="N21" s="69">
        <f t="shared" si="3"/>
        <v>16</v>
      </c>
      <c r="O21" s="88">
        <v>1000000</v>
      </c>
      <c r="P21" s="59">
        <v>1</v>
      </c>
      <c r="Q21" s="97">
        <f t="shared" si="4"/>
        <v>1.9179010100056723E-2</v>
      </c>
      <c r="R21" s="83">
        <f t="shared" si="1"/>
        <v>16</v>
      </c>
      <c r="S21" s="62">
        <f>'Bootstrapping USD OIS'!S21</f>
        <v>0.78706983509572859</v>
      </c>
      <c r="T21" s="63">
        <f>SUMPRODUCT($O$6:O21,$P$6:P21,$Q$6:Q21,$S$6:S21)</f>
        <v>248323.14223013705</v>
      </c>
    </row>
    <row r="22" spans="2:20">
      <c r="F22" s="69">
        <f t="shared" si="2"/>
        <v>17</v>
      </c>
      <c r="G22" s="81">
        <v>1000000</v>
      </c>
      <c r="H22" s="82">
        <v>1</v>
      </c>
      <c r="I22" s="61">
        <f>IF($B$4="LINEAR",LinearInterpolation($B$8:$B$17,$D$8:$D$17,J22),SplineInterpolation($B$8:$B$17,$D$8:$D$17,J22))</f>
        <v>1.752845948595726E-2</v>
      </c>
      <c r="J22" s="83">
        <f t="shared" si="0"/>
        <v>17</v>
      </c>
      <c r="K22" s="62">
        <f>'Bootstrapping USD OIS'!K22</f>
        <v>0.77401654971836098</v>
      </c>
      <c r="L22" s="63">
        <f>SUMPRODUCT($G$6:G22,$H$6:H22,$K$6:K22)*I22</f>
        <v>263190.11566892179</v>
      </c>
      <c r="N22" s="69">
        <f t="shared" si="3"/>
        <v>17</v>
      </c>
      <c r="O22" s="88">
        <v>1000000</v>
      </c>
      <c r="P22" s="59">
        <v>1</v>
      </c>
      <c r="Q22" s="97">
        <f t="shared" si="4"/>
        <v>1.9207565321690268E-2</v>
      </c>
      <c r="R22" s="83">
        <f t="shared" si="1"/>
        <v>17</v>
      </c>
      <c r="S22" s="62">
        <f>'Bootstrapping USD OIS'!S22</f>
        <v>0.77401654971836098</v>
      </c>
      <c r="T22" s="63">
        <f>SUMPRODUCT($O$6:O22,$P$6:P22,$Q$6:Q22,$S$6:S22)</f>
        <v>263190.11566892179</v>
      </c>
    </row>
    <row r="23" spans="2:20">
      <c r="F23" s="69">
        <f t="shared" si="2"/>
        <v>18</v>
      </c>
      <c r="G23" s="81">
        <v>1000000</v>
      </c>
      <c r="H23" s="82">
        <v>1</v>
      </c>
      <c r="I23" s="61">
        <f>IF($B$4="LINEAR",LinearInterpolation($B$8:$B$17,$D$8:$D$17,J23),SplineInterpolation($B$8:$B$17,$D$8:$D$17,J23))</f>
        <v>1.7609472061525532E-2</v>
      </c>
      <c r="J23" s="83">
        <f t="shared" si="0"/>
        <v>18</v>
      </c>
      <c r="K23" s="62">
        <f>'Bootstrapping USD OIS'!K23</f>
        <v>0.76128318980517651</v>
      </c>
      <c r="L23" s="63">
        <f>SUMPRODUCT($G$6:G23,$H$6:H23,$K$6:K23)*I23</f>
        <v>277812.31592315983</v>
      </c>
      <c r="N23" s="69">
        <f t="shared" si="3"/>
        <v>18</v>
      </c>
      <c r="O23" s="88">
        <v>1000000</v>
      </c>
      <c r="P23" s="59">
        <v>1</v>
      </c>
      <c r="Q23" s="97">
        <f t="shared" si="4"/>
        <v>1.9207307412081528E-2</v>
      </c>
      <c r="R23" s="83">
        <f t="shared" si="1"/>
        <v>18</v>
      </c>
      <c r="S23" s="62">
        <f>'Bootstrapping USD OIS'!S23</f>
        <v>0.76128318980517651</v>
      </c>
      <c r="T23" s="63">
        <f>SUMPRODUCT($O$6:O23,$P$6:P23,$Q$6:Q23,$S$6:S23)</f>
        <v>277812.31592315983</v>
      </c>
    </row>
    <row r="24" spans="2:20">
      <c r="F24" s="69">
        <f t="shared" si="2"/>
        <v>19</v>
      </c>
      <c r="G24" s="81">
        <v>1000000</v>
      </c>
      <c r="H24" s="82">
        <v>1</v>
      </c>
      <c r="I24" s="61">
        <f>IF($B$4="LINEAR",LinearInterpolation($B$8:$B$17,$D$8:$D$17,J24),SplineInterpolation($B$8:$B$17,$D$8:$D$17,J24))</f>
        <v>1.768062309139587E-2</v>
      </c>
      <c r="J24" s="83">
        <f t="shared" si="0"/>
        <v>19</v>
      </c>
      <c r="K24" s="62">
        <f>'Bootstrapping USD OIS'!K24</f>
        <v>0.74885091207236831</v>
      </c>
      <c r="L24" s="63">
        <f>SUMPRODUCT($G$6:G24,$H$6:H24,$K$6:K24)*I24</f>
        <v>292174.96665113291</v>
      </c>
      <c r="N24" s="69">
        <f t="shared" si="3"/>
        <v>19</v>
      </c>
      <c r="O24" s="88">
        <v>1000000</v>
      </c>
      <c r="P24" s="59">
        <v>1</v>
      </c>
      <c r="Q24" s="97">
        <f t="shared" si="4"/>
        <v>1.9179586345466175E-2</v>
      </c>
      <c r="R24" s="83">
        <f t="shared" si="1"/>
        <v>19</v>
      </c>
      <c r="S24" s="62">
        <f>'Bootstrapping USD OIS'!S24</f>
        <v>0.74885091207236831</v>
      </c>
      <c r="T24" s="63">
        <f>SUMPRODUCT($O$6:O24,$P$6:P24,$Q$6:Q24,$S$6:S24)</f>
        <v>292174.96665113291</v>
      </c>
    </row>
    <row r="25" spans="2:20">
      <c r="F25" s="69">
        <f t="shared" si="2"/>
        <v>20</v>
      </c>
      <c r="G25" s="81">
        <v>1000000</v>
      </c>
      <c r="H25" s="82">
        <v>1</v>
      </c>
      <c r="I25" s="61">
        <f>IF($B$4="LINEAR",LinearInterpolation($B$8:$B$17,$D$8:$D$17,J25),SplineInterpolation($B$8:$B$17,$D$8:$D$17,J25))</f>
        <v>1.7742299999999999E-2</v>
      </c>
      <c r="J25" s="83">
        <f t="shared" si="0"/>
        <v>20</v>
      </c>
      <c r="K25" s="62">
        <f>'Bootstrapping USD OIS'!K25</f>
        <v>0.73668960927843929</v>
      </c>
      <c r="L25" s="63">
        <f>SUMPRODUCT($G$6:G25,$H$6:H25,$K$6:K25)*I25</f>
        <v>306264.75493474788</v>
      </c>
      <c r="N25" s="69">
        <f t="shared" si="3"/>
        <v>20</v>
      </c>
      <c r="O25" s="88">
        <v>1000000</v>
      </c>
      <c r="P25" s="59">
        <v>1</v>
      </c>
      <c r="Q25" s="97">
        <f t="shared" si="4"/>
        <v>1.9125813783929167E-2</v>
      </c>
      <c r="R25" s="83">
        <f t="shared" si="1"/>
        <v>20</v>
      </c>
      <c r="S25" s="62">
        <f>'Bootstrapping USD OIS'!S25</f>
        <v>0.73668960927843929</v>
      </c>
      <c r="T25" s="63">
        <f>SUMPRODUCT($O$6:O25,$P$6:P25,$Q$6:Q25,$S$6:S25)</f>
        <v>306264.75493474788</v>
      </c>
    </row>
    <row r="26" spans="2:20">
      <c r="F26" s="69">
        <f t="shared" si="2"/>
        <v>21</v>
      </c>
      <c r="G26" s="81">
        <v>1000000</v>
      </c>
      <c r="H26" s="82">
        <v>1</v>
      </c>
      <c r="I26" s="61">
        <f>IF($B$4="LINEAR",LinearInterpolation($B$8:$B$17,$D$8:$D$17,J26),SplineInterpolation($B$8:$B$17,$D$8:$D$17,J26))</f>
        <v>1.779497708597827E-2</v>
      </c>
      <c r="J26" s="83">
        <f t="shared" si="0"/>
        <v>21</v>
      </c>
      <c r="K26" s="62">
        <f>'Bootstrapping USD OIS'!K26</f>
        <v>0.72476674860907797</v>
      </c>
      <c r="L26" s="63">
        <f>SUMPRODUCT($G$6:G26,$H$6:H26,$K$6:K26)*I26</f>
        <v>320071.26608171273</v>
      </c>
      <c r="N26" s="69">
        <f t="shared" si="3"/>
        <v>21</v>
      </c>
      <c r="O26" s="88">
        <v>1000000</v>
      </c>
      <c r="P26" s="59">
        <v>1</v>
      </c>
      <c r="Q26" s="97">
        <f t="shared" si="4"/>
        <v>1.9049592401226122E-2</v>
      </c>
      <c r="R26" s="83">
        <f t="shared" si="1"/>
        <v>21</v>
      </c>
      <c r="S26" s="62">
        <f>'Bootstrapping USD OIS'!S26</f>
        <v>0.72476674860907797</v>
      </c>
      <c r="T26" s="63">
        <f>SUMPRODUCT($O$6:O26,$P$6:P26,$Q$6:Q26,$S$6:S26)</f>
        <v>320071.26608171273</v>
      </c>
    </row>
    <row r="27" spans="2:20">
      <c r="F27" s="69">
        <f t="shared" si="2"/>
        <v>22</v>
      </c>
      <c r="G27" s="81">
        <v>1000000</v>
      </c>
      <c r="H27" s="82">
        <v>1</v>
      </c>
      <c r="I27" s="61">
        <f>IF($B$4="LINEAR",LinearInterpolation($B$8:$B$17,$D$8:$D$17,J27),SplineInterpolation($B$8:$B$17,$D$8:$D$17,J27))</f>
        <v>1.7839476144805508E-2</v>
      </c>
      <c r="J27" s="83">
        <f t="shared" si="0"/>
        <v>22</v>
      </c>
      <c r="K27" s="62">
        <f>'Bootstrapping USD OIS'!K27</f>
        <v>0.71307505689340323</v>
      </c>
      <c r="L27" s="63">
        <f>SUMPRODUCT($G$6:G27,$H$6:H27,$K$6:K27)*I27</f>
        <v>333592.53864827374</v>
      </c>
      <c r="N27" s="69">
        <f t="shared" si="3"/>
        <v>22</v>
      </c>
      <c r="O27" s="88">
        <v>1000000</v>
      </c>
      <c r="P27" s="59">
        <v>1</v>
      </c>
      <c r="Q27" s="97">
        <f t="shared" si="4"/>
        <v>1.8961920538166133E-2</v>
      </c>
      <c r="R27" s="83">
        <f t="shared" si="1"/>
        <v>22</v>
      </c>
      <c r="S27" s="62">
        <f>'Bootstrapping USD OIS'!S27</f>
        <v>0.71307505689340323</v>
      </c>
      <c r="T27" s="63">
        <f>SUMPRODUCT($O$6:O27,$P$6:P27,$Q$6:Q27,$S$6:S27)</f>
        <v>333592.53864827374</v>
      </c>
    </row>
    <row r="28" spans="2:20">
      <c r="F28" s="69">
        <f t="shared" si="2"/>
        <v>23</v>
      </c>
      <c r="G28" s="81">
        <v>1000000</v>
      </c>
      <c r="H28" s="82">
        <v>1</v>
      </c>
      <c r="I28" s="61">
        <f>IF($B$4="LINEAR",LinearInterpolation($B$8:$B$17,$D$8:$D$17,J28),SplineInterpolation($B$8:$B$17,$D$8:$D$17,J28))</f>
        <v>1.7876705846165162E-2</v>
      </c>
      <c r="J28" s="83">
        <f t="shared" si="0"/>
        <v>23</v>
      </c>
      <c r="K28" s="62">
        <f>'Bootstrapping USD OIS'!K28</f>
        <v>0.70161236844629349</v>
      </c>
      <c r="L28" s="63">
        <f>SUMPRODUCT($G$6:G28,$H$6:H28,$K$6:K28)*I28</f>
        <v>346831.24016945635</v>
      </c>
      <c r="N28" s="69">
        <f t="shared" si="3"/>
        <v>23</v>
      </c>
      <c r="O28" s="88">
        <v>1000000</v>
      </c>
      <c r="P28" s="59">
        <v>1</v>
      </c>
      <c r="Q28" s="97">
        <f t="shared" si="4"/>
        <v>1.8868968274461075E-2</v>
      </c>
      <c r="R28" s="83">
        <f t="shared" si="1"/>
        <v>23</v>
      </c>
      <c r="S28" s="62">
        <f>'Bootstrapping USD OIS'!S28</f>
        <v>0.70161236844629349</v>
      </c>
      <c r="T28" s="63">
        <f>SUMPRODUCT($O$6:O28,$P$6:P28,$Q$6:Q28,$S$6:S28)</f>
        <v>346831.24016945635</v>
      </c>
    </row>
    <row r="29" spans="2:20">
      <c r="F29" s="69">
        <f t="shared" si="2"/>
        <v>24</v>
      </c>
      <c r="G29" s="81">
        <v>1000000</v>
      </c>
      <c r="H29" s="82">
        <v>1</v>
      </c>
      <c r="I29" s="61">
        <f>IF($B$4="LINEAR",LinearInterpolation($B$8:$B$17,$D$8:$D$17,J29),SplineInterpolation($B$8:$B$17,$D$8:$D$17,J29))</f>
        <v>1.7907574859740677E-2</v>
      </c>
      <c r="J29" s="83">
        <f t="shared" si="0"/>
        <v>24</v>
      </c>
      <c r="K29" s="62">
        <f>'Bootstrapping USD OIS'!K29</f>
        <v>0.69037411037637619</v>
      </c>
      <c r="L29" s="63">
        <f>SUMPRODUCT($G$6:G29,$H$6:H29,$K$6:K29)*I29</f>
        <v>359793.06506480352</v>
      </c>
      <c r="N29" s="69">
        <f t="shared" si="3"/>
        <v>24</v>
      </c>
      <c r="O29" s="88">
        <v>1000000</v>
      </c>
      <c r="P29" s="59">
        <v>1</v>
      </c>
      <c r="Q29" s="97">
        <f t="shared" si="4"/>
        <v>1.8775073833925619E-2</v>
      </c>
      <c r="R29" s="83">
        <f t="shared" si="1"/>
        <v>24</v>
      </c>
      <c r="S29" s="62">
        <f>'Bootstrapping USD OIS'!S29</f>
        <v>0.69037411037637619</v>
      </c>
      <c r="T29" s="63">
        <f>SUMPRODUCT($O$6:O29,$P$6:P29,$Q$6:Q29,$S$6:S29)</f>
        <v>359793.06506480352</v>
      </c>
    </row>
    <row r="30" spans="2:20">
      <c r="F30" s="69">
        <f t="shared" si="2"/>
        <v>25</v>
      </c>
      <c r="G30" s="81">
        <v>1000000</v>
      </c>
      <c r="H30" s="82">
        <v>1</v>
      </c>
      <c r="I30" s="61">
        <f>IF($B$4="LINEAR",LinearInterpolation($B$8:$B$17,$D$8:$D$17,J30),SplineInterpolation($B$8:$B$17,$D$8:$D$17,J30))</f>
        <v>1.7932991855215505E-2</v>
      </c>
      <c r="J30" s="83">
        <f t="shared" si="0"/>
        <v>25</v>
      </c>
      <c r="K30" s="62">
        <f>'Bootstrapping USD OIS'!K30</f>
        <v>0.67935343274514559</v>
      </c>
      <c r="L30" s="63">
        <f>SUMPRODUCT($G$6:G30,$H$6:H30,$K$6:K30)*I30</f>
        <v>372486.57449880481</v>
      </c>
      <c r="N30" s="69">
        <f t="shared" si="3"/>
        <v>25</v>
      </c>
      <c r="O30" s="88">
        <v>1000000</v>
      </c>
      <c r="P30" s="59">
        <v>1</v>
      </c>
      <c r="Q30" s="97">
        <f t="shared" si="4"/>
        <v>1.8684691682073481E-2</v>
      </c>
      <c r="R30" s="83">
        <f t="shared" si="1"/>
        <v>25</v>
      </c>
      <c r="S30" s="62">
        <f>'Bootstrapping USD OIS'!S30</f>
        <v>0.67935343274514559</v>
      </c>
      <c r="T30" s="63">
        <f>SUMPRODUCT($O$6:O30,$P$6:P30,$Q$6:Q30,$S$6:S30)</f>
        <v>372486.57449880481</v>
      </c>
    </row>
    <row r="31" spans="2:20">
      <c r="F31" s="69">
        <f t="shared" si="2"/>
        <v>26</v>
      </c>
      <c r="G31" s="81">
        <v>1000000</v>
      </c>
      <c r="H31" s="82">
        <v>1</v>
      </c>
      <c r="I31" s="61">
        <f>IF($B$4="LINEAR",LinearInterpolation($B$8:$B$17,$D$8:$D$17,J31),SplineInterpolation($B$8:$B$17,$D$8:$D$17,J31))</f>
        <v>1.7953865502273091E-2</v>
      </c>
      <c r="J31" s="83">
        <f t="shared" si="0"/>
        <v>26</v>
      </c>
      <c r="K31" s="62">
        <f>'Bootstrapping USD OIS'!K31</f>
        <v>0.6685413335502125</v>
      </c>
      <c r="L31" s="63">
        <f>SUMPRODUCT($G$6:G31,$H$6:H31,$K$6:K31)*I31</f>
        <v>384923.04267348541</v>
      </c>
      <c r="N31" s="69">
        <f t="shared" si="3"/>
        <v>26</v>
      </c>
      <c r="O31" s="88">
        <v>1000000</v>
      </c>
      <c r="P31" s="59">
        <v>1</v>
      </c>
      <c r="Q31" s="97">
        <f t="shared" si="4"/>
        <v>1.8602392328740777E-2</v>
      </c>
      <c r="R31" s="83">
        <f t="shared" si="1"/>
        <v>26</v>
      </c>
      <c r="S31" s="62">
        <f>'Bootstrapping USD OIS'!S31</f>
        <v>0.6685413335502125</v>
      </c>
      <c r="T31" s="63">
        <f>SUMPRODUCT($O$6:O31,$P$6:P31,$Q$6:Q31,$S$6:S31)</f>
        <v>384923.04267348541</v>
      </c>
    </row>
    <row r="32" spans="2:20">
      <c r="F32" s="69">
        <f t="shared" si="2"/>
        <v>27</v>
      </c>
      <c r="G32" s="81">
        <v>1000000</v>
      </c>
      <c r="H32" s="82">
        <v>1</v>
      </c>
      <c r="I32" s="61">
        <f>IF($B$4="LINEAR",LinearInterpolation($B$8:$B$17,$D$8:$D$17,J32),SplineInterpolation($B$8:$B$17,$D$8:$D$17,J32))</f>
        <v>1.7971104470596886E-2</v>
      </c>
      <c r="J32" s="83">
        <f t="shared" si="0"/>
        <v>27</v>
      </c>
      <c r="K32" s="62">
        <f>'Bootstrapping USD OIS'!K32</f>
        <v>0.65792677857211113</v>
      </c>
      <c r="L32" s="63">
        <f>SUMPRODUCT($G$6:G32,$H$6:H32,$K$6:K32)*I32</f>
        <v>397116.30950430158</v>
      </c>
      <c r="N32" s="69">
        <f t="shared" si="3"/>
        <v>27</v>
      </c>
      <c r="O32" s="88">
        <v>1000000</v>
      </c>
      <c r="P32" s="59">
        <v>1</v>
      </c>
      <c r="Q32" s="97">
        <f t="shared" si="4"/>
        <v>1.8532862968853515E-2</v>
      </c>
      <c r="R32" s="83">
        <f t="shared" si="1"/>
        <v>27</v>
      </c>
      <c r="S32" s="62">
        <f>'Bootstrapping USD OIS'!S32</f>
        <v>0.65792677857211113</v>
      </c>
      <c r="T32" s="63">
        <f>SUMPRODUCT($O$6:O32,$P$6:P32,$Q$6:Q32,$S$6:S32)</f>
        <v>397116.30950430158</v>
      </c>
    </row>
    <row r="33" spans="6:20">
      <c r="F33" s="69">
        <f t="shared" si="2"/>
        <v>28</v>
      </c>
      <c r="G33" s="81">
        <v>1000000</v>
      </c>
      <c r="H33" s="82">
        <v>1</v>
      </c>
      <c r="I33" s="61">
        <f>IF($B$4="LINEAR",LinearInterpolation($B$8:$B$17,$D$8:$D$17,J33),SplineInterpolation($B$8:$B$17,$D$8:$D$17,J33))</f>
        <v>1.798561742987034E-2</v>
      </c>
      <c r="J33" s="83">
        <f t="shared" si="0"/>
        <v>28</v>
      </c>
      <c r="K33" s="62">
        <f>'Bootstrapping USD OIS'!K33</f>
        <v>0.6474968162223933</v>
      </c>
      <c r="L33" s="63">
        <f>SUMPRODUCT($G$6:G33,$H$6:H33,$K$6:K33)*I33</f>
        <v>409082.63950695511</v>
      </c>
      <c r="N33" s="69">
        <f t="shared" si="3"/>
        <v>28</v>
      </c>
      <c r="O33" s="88">
        <v>1000000</v>
      </c>
      <c r="P33" s="59">
        <v>1</v>
      </c>
      <c r="Q33" s="97">
        <f t="shared" si="4"/>
        <v>1.8480909408122092E-2</v>
      </c>
      <c r="R33" s="83">
        <f t="shared" si="1"/>
        <v>28</v>
      </c>
      <c r="S33" s="62">
        <f>'Bootstrapping USD OIS'!S33</f>
        <v>0.6474968162223933</v>
      </c>
      <c r="T33" s="63">
        <f>SUMPRODUCT($O$6:O33,$P$6:P33,$Q$6:Q33,$S$6:S33)</f>
        <v>409082.63950695511</v>
      </c>
    </row>
    <row r="34" spans="6:20">
      <c r="F34" s="69">
        <f t="shared" si="2"/>
        <v>29</v>
      </c>
      <c r="G34" s="81">
        <v>1000000</v>
      </c>
      <c r="H34" s="82">
        <v>1</v>
      </c>
      <c r="I34" s="61">
        <f>IF($B$4="LINEAR",LinearInterpolation($B$8:$B$17,$D$8:$D$17,J34),SplineInterpolation($B$8:$B$17,$D$8:$D$17,J34))</f>
        <v>1.7998313049776893E-2</v>
      </c>
      <c r="J34" s="83">
        <f t="shared" si="0"/>
        <v>29</v>
      </c>
      <c r="K34" s="62">
        <f>'Bootstrapping USD OIS'!K34</f>
        <v>0.63723668761981112</v>
      </c>
      <c r="L34" s="63">
        <f>SUMPRODUCT($G$6:G34,$H$6:H34,$K$6:K34)*I34</f>
        <v>420840.58661071386</v>
      </c>
      <c r="N34" s="69">
        <f t="shared" si="3"/>
        <v>29</v>
      </c>
      <c r="O34" s="88">
        <v>1000000</v>
      </c>
      <c r="P34" s="59">
        <v>1</v>
      </c>
      <c r="Q34" s="97">
        <f t="shared" si="4"/>
        <v>1.8451459767134106E-2</v>
      </c>
      <c r="R34" s="83">
        <f t="shared" si="1"/>
        <v>29</v>
      </c>
      <c r="S34" s="62">
        <f>'Bootstrapping USD OIS'!S34</f>
        <v>0.63723668761981112</v>
      </c>
      <c r="T34" s="63">
        <f>SUMPRODUCT($O$6:O34,$P$6:P34,$Q$6:Q34,$S$6:S34)</f>
        <v>420840.58661071386</v>
      </c>
    </row>
    <row r="35" spans="6:20">
      <c r="F35" s="69">
        <f t="shared" si="2"/>
        <v>30</v>
      </c>
      <c r="G35" s="84">
        <v>1000000</v>
      </c>
      <c r="H35" s="85">
        <v>1</v>
      </c>
      <c r="I35" s="41">
        <f>IF($B$4="LINEAR",LinearInterpolation($B$8:$B$17,$D$8:$D$17,J35),SplineInterpolation($B$8:$B$17,$D$8:$D$17,J35))</f>
        <v>1.8010100000000001E-2</v>
      </c>
      <c r="J35" s="86">
        <f t="shared" si="0"/>
        <v>30</v>
      </c>
      <c r="K35" s="42">
        <f>'Bootstrapping USD OIS'!K35</f>
        <v>0.62712993220175961</v>
      </c>
      <c r="L35" s="43">
        <f>SUMPRODUCT($G$6:G35,$H$6:H35,$K$6:K35)*I35</f>
        <v>432410.86451256881</v>
      </c>
      <c r="N35" s="69">
        <f t="shared" si="3"/>
        <v>30</v>
      </c>
      <c r="O35" s="89">
        <v>1000000</v>
      </c>
      <c r="P35" s="39">
        <v>1</v>
      </c>
      <c r="Q35" s="98">
        <f>(L35-T34)/(O35*P35*S35)</f>
        <v>1.8449570508034002E-2</v>
      </c>
      <c r="R35" s="86">
        <f t="shared" si="1"/>
        <v>30</v>
      </c>
      <c r="S35" s="42">
        <f>'Bootstrapping USD OIS'!S35</f>
        <v>0.62712993220175961</v>
      </c>
      <c r="T35" s="43">
        <f>SUMPRODUCT($O$6:O35,$P$6:P35,$Q$6:Q35,$S$6:S35)</f>
        <v>432410.86451256881</v>
      </c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B1:AZ36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79</v>
      </c>
      <c r="AZ1" s="103" t="s">
        <v>75</v>
      </c>
    </row>
    <row r="3" spans="2:52" ht="15.75">
      <c r="B3" s="24" t="s">
        <v>57</v>
      </c>
      <c r="F3" s="24" t="s">
        <v>90</v>
      </c>
      <c r="G3" s="24"/>
      <c r="P3" s="24" t="s">
        <v>91</v>
      </c>
      <c r="Q3" s="24"/>
      <c r="S3" s="110" t="s">
        <v>88</v>
      </c>
      <c r="X3" s="105" t="s">
        <v>70</v>
      </c>
    </row>
    <row r="4" spans="2:52" ht="18.75">
      <c r="B4" s="91" t="s">
        <v>58</v>
      </c>
      <c r="F4" s="69" t="s">
        <v>16</v>
      </c>
      <c r="G4" s="20" t="s">
        <v>32</v>
      </c>
      <c r="H4" s="20" t="s">
        <v>49</v>
      </c>
      <c r="I4" s="20" t="s">
        <v>60</v>
      </c>
      <c r="J4" s="20" t="s">
        <v>59</v>
      </c>
      <c r="K4" s="20" t="s">
        <v>62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103" t="s">
        <v>67</v>
      </c>
      <c r="T4" s="20" t="s">
        <v>34</v>
      </c>
      <c r="U4" s="20" t="s">
        <v>35</v>
      </c>
      <c r="V4" s="20" t="s">
        <v>42</v>
      </c>
      <c r="X4" s="104" t="s">
        <v>71</v>
      </c>
    </row>
    <row r="5" spans="2:52">
      <c r="F5" s="69">
        <v>0</v>
      </c>
      <c r="G5" s="78"/>
      <c r="H5" s="79"/>
      <c r="I5" s="52"/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99">
        <v>0</v>
      </c>
      <c r="T5" s="80">
        <v>0</v>
      </c>
      <c r="U5" s="53">
        <f>'Bootstrapping USD OIS'!S5</f>
        <v>1</v>
      </c>
      <c r="V5" s="54"/>
    </row>
    <row r="6" spans="2:52">
      <c r="B6" s="24" t="s">
        <v>96</v>
      </c>
      <c r="F6" s="69">
        <v>1</v>
      </c>
      <c r="G6" s="81">
        <v>1000000</v>
      </c>
      <c r="H6" s="82">
        <v>1</v>
      </c>
      <c r="I6" s="61">
        <f>'Bootstrapping USD SWAP 3ML'!Q6</f>
        <v>1.7821699999999999E-2</v>
      </c>
      <c r="J6" s="92">
        <f>IF($B$4="LINEAR",LinearInterpolation($B$8:$B$17,$D$8:$D$17,L6),SplineInterpolation($B$8:$B$17,$D$8:$D$17,L6))</f>
        <v>6.5246000000000004</v>
      </c>
      <c r="K6" s="61">
        <f t="shared" ref="K6:K35" si="0">I6+J6/10000</f>
        <v>1.847416E-2</v>
      </c>
      <c r="L6" s="83">
        <v>1</v>
      </c>
      <c r="M6" s="62">
        <f>'Bootstrapping USD OIS'!K6</f>
        <v>0.98561776698241588</v>
      </c>
      <c r="N6" s="63">
        <f>SUMPRODUCT($G$6:G6,$H$6:H6,$M$6:M6,K6)</f>
        <v>18208.46032607587</v>
      </c>
      <c r="P6" s="69">
        <v>1</v>
      </c>
      <c r="Q6" s="88">
        <v>1000000</v>
      </c>
      <c r="R6" s="59">
        <v>1</v>
      </c>
      <c r="S6" s="97">
        <f>N6/(Q6*R6*U6)</f>
        <v>1.847416E-2</v>
      </c>
      <c r="T6" s="83">
        <v>1</v>
      </c>
      <c r="U6" s="62">
        <f>'Bootstrapping USD OIS'!S6</f>
        <v>0.98561776698241588</v>
      </c>
      <c r="V6" s="63">
        <f>Q6*R6*S6*U6</f>
        <v>18208.460326075867</v>
      </c>
    </row>
    <row r="7" spans="2:52">
      <c r="B7" s="69" t="s">
        <v>48</v>
      </c>
      <c r="C7" s="20" t="s">
        <v>5</v>
      </c>
      <c r="D7" s="67" t="s">
        <v>64</v>
      </c>
      <c r="F7" s="69">
        <f>F6+1</f>
        <v>2</v>
      </c>
      <c r="G7" s="81">
        <v>1000000</v>
      </c>
      <c r="H7" s="82">
        <v>1</v>
      </c>
      <c r="I7" s="61">
        <f>'Bootstrapping USD SWAP 3ML'!Q7</f>
        <v>1.4764245331243235E-2</v>
      </c>
      <c r="J7" s="92">
        <f>IF($B$4="LINEAR",LinearInterpolation($B$8:$B$17,$D$8:$D$17,L7),SplineInterpolation($B$8:$B$17,$D$8:$D$17,L7))</f>
        <v>5.75</v>
      </c>
      <c r="K7" s="61">
        <f t="shared" si="0"/>
        <v>1.5339245331243236E-2</v>
      </c>
      <c r="L7" s="83">
        <f t="shared" ref="L7:L35" si="1">L6+1</f>
        <v>2</v>
      </c>
      <c r="M7" s="62">
        <f>'Bootstrapping USD OIS'!K7</f>
        <v>0.97455557786257074</v>
      </c>
      <c r="N7" s="63">
        <f>SUMPRODUCT($G$6:G7,$H$6:H7,$M$6:M7,$K$6:K7)</f>
        <v>33157.40742384136</v>
      </c>
      <c r="P7" s="69">
        <f>P6+1</f>
        <v>2</v>
      </c>
      <c r="Q7" s="88">
        <v>1000000</v>
      </c>
      <c r="R7" s="59">
        <v>1</v>
      </c>
      <c r="S7" s="97">
        <f>(N7-V6)/(Q7*R7*U7)</f>
        <v>1.5339245331243236E-2</v>
      </c>
      <c r="T7" s="83">
        <f t="shared" ref="T7:T35" si="2">T6+1</f>
        <v>2</v>
      </c>
      <c r="U7" s="62">
        <f>'Bootstrapping USD OIS'!S7</f>
        <v>0.97455557786257074</v>
      </c>
      <c r="V7" s="63">
        <f>SUMPRODUCT($Q$6:Q7,$R$6:R7,$S$6:S7,$U$6:U7)</f>
        <v>33157.40742384136</v>
      </c>
    </row>
    <row r="8" spans="2:52">
      <c r="B8" s="72">
        <v>0.5</v>
      </c>
      <c r="C8" s="73" t="s">
        <v>63</v>
      </c>
      <c r="D8" s="93">
        <v>6.6416000000000004</v>
      </c>
      <c r="F8" s="69">
        <f t="shared" ref="F8:F35" si="3">F7+1</f>
        <v>3</v>
      </c>
      <c r="G8" s="81">
        <v>1000000</v>
      </c>
      <c r="H8" s="82">
        <v>1</v>
      </c>
      <c r="I8" s="61">
        <f>'Bootstrapping USD SWAP 3ML'!Q8</f>
        <v>1.4382960011591651E-2</v>
      </c>
      <c r="J8" s="92">
        <f>IF($B$4="LINEAR",LinearInterpolation($B$8:$B$17,$D$8:$D$17,L8),SplineInterpolation($B$8:$B$17,$D$8:$D$17,L8))</f>
        <v>5.875</v>
      </c>
      <c r="K8" s="61">
        <f t="shared" si="0"/>
        <v>1.4970460011591651E-2</v>
      </c>
      <c r="L8" s="83">
        <f t="shared" si="1"/>
        <v>3</v>
      </c>
      <c r="M8" s="62">
        <f>'Bootstrapping USD OIS'!K8</f>
        <v>0.96306806041014703</v>
      </c>
      <c r="N8" s="63">
        <f>SUMPRODUCT($G$6:G8,$H$6:H8,$M$6:M8,$K$6:K8)</f>
        <v>47574.979310652598</v>
      </c>
      <c r="P8" s="69">
        <f t="shared" ref="P8:P35" si="4">P7+1</f>
        <v>3</v>
      </c>
      <c r="Q8" s="88">
        <v>1000000</v>
      </c>
      <c r="R8" s="59">
        <v>1</v>
      </c>
      <c r="S8" s="97">
        <f t="shared" ref="S8:S35" si="5">(N8-V7)/(Q8*R8*U8)</f>
        <v>1.4970460011591649E-2</v>
      </c>
      <c r="T8" s="83">
        <f t="shared" si="2"/>
        <v>3</v>
      </c>
      <c r="U8" s="62">
        <f>'Bootstrapping USD OIS'!S8</f>
        <v>0.96306806041014703</v>
      </c>
      <c r="V8" s="63">
        <f>SUMPRODUCT($Q$6:Q8,$R$6:R8,$S$6:S8,$U$6:U8)</f>
        <v>47574.979310652598</v>
      </c>
    </row>
    <row r="9" spans="2:52">
      <c r="B9" s="72">
        <v>1</v>
      </c>
      <c r="C9" s="74" t="s">
        <v>37</v>
      </c>
      <c r="D9" s="94">
        <v>6.5246000000000004</v>
      </c>
      <c r="F9" s="69">
        <f t="shared" si="3"/>
        <v>4</v>
      </c>
      <c r="G9" s="81">
        <v>1000000</v>
      </c>
      <c r="H9" s="82">
        <v>1</v>
      </c>
      <c r="I9" s="61">
        <f>'Bootstrapping USD SWAP 3ML'!Q9</f>
        <v>1.4422484137419504E-2</v>
      </c>
      <c r="J9" s="92">
        <f>IF($B$4="LINEAR",LinearInterpolation($B$8:$B$17,$D$8:$D$17,L9),SplineInterpolation($B$8:$B$17,$D$8:$D$17,L9))</f>
        <v>6.4965999999999999</v>
      </c>
      <c r="K9" s="61">
        <f t="shared" si="0"/>
        <v>1.5072144137419504E-2</v>
      </c>
      <c r="L9" s="83">
        <f t="shared" si="1"/>
        <v>4</v>
      </c>
      <c r="M9" s="62">
        <f>'Bootstrapping USD OIS'!K9</f>
        <v>0.9514045775482779</v>
      </c>
      <c r="N9" s="63">
        <f>SUMPRODUCT($G$6:G9,$H$6:H9,$M$6:M9,$K$6:K9)</f>
        <v>61914.686236460955</v>
      </c>
      <c r="P9" s="69">
        <f t="shared" si="4"/>
        <v>4</v>
      </c>
      <c r="Q9" s="88">
        <v>1000000</v>
      </c>
      <c r="R9" s="59">
        <v>1</v>
      </c>
      <c r="S9" s="97">
        <f t="shared" si="5"/>
        <v>1.5072144137419505E-2</v>
      </c>
      <c r="T9" s="83">
        <f t="shared" si="2"/>
        <v>4</v>
      </c>
      <c r="U9" s="62">
        <f>'Bootstrapping USD OIS'!S9</f>
        <v>0.9514045775482779</v>
      </c>
      <c r="V9" s="63">
        <f>SUMPRODUCT($Q$6:Q9,$R$6:R9,$S$6:S9,$U$6:U9)</f>
        <v>61914.686236460955</v>
      </c>
    </row>
    <row r="10" spans="2:52">
      <c r="B10" s="72">
        <v>2</v>
      </c>
      <c r="C10" s="74" t="s">
        <v>38</v>
      </c>
      <c r="D10" s="94">
        <v>5.75</v>
      </c>
      <c r="F10" s="69">
        <f t="shared" si="3"/>
        <v>5</v>
      </c>
      <c r="G10" s="81">
        <v>1000000</v>
      </c>
      <c r="H10" s="82">
        <v>1</v>
      </c>
      <c r="I10" s="61">
        <f>'Bootstrapping USD SWAP 3ML'!Q10</f>
        <v>1.5655387887041867E-2</v>
      </c>
      <c r="J10" s="92">
        <f>IF($B$4="LINEAR",LinearInterpolation($B$8:$B$17,$D$8:$D$17,L10),SplineInterpolation($B$8:$B$17,$D$8:$D$17,L10))</f>
        <v>6.2950999999999997</v>
      </c>
      <c r="K10" s="61">
        <f t="shared" si="0"/>
        <v>1.6284897887041867E-2</v>
      </c>
      <c r="L10" s="83">
        <f t="shared" si="1"/>
        <v>5</v>
      </c>
      <c r="M10" s="62">
        <f>'Bootstrapping USD OIS'!K10</f>
        <v>0.939456404150946</v>
      </c>
      <c r="N10" s="63">
        <f>SUMPRODUCT($G$6:G10,$H$6:H10,$M$6:M10,$K$6:K10)</f>
        <v>77213.63784738665</v>
      </c>
      <c r="P10" s="69">
        <f t="shared" si="4"/>
        <v>5</v>
      </c>
      <c r="Q10" s="88">
        <v>1000000</v>
      </c>
      <c r="R10" s="59">
        <v>1</v>
      </c>
      <c r="S10" s="97">
        <f t="shared" si="5"/>
        <v>1.6284897887041874E-2</v>
      </c>
      <c r="T10" s="83">
        <f t="shared" si="2"/>
        <v>5</v>
      </c>
      <c r="U10" s="62">
        <f>'Bootstrapping USD OIS'!S10</f>
        <v>0.939456404150946</v>
      </c>
      <c r="V10" s="63">
        <f>SUMPRODUCT($Q$6:Q10,$R$6:R10,$S$6:S10,$U$6:U10)</f>
        <v>77213.63784738665</v>
      </c>
    </row>
    <row r="11" spans="2:52">
      <c r="B11" s="72">
        <v>3</v>
      </c>
      <c r="C11" s="74" t="s">
        <v>43</v>
      </c>
      <c r="D11" s="94">
        <v>5.875</v>
      </c>
      <c r="F11" s="69">
        <f t="shared" si="3"/>
        <v>6</v>
      </c>
      <c r="G11" s="81">
        <v>1000000</v>
      </c>
      <c r="H11" s="82">
        <v>1</v>
      </c>
      <c r="I11" s="61">
        <f>'Bootstrapping USD SWAP 3ML'!Q11</f>
        <v>1.65600550299243E-2</v>
      </c>
      <c r="J11" s="92">
        <f>IF($B$4="LINEAR",LinearInterpolation($B$8:$B$17,$D$8:$D$17,L11),SplineInterpolation($B$8:$B$17,$D$8:$D$17,L11))</f>
        <v>6.2225879825699142</v>
      </c>
      <c r="K11" s="61">
        <f t="shared" si="0"/>
        <v>1.7182313828181292E-2</v>
      </c>
      <c r="L11" s="83">
        <f t="shared" si="1"/>
        <v>6</v>
      </c>
      <c r="M11" s="62">
        <f>'Bootstrapping USD OIS'!K11</f>
        <v>0.9269603591459189</v>
      </c>
      <c r="N11" s="63">
        <f>SUMPRODUCT($G$6:G11,$H$6:H11,$M$6:M11,$K$6:K11)</f>
        <v>93140.961644515468</v>
      </c>
      <c r="P11" s="69">
        <f t="shared" si="4"/>
        <v>6</v>
      </c>
      <c r="Q11" s="88">
        <v>1000000</v>
      </c>
      <c r="R11" s="59">
        <v>1</v>
      </c>
      <c r="S11" s="97">
        <f t="shared" si="5"/>
        <v>1.7182313828181292E-2</v>
      </c>
      <c r="T11" s="83">
        <f t="shared" si="2"/>
        <v>6</v>
      </c>
      <c r="U11" s="62">
        <f>'Bootstrapping USD OIS'!S11</f>
        <v>0.9269603591459189</v>
      </c>
      <c r="V11" s="63">
        <f>SUMPRODUCT($Q$6:Q11,$R$6:R11,$S$6:S11,$U$6:U11)</f>
        <v>93140.961644515468</v>
      </c>
    </row>
    <row r="12" spans="2:52">
      <c r="B12" s="72">
        <v>4</v>
      </c>
      <c r="C12" s="74" t="s">
        <v>44</v>
      </c>
      <c r="D12" s="94">
        <v>6.4965999999999999</v>
      </c>
      <c r="F12" s="69">
        <f t="shared" si="3"/>
        <v>7</v>
      </c>
      <c r="G12" s="81">
        <v>1000000</v>
      </c>
      <c r="H12" s="82">
        <v>1</v>
      </c>
      <c r="I12" s="61">
        <f>'Bootstrapping USD SWAP 3ML'!Q12</f>
        <v>1.7244322629049669E-2</v>
      </c>
      <c r="J12" s="92">
        <f>IF($B$4="LINEAR",LinearInterpolation($B$8:$B$17,$D$8:$D$17,L12),SplineInterpolation($B$8:$B$17,$D$8:$D$17,L12))</f>
        <v>6.5048465821093036</v>
      </c>
      <c r="K12" s="61">
        <f t="shared" si="0"/>
        <v>1.7894807287260599E-2</v>
      </c>
      <c r="L12" s="83">
        <f t="shared" si="1"/>
        <v>7</v>
      </c>
      <c r="M12" s="62">
        <f>'Bootstrapping USD OIS'!K12</f>
        <v>0.91382753075280565</v>
      </c>
      <c r="N12" s="63">
        <f>SUMPRODUCT($G$6:G12,$H$6:H12,$M$6:M12,$K$6:K12)</f>
        <v>109493.72920113013</v>
      </c>
      <c r="P12" s="69">
        <f t="shared" si="4"/>
        <v>7</v>
      </c>
      <c r="Q12" s="88">
        <v>1000000</v>
      </c>
      <c r="R12" s="59">
        <v>1</v>
      </c>
      <c r="S12" s="97">
        <f t="shared" si="5"/>
        <v>1.7894807287260599E-2</v>
      </c>
      <c r="T12" s="83">
        <f t="shared" si="2"/>
        <v>7</v>
      </c>
      <c r="U12" s="62">
        <f>'Bootstrapping USD OIS'!S12</f>
        <v>0.91382753075280565</v>
      </c>
      <c r="V12" s="63">
        <f>SUMPRODUCT($Q$6:Q12,$R$6:R12,$S$6:S12,$U$6:U12)</f>
        <v>109493.72920113013</v>
      </c>
    </row>
    <row r="13" spans="2:52">
      <c r="B13" s="72">
        <v>5</v>
      </c>
      <c r="C13" s="74" t="s">
        <v>39</v>
      </c>
      <c r="D13" s="94">
        <v>6.2950999999999997</v>
      </c>
      <c r="F13" s="69">
        <f t="shared" si="3"/>
        <v>8</v>
      </c>
      <c r="G13" s="81">
        <v>1000000</v>
      </c>
      <c r="H13" s="82">
        <v>1</v>
      </c>
      <c r="I13" s="61">
        <f>'Bootstrapping USD SWAP 3ML'!Q13</f>
        <v>1.7906598956265524E-2</v>
      </c>
      <c r="J13" s="92">
        <f>IF($B$4="LINEAR",LinearInterpolation($B$8:$B$17,$D$8:$D$17,L13),SplineInterpolation($B$8:$B$17,$D$8:$D$17,L13))</f>
        <v>7.0063611903637355</v>
      </c>
      <c r="K13" s="61">
        <f t="shared" si="0"/>
        <v>1.8607235075301896E-2</v>
      </c>
      <c r="L13" s="83">
        <f t="shared" si="1"/>
        <v>8</v>
      </c>
      <c r="M13" s="62">
        <f>'Bootstrapping USD OIS'!K13</f>
        <v>0.90007301850839927</v>
      </c>
      <c r="N13" s="63">
        <f>SUMPRODUCT($G$6:G13,$H$6:H13,$M$6:M13,$K$6:K13)</f>
        <v>126241.59944145248</v>
      </c>
      <c r="P13" s="69">
        <f t="shared" si="4"/>
        <v>8</v>
      </c>
      <c r="Q13" s="88">
        <v>1000000</v>
      </c>
      <c r="R13" s="59">
        <v>1</v>
      </c>
      <c r="S13" s="97">
        <f t="shared" si="5"/>
        <v>1.86072350753019E-2</v>
      </c>
      <c r="T13" s="83">
        <f t="shared" si="2"/>
        <v>8</v>
      </c>
      <c r="U13" s="62">
        <f>'Bootstrapping USD OIS'!S13</f>
        <v>0.90007301850839927</v>
      </c>
      <c r="V13" s="63">
        <f>SUMPRODUCT($Q$6:Q13,$R$6:R13,$S$6:S13,$U$6:U13)</f>
        <v>126241.59944145248</v>
      </c>
    </row>
    <row r="14" spans="2:52">
      <c r="B14" s="72">
        <v>10</v>
      </c>
      <c r="C14" s="74" t="s">
        <v>40</v>
      </c>
      <c r="D14" s="94">
        <v>8.1250999999999998</v>
      </c>
      <c r="F14" s="69">
        <f t="shared" si="3"/>
        <v>9</v>
      </c>
      <c r="G14" s="81">
        <v>1000000</v>
      </c>
      <c r="H14" s="82">
        <v>1</v>
      </c>
      <c r="I14" s="61">
        <f>'Bootstrapping USD SWAP 3ML'!Q14</f>
        <v>1.8466767905690656E-2</v>
      </c>
      <c r="J14" s="92">
        <f>IF($B$4="LINEAR",LinearInterpolation($B$8:$B$17,$D$8:$D$17,L14),SplineInterpolation($B$8:$B$17,$D$8:$D$17,L14))</f>
        <v>7.5916171990787795</v>
      </c>
      <c r="K14" s="61">
        <f t="shared" si="0"/>
        <v>1.9225929625598534E-2</v>
      </c>
      <c r="L14" s="83">
        <f t="shared" si="1"/>
        <v>9</v>
      </c>
      <c r="M14" s="62">
        <f>'Bootstrapping USD OIS'!K14</f>
        <v>0.8858199516068207</v>
      </c>
      <c r="N14" s="63">
        <f>SUMPRODUCT($G$6:G14,$H$6:H14,$M$6:M14,$K$6:K14)</f>
        <v>143272.31149199631</v>
      </c>
      <c r="P14" s="69">
        <f t="shared" si="4"/>
        <v>9</v>
      </c>
      <c r="Q14" s="88">
        <v>1000000</v>
      </c>
      <c r="R14" s="59">
        <v>1</v>
      </c>
      <c r="S14" s="97">
        <f t="shared" si="5"/>
        <v>1.9225929625598537E-2</v>
      </c>
      <c r="T14" s="83">
        <f t="shared" si="2"/>
        <v>9</v>
      </c>
      <c r="U14" s="62">
        <f>'Bootstrapping USD OIS'!S14</f>
        <v>0.8858199516068207</v>
      </c>
      <c r="V14" s="63">
        <f>SUMPRODUCT($Q$6:Q14,$R$6:R14,$S$6:S14,$U$6:U14)</f>
        <v>143272.31149199631</v>
      </c>
    </row>
    <row r="15" spans="2:52">
      <c r="B15" s="72">
        <v>15</v>
      </c>
      <c r="C15" s="74" t="s">
        <v>45</v>
      </c>
      <c r="D15" s="94">
        <v>8.8025000000000002</v>
      </c>
      <c r="F15" s="69">
        <f t="shared" si="3"/>
        <v>10</v>
      </c>
      <c r="G15" s="81">
        <v>1000000</v>
      </c>
      <c r="H15" s="82">
        <v>1</v>
      </c>
      <c r="I15" s="61">
        <f>'Bootstrapping USD SWAP 3ML'!Q15</f>
        <v>1.8841749084910108E-2</v>
      </c>
      <c r="J15" s="92">
        <f>IF($B$4="LINEAR",LinearInterpolation($B$8:$B$17,$D$8:$D$17,L15),SplineInterpolation($B$8:$B$17,$D$8:$D$17,L15))</f>
        <v>8.1250999999999998</v>
      </c>
      <c r="K15" s="61">
        <f t="shared" si="0"/>
        <v>1.9654259084910107E-2</v>
      </c>
      <c r="L15" s="83">
        <f t="shared" si="1"/>
        <v>10</v>
      </c>
      <c r="M15" s="62">
        <f>'Bootstrapping USD OIS'!K15</f>
        <v>0.87129405478159427</v>
      </c>
      <c r="N15" s="63">
        <f>SUMPRODUCT($G$6:G15,$H$6:H15,$M$6:M15,$K$6:K15)</f>
        <v>160396.95058381563</v>
      </c>
      <c r="P15" s="69">
        <f t="shared" si="4"/>
        <v>10</v>
      </c>
      <c r="Q15" s="88">
        <v>1000000</v>
      </c>
      <c r="R15" s="59">
        <v>1</v>
      </c>
      <c r="S15" s="97">
        <f t="shared" si="5"/>
        <v>1.9654259084910114E-2</v>
      </c>
      <c r="T15" s="83">
        <f t="shared" si="2"/>
        <v>10</v>
      </c>
      <c r="U15" s="62">
        <f>'Bootstrapping USD OIS'!S15</f>
        <v>0.87129405478159427</v>
      </c>
      <c r="V15" s="63">
        <f>SUMPRODUCT($Q$6:Q15,$R$6:R15,$S$6:S15,$U$6:U15)</f>
        <v>160396.95058381563</v>
      </c>
    </row>
    <row r="16" spans="2:52">
      <c r="B16" s="72">
        <v>20</v>
      </c>
      <c r="C16" s="74" t="s">
        <v>46</v>
      </c>
      <c r="D16" s="94">
        <v>8.5448000000000004</v>
      </c>
      <c r="F16" s="69">
        <f t="shared" si="3"/>
        <v>11</v>
      </c>
      <c r="G16" s="81">
        <v>1000000</v>
      </c>
      <c r="H16" s="82">
        <v>1</v>
      </c>
      <c r="I16" s="61">
        <f>'Bootstrapping USD SWAP 3ML'!Q16</f>
        <v>1.8992166739887056E-2</v>
      </c>
      <c r="J16" s="92">
        <f>IF($B$4="LINEAR",LinearInterpolation($B$8:$B$17,$D$8:$D$17,L16),SplineInterpolation($B$8:$B$17,$D$8:$D$17,L16))</f>
        <v>8.4995317480826191</v>
      </c>
      <c r="K16" s="61">
        <f t="shared" si="0"/>
        <v>1.9842119914695318E-2</v>
      </c>
      <c r="L16" s="83">
        <f t="shared" si="1"/>
        <v>11</v>
      </c>
      <c r="M16" s="62">
        <f>'Bootstrapping USD OIS'!K16</f>
        <v>0.85676603329453049</v>
      </c>
      <c r="N16" s="63">
        <f>SUMPRODUCT($G$6:G16,$H$6:H16,$M$6:M16,$K$6:K16)</f>
        <v>177397.00495528354</v>
      </c>
      <c r="P16" s="69">
        <f t="shared" si="4"/>
        <v>11</v>
      </c>
      <c r="Q16" s="88">
        <v>1000000</v>
      </c>
      <c r="R16" s="59">
        <v>1</v>
      </c>
      <c r="S16" s="97">
        <f t="shared" si="5"/>
        <v>1.9842119914695311E-2</v>
      </c>
      <c r="T16" s="83">
        <f t="shared" si="2"/>
        <v>11</v>
      </c>
      <c r="U16" s="62">
        <f>'Bootstrapping USD OIS'!S16</f>
        <v>0.85676603329453049</v>
      </c>
      <c r="V16" s="63">
        <f>SUMPRODUCT($Q$6:Q16,$R$6:R16,$S$6:S16,$U$6:U16)</f>
        <v>177397.00495528354</v>
      </c>
    </row>
    <row r="17" spans="2:22">
      <c r="B17" s="72">
        <v>30</v>
      </c>
      <c r="C17" s="76" t="s">
        <v>47</v>
      </c>
      <c r="D17" s="95">
        <v>9.5762</v>
      </c>
      <c r="F17" s="69">
        <f t="shared" si="3"/>
        <v>12</v>
      </c>
      <c r="G17" s="81">
        <v>1000000</v>
      </c>
      <c r="H17" s="82">
        <v>1</v>
      </c>
      <c r="I17" s="61">
        <f>'Bootstrapping USD SWAP 3ML'!Q17</f>
        <v>1.9053553615376521E-2</v>
      </c>
      <c r="J17" s="92">
        <f>IF($B$4="LINEAR",LinearInterpolation($B$8:$B$17,$D$8:$D$17,L17),SplineInterpolation($B$8:$B$17,$D$8:$D$17,L17))</f>
        <v>8.7205816511204528</v>
      </c>
      <c r="K17" s="61">
        <f t="shared" si="0"/>
        <v>1.9925611780488565E-2</v>
      </c>
      <c r="L17" s="83">
        <f t="shared" si="1"/>
        <v>12</v>
      </c>
      <c r="M17" s="62">
        <f>'Bootstrapping USD OIS'!K17</f>
        <v>0.84235672207273415</v>
      </c>
      <c r="N17" s="63">
        <f>SUMPRODUCT($G$6:G17,$H$6:H17,$M$6:M17,$K$6:K17)</f>
        <v>194181.47797998975</v>
      </c>
      <c r="P17" s="69">
        <f t="shared" si="4"/>
        <v>12</v>
      </c>
      <c r="Q17" s="88">
        <v>1000000</v>
      </c>
      <c r="R17" s="59">
        <v>1</v>
      </c>
      <c r="S17" s="97">
        <f t="shared" si="5"/>
        <v>1.9925611780488572E-2</v>
      </c>
      <c r="T17" s="83">
        <f t="shared" si="2"/>
        <v>12</v>
      </c>
      <c r="U17" s="62">
        <f>'Bootstrapping USD OIS'!S17</f>
        <v>0.84235672207273415</v>
      </c>
      <c r="V17" s="63">
        <f>SUMPRODUCT($Q$6:Q17,$R$6:R17,$S$6:S17,$U$6:U17)</f>
        <v>194181.47797998975</v>
      </c>
    </row>
    <row r="18" spans="2:22">
      <c r="F18" s="69">
        <f t="shared" si="3"/>
        <v>13</v>
      </c>
      <c r="G18" s="81">
        <v>1000000</v>
      </c>
      <c r="H18" s="82">
        <v>1</v>
      </c>
      <c r="I18" s="61">
        <f>'Bootstrapping USD SWAP 3ML'!Q18</f>
        <v>1.9083666855804232E-2</v>
      </c>
      <c r="J18" s="92">
        <f>IF($B$4="LINEAR",LinearInterpolation($B$8:$B$17,$D$8:$D$17,L18),SplineInterpolation($B$8:$B$17,$D$8:$D$17,L18))</f>
        <v>8.82215568011698</v>
      </c>
      <c r="K18" s="61">
        <f t="shared" si="0"/>
        <v>1.9965882423815931E-2</v>
      </c>
      <c r="L18" s="83">
        <f t="shared" si="1"/>
        <v>13</v>
      </c>
      <c r="M18" s="62">
        <f>'Bootstrapping USD OIS'!K18</f>
        <v>0.82813227953170776</v>
      </c>
      <c r="N18" s="63">
        <f>SUMPRODUCT($G$6:G18,$H$6:H18,$M$6:M18,$K$6:K18)</f>
        <v>210715.86970448651</v>
      </c>
      <c r="P18" s="69">
        <f t="shared" si="4"/>
        <v>13</v>
      </c>
      <c r="Q18" s="88">
        <v>1000000</v>
      </c>
      <c r="R18" s="59">
        <v>1</v>
      </c>
      <c r="S18" s="97">
        <f t="shared" si="5"/>
        <v>1.9965882423815948E-2</v>
      </c>
      <c r="T18" s="83">
        <f t="shared" si="2"/>
        <v>13</v>
      </c>
      <c r="U18" s="62">
        <f>'Bootstrapping USD OIS'!S18</f>
        <v>0.82813227953170776</v>
      </c>
      <c r="V18" s="63">
        <f>SUMPRODUCT($Q$6:Q18,$R$6:R18,$S$6:S18,$U$6:U18)</f>
        <v>210715.86970448651</v>
      </c>
    </row>
    <row r="19" spans="2:22">
      <c r="F19" s="69">
        <f t="shared" si="3"/>
        <v>14</v>
      </c>
      <c r="G19" s="81">
        <v>1000000</v>
      </c>
      <c r="H19" s="82">
        <v>1</v>
      </c>
      <c r="I19" s="61">
        <f>'Bootstrapping USD SWAP 3ML'!Q19</f>
        <v>1.9102760391370745E-2</v>
      </c>
      <c r="J19" s="92">
        <f>IF($B$4="LINEAR",LinearInterpolation($B$8:$B$17,$D$8:$D$17,L19),SplineInterpolation($B$8:$B$17,$D$8:$D$17,L19))</f>
        <v>8.838159806075673</v>
      </c>
      <c r="K19" s="61">
        <f t="shared" si="0"/>
        <v>1.9986576371978312E-2</v>
      </c>
      <c r="L19" s="83">
        <f t="shared" si="1"/>
        <v>14</v>
      </c>
      <c r="M19" s="62">
        <f>'Bootstrapping USD OIS'!K19</f>
        <v>0.81414823617061649</v>
      </c>
      <c r="N19" s="63">
        <f>SUMPRODUCT($G$6:G19,$H$6:H19,$M$6:M19,$K$6:K19)</f>
        <v>226987.90560482198</v>
      </c>
      <c r="P19" s="69">
        <f t="shared" si="4"/>
        <v>14</v>
      </c>
      <c r="Q19" s="88">
        <v>1000000</v>
      </c>
      <c r="R19" s="59">
        <v>1</v>
      </c>
      <c r="S19" s="97">
        <f t="shared" si="5"/>
        <v>1.9986576371978319E-2</v>
      </c>
      <c r="T19" s="83">
        <f t="shared" si="2"/>
        <v>14</v>
      </c>
      <c r="U19" s="62">
        <f>'Bootstrapping USD OIS'!S19</f>
        <v>0.81414823617061649</v>
      </c>
      <c r="V19" s="63">
        <f>SUMPRODUCT($Q$6:Q19,$R$6:R19,$S$6:S19,$U$6:U19)</f>
        <v>226987.90560482198</v>
      </c>
    </row>
    <row r="20" spans="2:22">
      <c r="F20" s="69">
        <f t="shared" si="3"/>
        <v>15</v>
      </c>
      <c r="G20" s="81">
        <v>1000000</v>
      </c>
      <c r="H20" s="82">
        <v>1</v>
      </c>
      <c r="I20" s="61">
        <f>'Bootstrapping USD SWAP 3ML'!Q20</f>
        <v>1.9131706971013004E-2</v>
      </c>
      <c r="J20" s="92">
        <f>IF($B$4="LINEAR",LinearInterpolation($B$8:$B$17,$D$8:$D$17,L20),SplineInterpolation($B$8:$B$17,$D$8:$D$17,L20))</f>
        <v>8.8025000000000002</v>
      </c>
      <c r="K20" s="61">
        <f t="shared" si="0"/>
        <v>2.0011956971013004E-2</v>
      </c>
      <c r="L20" s="83">
        <f t="shared" si="1"/>
        <v>15</v>
      </c>
      <c r="M20" s="62">
        <f>'Bootstrapping USD OIS'!K20</f>
        <v>0.80044995698883037</v>
      </c>
      <c r="N20" s="63">
        <f>SUMPRODUCT($G$6:G20,$H$6:H20,$M$6:M20,$K$6:K20)</f>
        <v>243006.47570153166</v>
      </c>
      <c r="P20" s="69">
        <f t="shared" si="4"/>
        <v>15</v>
      </c>
      <c r="Q20" s="88">
        <v>1000000</v>
      </c>
      <c r="R20" s="59">
        <v>1</v>
      </c>
      <c r="S20" s="97">
        <f t="shared" si="5"/>
        <v>2.0011956971012997E-2</v>
      </c>
      <c r="T20" s="83">
        <f t="shared" si="2"/>
        <v>15</v>
      </c>
      <c r="U20" s="62">
        <f>'Bootstrapping USD OIS'!S20</f>
        <v>0.80044995698883037</v>
      </c>
      <c r="V20" s="63">
        <f>SUMPRODUCT($Q$6:Q20,$R$6:R20,$S$6:S20,$U$6:U20)</f>
        <v>243006.47570153166</v>
      </c>
    </row>
    <row r="21" spans="2:22">
      <c r="F21" s="69">
        <f t="shared" si="3"/>
        <v>16</v>
      </c>
      <c r="G21" s="81">
        <v>1000000</v>
      </c>
      <c r="H21" s="82">
        <v>1</v>
      </c>
      <c r="I21" s="61">
        <f>'Bootstrapping USD SWAP 3ML'!Q21</f>
        <v>1.9179010100056723E-2</v>
      </c>
      <c r="J21" s="92">
        <f>IF($B$4="LINEAR",LinearInterpolation($B$8:$B$17,$D$8:$D$17,L21),SplineInterpolation($B$8:$B$17,$D$8:$D$17,L21))</f>
        <v>8.7451530250996168</v>
      </c>
      <c r="K21" s="61">
        <f t="shared" si="0"/>
        <v>2.0053525402566684E-2</v>
      </c>
      <c r="L21" s="83">
        <f t="shared" si="1"/>
        <v>16</v>
      </c>
      <c r="M21" s="62">
        <f>'Bootstrapping USD OIS'!K21</f>
        <v>0.78706983509572859</v>
      </c>
      <c r="N21" s="63">
        <f>SUMPRODUCT($G$6:G21,$H$6:H21,$M$6:M21,$K$6:K21)</f>
        <v>258790.00063321783</v>
      </c>
      <c r="P21" s="69">
        <f t="shared" si="4"/>
        <v>16</v>
      </c>
      <c r="Q21" s="88">
        <v>1000000</v>
      </c>
      <c r="R21" s="59">
        <v>1</v>
      </c>
      <c r="S21" s="97">
        <f t="shared" si="5"/>
        <v>2.0053525402566694E-2</v>
      </c>
      <c r="T21" s="83">
        <f t="shared" si="2"/>
        <v>16</v>
      </c>
      <c r="U21" s="62">
        <f>'Bootstrapping USD OIS'!S21</f>
        <v>0.78706983509572859</v>
      </c>
      <c r="V21" s="63">
        <f>SUMPRODUCT($Q$6:Q21,$R$6:R21,$S$6:S21,$U$6:U21)</f>
        <v>258790.00063321783</v>
      </c>
    </row>
    <row r="22" spans="2:22">
      <c r="F22" s="69">
        <f t="shared" si="3"/>
        <v>17</v>
      </c>
      <c r="G22" s="81">
        <v>1000000</v>
      </c>
      <c r="H22" s="82">
        <v>1</v>
      </c>
      <c r="I22" s="61">
        <f>'Bootstrapping USD SWAP 3ML'!Q22</f>
        <v>1.9207565321690268E-2</v>
      </c>
      <c r="J22" s="92">
        <f>IF($B$4="LINEAR",LinearInterpolation($B$8:$B$17,$D$8:$D$17,L22),SplineInterpolation($B$8:$B$17,$D$8:$D$17,L22))</f>
        <v>8.6803788134088826</v>
      </c>
      <c r="K22" s="61">
        <f t="shared" si="0"/>
        <v>2.0075603203031155E-2</v>
      </c>
      <c r="L22" s="83">
        <f t="shared" si="1"/>
        <v>17</v>
      </c>
      <c r="M22" s="62">
        <f>'Bootstrapping USD OIS'!K22</f>
        <v>0.77401654971836098</v>
      </c>
      <c r="N22" s="63">
        <f>SUMPRODUCT($G$6:G22,$H$6:H22,$M$6:M22,$K$6:K22)</f>
        <v>274328.84975794289</v>
      </c>
      <c r="P22" s="69">
        <f t="shared" si="4"/>
        <v>17</v>
      </c>
      <c r="Q22" s="88">
        <v>1000000</v>
      </c>
      <c r="R22" s="59">
        <v>1</v>
      </c>
      <c r="S22" s="97">
        <f t="shared" si="5"/>
        <v>2.0075603203031173E-2</v>
      </c>
      <c r="T22" s="83">
        <f t="shared" si="2"/>
        <v>17</v>
      </c>
      <c r="U22" s="62">
        <f>'Bootstrapping USD OIS'!S22</f>
        <v>0.77401654971836098</v>
      </c>
      <c r="V22" s="63">
        <f>SUMPRODUCT($Q$6:Q22,$R$6:R22,$S$6:S22,$U$6:U22)</f>
        <v>274328.84975794289</v>
      </c>
    </row>
    <row r="23" spans="2:22">
      <c r="F23" s="69">
        <f t="shared" si="3"/>
        <v>18</v>
      </c>
      <c r="G23" s="81">
        <v>1000000</v>
      </c>
      <c r="H23" s="82">
        <v>1</v>
      </c>
      <c r="I23" s="61">
        <f>'Bootstrapping USD SWAP 3ML'!Q23</f>
        <v>1.9207307412081528E-2</v>
      </c>
      <c r="J23" s="92">
        <f>IF($B$4="LINEAR",LinearInterpolation($B$8:$B$17,$D$8:$D$17,L23),SplineInterpolation($B$8:$B$17,$D$8:$D$17,L23))</f>
        <v>8.6185080891683423</v>
      </c>
      <c r="K23" s="61">
        <f t="shared" si="0"/>
        <v>2.0069158220998362E-2</v>
      </c>
      <c r="L23" s="83">
        <f t="shared" si="1"/>
        <v>18</v>
      </c>
      <c r="M23" s="62">
        <f>'Bootstrapping USD OIS'!K23</f>
        <v>0.76128318980517651</v>
      </c>
      <c r="N23" s="63">
        <f>SUMPRODUCT($G$6:G23,$H$6:H23,$M$6:M23,$K$6:K23)</f>
        <v>289607.16254512931</v>
      </c>
      <c r="P23" s="69">
        <f t="shared" si="4"/>
        <v>18</v>
      </c>
      <c r="Q23" s="88">
        <v>1000000</v>
      </c>
      <c r="R23" s="59">
        <v>1</v>
      </c>
      <c r="S23" s="97">
        <f t="shared" si="5"/>
        <v>2.0069158220998362E-2</v>
      </c>
      <c r="T23" s="83">
        <f t="shared" si="2"/>
        <v>18</v>
      </c>
      <c r="U23" s="62">
        <f>'Bootstrapping USD OIS'!S23</f>
        <v>0.76128318980517651</v>
      </c>
      <c r="V23" s="63">
        <f>SUMPRODUCT($Q$6:Q23,$R$6:R23,$S$6:S23,$U$6:U23)</f>
        <v>289607.16254512931</v>
      </c>
    </row>
    <row r="24" spans="2:22">
      <c r="F24" s="69">
        <f t="shared" si="3"/>
        <v>19</v>
      </c>
      <c r="G24" s="81">
        <v>1000000</v>
      </c>
      <c r="H24" s="82">
        <v>1</v>
      </c>
      <c r="I24" s="61">
        <f>'Bootstrapping USD SWAP 3ML'!Q24</f>
        <v>1.9179586345466175E-2</v>
      </c>
      <c r="J24" s="92">
        <f>IF($B$4="LINEAR",LinearInterpolation($B$8:$B$17,$D$8:$D$17,L24),SplineInterpolation($B$8:$B$17,$D$8:$D$17,L24))</f>
        <v>8.5698715766185352</v>
      </c>
      <c r="K24" s="61">
        <f t="shared" si="0"/>
        <v>2.0036573503128027E-2</v>
      </c>
      <c r="L24" s="83">
        <f t="shared" si="1"/>
        <v>19</v>
      </c>
      <c r="M24" s="62">
        <f>'Bootstrapping USD OIS'!K24</f>
        <v>0.74885091207236831</v>
      </c>
      <c r="N24" s="63">
        <f>SUMPRODUCT($G$6:G24,$H$6:H24,$M$6:M24,$K$6:K24)</f>
        <v>304611.56888775178</v>
      </c>
      <c r="P24" s="69">
        <f t="shared" si="4"/>
        <v>19</v>
      </c>
      <c r="Q24" s="88">
        <v>1000000</v>
      </c>
      <c r="R24" s="59">
        <v>1</v>
      </c>
      <c r="S24" s="97">
        <f t="shared" si="5"/>
        <v>2.0036573503128031E-2</v>
      </c>
      <c r="T24" s="83">
        <f t="shared" si="2"/>
        <v>19</v>
      </c>
      <c r="U24" s="62">
        <f>'Bootstrapping USD OIS'!S24</f>
        <v>0.74885091207236831</v>
      </c>
      <c r="V24" s="63">
        <f>SUMPRODUCT($Q$6:Q24,$R$6:R24,$S$6:S24,$U$6:U24)</f>
        <v>304611.56888775178</v>
      </c>
    </row>
    <row r="25" spans="2:22">
      <c r="F25" s="69">
        <f t="shared" si="3"/>
        <v>20</v>
      </c>
      <c r="G25" s="81">
        <v>1000000</v>
      </c>
      <c r="H25" s="82">
        <v>1</v>
      </c>
      <c r="I25" s="61">
        <f>'Bootstrapping USD SWAP 3ML'!Q25</f>
        <v>1.9125813783929167E-2</v>
      </c>
      <c r="J25" s="92">
        <f>IF($B$4="LINEAR",LinearInterpolation($B$8:$B$17,$D$8:$D$17,L25),SplineInterpolation($B$8:$B$17,$D$8:$D$17,L25))</f>
        <v>8.5448000000000004</v>
      </c>
      <c r="K25" s="61">
        <f t="shared" si="0"/>
        <v>1.9980293783929168E-2</v>
      </c>
      <c r="L25" s="83">
        <f t="shared" si="1"/>
        <v>20</v>
      </c>
      <c r="M25" s="62">
        <f>'Bootstrapping USD OIS'!K25</f>
        <v>0.73668960927843929</v>
      </c>
      <c r="N25" s="63">
        <f>SUMPRODUCT($G$6:G25,$H$6:H25,$M$6:M25,$K$6:K25)</f>
        <v>319330.843708703</v>
      </c>
      <c r="P25" s="69">
        <f t="shared" si="4"/>
        <v>20</v>
      </c>
      <c r="Q25" s="88">
        <v>1000000</v>
      </c>
      <c r="R25" s="59">
        <v>1</v>
      </c>
      <c r="S25" s="97">
        <f t="shared" si="5"/>
        <v>1.9980293783929185E-2</v>
      </c>
      <c r="T25" s="83">
        <f t="shared" si="2"/>
        <v>20</v>
      </c>
      <c r="U25" s="62">
        <f>'Bootstrapping USD OIS'!S25</f>
        <v>0.73668960927843929</v>
      </c>
      <c r="V25" s="63">
        <f>SUMPRODUCT($Q$6:Q25,$R$6:R25,$S$6:S25,$U$6:U25)</f>
        <v>319330.843708703</v>
      </c>
    </row>
    <row r="26" spans="2:22">
      <c r="F26" s="69">
        <f t="shared" si="3"/>
        <v>21</v>
      </c>
      <c r="G26" s="81">
        <v>1000000</v>
      </c>
      <c r="H26" s="82">
        <v>1</v>
      </c>
      <c r="I26" s="61">
        <f>'Bootstrapping USD SWAP 3ML'!Q26</f>
        <v>1.9049592401226122E-2</v>
      </c>
      <c r="J26" s="92">
        <f>IF($B$4="LINEAR",LinearInterpolation($B$8:$B$17,$D$8:$D$17,L26),SplineInterpolation($B$8:$B$17,$D$8:$D$17,L26))</f>
        <v>8.5513373685103282</v>
      </c>
      <c r="K26" s="61">
        <f t="shared" si="0"/>
        <v>1.9904726138077155E-2</v>
      </c>
      <c r="L26" s="83">
        <f t="shared" si="1"/>
        <v>21</v>
      </c>
      <c r="M26" s="62">
        <f>'Bootstrapping USD OIS'!K26</f>
        <v>0.72476674860907797</v>
      </c>
      <c r="N26" s="63">
        <f>SUMPRODUCT($G$6:G26,$H$6:H26,$M$6:M26,$K$6:K26)</f>
        <v>333757.12735375133</v>
      </c>
      <c r="P26" s="69">
        <f t="shared" si="4"/>
        <v>21</v>
      </c>
      <c r="Q26" s="88">
        <v>1000000</v>
      </c>
      <c r="R26" s="59">
        <v>1</v>
      </c>
      <c r="S26" s="97">
        <f t="shared" si="5"/>
        <v>1.9904726138077183E-2</v>
      </c>
      <c r="T26" s="83">
        <f t="shared" si="2"/>
        <v>21</v>
      </c>
      <c r="U26" s="62">
        <f>'Bootstrapping USD OIS'!S26</f>
        <v>0.72476674860907797</v>
      </c>
      <c r="V26" s="63">
        <f>SUMPRODUCT($Q$6:Q26,$R$6:R26,$S$6:S26,$U$6:U26)</f>
        <v>333757.12735375133</v>
      </c>
    </row>
    <row r="27" spans="2:22">
      <c r="F27" s="69">
        <f t="shared" si="3"/>
        <v>22</v>
      </c>
      <c r="G27" s="81">
        <v>1000000</v>
      </c>
      <c r="H27" s="82">
        <v>1</v>
      </c>
      <c r="I27" s="61">
        <f>'Bootstrapping USD SWAP 3ML'!Q27</f>
        <v>1.8961920538166133E-2</v>
      </c>
      <c r="J27" s="92">
        <f>IF($B$4="LINEAR",LinearInterpolation($B$8:$B$17,$D$8:$D$17,L27),SplineInterpolation($B$8:$B$17,$D$8:$D$17,L27))</f>
        <v>8.5883808311752894</v>
      </c>
      <c r="K27" s="61">
        <f t="shared" si="0"/>
        <v>1.9820758621283661E-2</v>
      </c>
      <c r="L27" s="83">
        <f t="shared" si="1"/>
        <v>22</v>
      </c>
      <c r="M27" s="62">
        <f>'Bootstrapping USD OIS'!K27</f>
        <v>0.71307505689340323</v>
      </c>
      <c r="N27" s="63">
        <f>SUMPRODUCT($G$6:G27,$H$6:H27,$M$6:M27,$K$6:K27)</f>
        <v>347890.81593529356</v>
      </c>
      <c r="P27" s="69">
        <f t="shared" si="4"/>
        <v>22</v>
      </c>
      <c r="Q27" s="88">
        <v>1000000</v>
      </c>
      <c r="R27" s="59">
        <v>1</v>
      </c>
      <c r="S27" s="97">
        <f t="shared" si="5"/>
        <v>1.9820758621283619E-2</v>
      </c>
      <c r="T27" s="83">
        <f t="shared" si="2"/>
        <v>22</v>
      </c>
      <c r="U27" s="62">
        <f>'Bootstrapping USD OIS'!S27</f>
        <v>0.71307505689340323</v>
      </c>
      <c r="V27" s="63">
        <f>SUMPRODUCT($Q$6:Q27,$R$6:R27,$S$6:S27,$U$6:U27)</f>
        <v>347890.81593529356</v>
      </c>
    </row>
    <row r="28" spans="2:22">
      <c r="F28" s="69">
        <f t="shared" si="3"/>
        <v>23</v>
      </c>
      <c r="G28" s="81">
        <v>1000000</v>
      </c>
      <c r="H28" s="82">
        <v>1</v>
      </c>
      <c r="I28" s="61">
        <f>'Bootstrapping USD SWAP 3ML'!Q28</f>
        <v>1.8868968274461075E-2</v>
      </c>
      <c r="J28" s="92">
        <f>IF($B$4="LINEAR",LinearInterpolation($B$8:$B$17,$D$8:$D$17,L28),SplineInterpolation($B$8:$B$17,$D$8:$D$17,L28))</f>
        <v>8.6525408219777002</v>
      </c>
      <c r="K28" s="61">
        <f t="shared" si="0"/>
        <v>1.9734222356658844E-2</v>
      </c>
      <c r="L28" s="83">
        <f t="shared" si="1"/>
        <v>23</v>
      </c>
      <c r="M28" s="62">
        <f>'Bootstrapping USD OIS'!K28</f>
        <v>0.70161236844629349</v>
      </c>
      <c r="N28" s="63">
        <f>SUMPRODUCT($G$6:G28,$H$6:H28,$M$6:M28,$K$6:K28)</f>
        <v>361736.59042239474</v>
      </c>
      <c r="P28" s="69">
        <f t="shared" si="4"/>
        <v>23</v>
      </c>
      <c r="Q28" s="88">
        <v>1000000</v>
      </c>
      <c r="R28" s="59">
        <v>1</v>
      </c>
      <c r="S28" s="97">
        <f t="shared" si="5"/>
        <v>1.9734222356658806E-2</v>
      </c>
      <c r="T28" s="83">
        <f t="shared" si="2"/>
        <v>23</v>
      </c>
      <c r="U28" s="62">
        <f>'Bootstrapping USD OIS'!S28</f>
        <v>0.70161236844629349</v>
      </c>
      <c r="V28" s="63">
        <f>SUMPRODUCT($Q$6:Q28,$R$6:R28,$S$6:S28,$U$6:U28)</f>
        <v>361736.59042239474</v>
      </c>
    </row>
    <row r="29" spans="2:22">
      <c r="F29" s="69">
        <f t="shared" si="3"/>
        <v>24</v>
      </c>
      <c r="G29" s="81">
        <v>1000000</v>
      </c>
      <c r="H29" s="82">
        <v>1</v>
      </c>
      <c r="I29" s="61">
        <f>'Bootstrapping USD SWAP 3ML'!Q29</f>
        <v>1.8775073833925619E-2</v>
      </c>
      <c r="J29" s="92">
        <f>IF($B$4="LINEAR",LinearInterpolation($B$8:$B$17,$D$8:$D$17,L29),SplineInterpolation($B$8:$B$17,$D$8:$D$17,L29))</f>
        <v>8.7404277749003843</v>
      </c>
      <c r="K29" s="61">
        <f t="shared" si="0"/>
        <v>1.9649116611415659E-2</v>
      </c>
      <c r="L29" s="83">
        <f t="shared" si="1"/>
        <v>24</v>
      </c>
      <c r="M29" s="62">
        <f>'Bootstrapping USD OIS'!K29</f>
        <v>0.69037411037637619</v>
      </c>
      <c r="N29" s="63">
        <f>SUMPRODUCT($G$6:G29,$H$6:H29,$M$6:M29,$K$6:K29)</f>
        <v>375301.83182268252</v>
      </c>
      <c r="P29" s="69">
        <f t="shared" si="4"/>
        <v>24</v>
      </c>
      <c r="Q29" s="88">
        <v>1000000</v>
      </c>
      <c r="R29" s="59">
        <v>1</v>
      </c>
      <c r="S29" s="97">
        <f t="shared" si="5"/>
        <v>1.9649116611415683E-2</v>
      </c>
      <c r="T29" s="83">
        <f t="shared" si="2"/>
        <v>24</v>
      </c>
      <c r="U29" s="62">
        <f>'Bootstrapping USD OIS'!S29</f>
        <v>0.69037411037637619</v>
      </c>
      <c r="V29" s="63">
        <f>SUMPRODUCT($Q$6:Q29,$R$6:R29,$S$6:S29,$U$6:U29)</f>
        <v>375301.83182268252</v>
      </c>
    </row>
    <row r="30" spans="2:22">
      <c r="F30" s="69">
        <f t="shared" si="3"/>
        <v>25</v>
      </c>
      <c r="G30" s="81">
        <v>1000000</v>
      </c>
      <c r="H30" s="82">
        <v>1</v>
      </c>
      <c r="I30" s="61">
        <f>'Bootstrapping USD SWAP 3ML'!Q30</f>
        <v>1.8684691682073481E-2</v>
      </c>
      <c r="J30" s="92">
        <f>IF($B$4="LINEAR",LinearInterpolation($B$8:$B$17,$D$8:$D$17,L30),SplineInterpolation($B$8:$B$17,$D$8:$D$17,L30))</f>
        <v>8.8486521239261577</v>
      </c>
      <c r="K30" s="61">
        <f t="shared" si="0"/>
        <v>1.9569556894466097E-2</v>
      </c>
      <c r="L30" s="83">
        <f t="shared" si="1"/>
        <v>25</v>
      </c>
      <c r="M30" s="62">
        <f>'Bootstrapping USD OIS'!K30</f>
        <v>0.67935343274514559</v>
      </c>
      <c r="N30" s="63">
        <f>SUMPRODUCT($G$6:G30,$H$6:H30,$M$6:M30,$K$6:K30)</f>
        <v>388596.4774762395</v>
      </c>
      <c r="P30" s="69">
        <f t="shared" si="4"/>
        <v>25</v>
      </c>
      <c r="Q30" s="88">
        <v>1000000</v>
      </c>
      <c r="R30" s="59">
        <v>1</v>
      </c>
      <c r="S30" s="97">
        <f t="shared" si="5"/>
        <v>1.9569556894466097E-2</v>
      </c>
      <c r="T30" s="83">
        <f t="shared" si="2"/>
        <v>25</v>
      </c>
      <c r="U30" s="62">
        <f>'Bootstrapping USD OIS'!S30</f>
        <v>0.67935343274514559</v>
      </c>
      <c r="V30" s="63">
        <f>SUMPRODUCT($Q$6:Q30,$R$6:R30,$S$6:S30,$U$6:U30)</f>
        <v>388596.4774762395</v>
      </c>
    </row>
    <row r="31" spans="2:22">
      <c r="F31" s="69">
        <f t="shared" si="3"/>
        <v>26</v>
      </c>
      <c r="G31" s="81">
        <v>1000000</v>
      </c>
      <c r="H31" s="82">
        <v>1</v>
      </c>
      <c r="I31" s="61">
        <f>'Bootstrapping USD SWAP 3ML'!Q31</f>
        <v>1.8602392328740777E-2</v>
      </c>
      <c r="J31" s="92">
        <f>IF($B$4="LINEAR",LinearInterpolation($B$8:$B$17,$D$8:$D$17,L31),SplineInterpolation($B$8:$B$17,$D$8:$D$17,L31))</f>
        <v>8.9738243030378371</v>
      </c>
      <c r="K31" s="61">
        <f t="shared" si="0"/>
        <v>1.9499774759044561E-2</v>
      </c>
      <c r="L31" s="83">
        <f t="shared" si="1"/>
        <v>26</v>
      </c>
      <c r="M31" s="62">
        <f>'Bootstrapping USD OIS'!K31</f>
        <v>0.6685413335502125</v>
      </c>
      <c r="N31" s="63">
        <f>SUMPRODUCT($G$6:G31,$H$6:H31,$M$6:M31,$K$6:K31)</f>
        <v>401632.88289757993</v>
      </c>
      <c r="P31" s="69">
        <f t="shared" si="4"/>
        <v>26</v>
      </c>
      <c r="Q31" s="88">
        <v>1000000</v>
      </c>
      <c r="R31" s="59">
        <v>1</v>
      </c>
      <c r="S31" s="97">
        <f t="shared" si="5"/>
        <v>1.9499774759044568E-2</v>
      </c>
      <c r="T31" s="83">
        <f t="shared" si="2"/>
        <v>26</v>
      </c>
      <c r="U31" s="62">
        <f>'Bootstrapping USD OIS'!S31</f>
        <v>0.6685413335502125</v>
      </c>
      <c r="V31" s="63">
        <f>SUMPRODUCT($Q$6:Q31,$R$6:R31,$S$6:S31,$U$6:U31)</f>
        <v>401632.88289757993</v>
      </c>
    </row>
    <row r="32" spans="2:22">
      <c r="F32" s="69">
        <f t="shared" si="3"/>
        <v>27</v>
      </c>
      <c r="G32" s="81">
        <v>1000000</v>
      </c>
      <c r="H32" s="82">
        <v>1</v>
      </c>
      <c r="I32" s="61">
        <f>'Bootstrapping USD SWAP 3ML'!Q32</f>
        <v>1.8532862968853515E-2</v>
      </c>
      <c r="J32" s="92">
        <f>IF($B$4="LINEAR",LinearInterpolation($B$8:$B$17,$D$8:$D$17,L32),SplineInterpolation($B$8:$B$17,$D$8:$D$17,L32))</f>
        <v>9.1125547462182421</v>
      </c>
      <c r="K32" s="61">
        <f t="shared" si="0"/>
        <v>1.944411844347534E-2</v>
      </c>
      <c r="L32" s="83">
        <f t="shared" si="1"/>
        <v>27</v>
      </c>
      <c r="M32" s="62">
        <f>'Bootstrapping USD OIS'!K32</f>
        <v>0.65792677857211113</v>
      </c>
      <c r="N32" s="63">
        <f>SUMPRODUCT($G$6:G32,$H$6:H32,$M$6:M32,$K$6:K32)</f>
        <v>414425.68910727021</v>
      </c>
      <c r="P32" s="69">
        <f t="shared" si="4"/>
        <v>27</v>
      </c>
      <c r="Q32" s="88">
        <v>1000000</v>
      </c>
      <c r="R32" s="59">
        <v>1</v>
      </c>
      <c r="S32" s="97">
        <f t="shared" si="5"/>
        <v>1.9444118443475315E-2</v>
      </c>
      <c r="T32" s="83">
        <f t="shared" si="2"/>
        <v>27</v>
      </c>
      <c r="U32" s="62">
        <f>'Bootstrapping USD OIS'!S32</f>
        <v>0.65792677857211113</v>
      </c>
      <c r="V32" s="63">
        <f>SUMPRODUCT($Q$6:Q32,$R$6:R32,$S$6:S32,$U$6:U32)</f>
        <v>414425.68910727021</v>
      </c>
    </row>
    <row r="33" spans="6:22">
      <c r="F33" s="69">
        <f t="shared" si="3"/>
        <v>28</v>
      </c>
      <c r="G33" s="81">
        <v>1000000</v>
      </c>
      <c r="H33" s="82">
        <v>1</v>
      </c>
      <c r="I33" s="61">
        <f>'Bootstrapping USD SWAP 3ML'!Q33</f>
        <v>1.8480909408122092E-2</v>
      </c>
      <c r="J33" s="92">
        <f>IF($B$4="LINEAR",LinearInterpolation($B$8:$B$17,$D$8:$D$17,L33),SplineInterpolation($B$8:$B$17,$D$8:$D$17,L33))</f>
        <v>9.2614538874501928</v>
      </c>
      <c r="K33" s="61">
        <f t="shared" si="0"/>
        <v>1.940705479686711E-2</v>
      </c>
      <c r="L33" s="83">
        <f t="shared" si="1"/>
        <v>28</v>
      </c>
      <c r="M33" s="62">
        <f>'Bootstrapping USD OIS'!K33</f>
        <v>0.6474968162223933</v>
      </c>
      <c r="N33" s="63">
        <f>SUMPRODUCT($G$6:G33,$H$6:H33,$M$6:M33,$K$6:K33)</f>
        <v>426991.69530049519</v>
      </c>
      <c r="P33" s="69">
        <f t="shared" si="4"/>
        <v>28</v>
      </c>
      <c r="Q33" s="88">
        <v>1000000</v>
      </c>
      <c r="R33" s="59">
        <v>1</v>
      </c>
      <c r="S33" s="97">
        <f t="shared" si="5"/>
        <v>1.9407054796867114E-2</v>
      </c>
      <c r="T33" s="83">
        <f t="shared" si="2"/>
        <v>28</v>
      </c>
      <c r="U33" s="62">
        <f>'Bootstrapping USD OIS'!S33</f>
        <v>0.6474968162223933</v>
      </c>
      <c r="V33" s="63">
        <f>SUMPRODUCT($Q$6:Q33,$R$6:R33,$S$6:S33,$U$6:U33)</f>
        <v>426991.69530049519</v>
      </c>
    </row>
    <row r="34" spans="6:22">
      <c r="F34" s="69">
        <f t="shared" si="3"/>
        <v>29</v>
      </c>
      <c r="G34" s="81">
        <v>1000000</v>
      </c>
      <c r="H34" s="82">
        <v>1</v>
      </c>
      <c r="I34" s="61">
        <f>'Bootstrapping USD SWAP 3ML'!Q34</f>
        <v>1.8451459767134106E-2</v>
      </c>
      <c r="J34" s="92">
        <f>IF($B$4="LINEAR",LinearInterpolation($B$8:$B$17,$D$8:$D$17,L34),SplineInterpolation($B$8:$B$17,$D$8:$D$17,L34))</f>
        <v>9.4171321607165055</v>
      </c>
      <c r="K34" s="61">
        <f t="shared" si="0"/>
        <v>1.9393172983205757E-2</v>
      </c>
      <c r="L34" s="83">
        <f t="shared" si="1"/>
        <v>29</v>
      </c>
      <c r="M34" s="62">
        <f>'Bootstrapping USD OIS'!K34</f>
        <v>0.63723668761981112</v>
      </c>
      <c r="N34" s="63">
        <f>SUMPRODUCT($G$6:G34,$H$6:H34,$M$6:M34,$K$6:K34)</f>
        <v>439349.73661475122</v>
      </c>
      <c r="P34" s="69">
        <f t="shared" si="4"/>
        <v>29</v>
      </c>
      <c r="Q34" s="88">
        <v>1000000</v>
      </c>
      <c r="R34" s="59">
        <v>1</v>
      </c>
      <c r="S34" s="97">
        <f t="shared" si="5"/>
        <v>1.9393172983205725E-2</v>
      </c>
      <c r="T34" s="83">
        <f t="shared" si="2"/>
        <v>29</v>
      </c>
      <c r="U34" s="62">
        <f>'Bootstrapping USD OIS'!S34</f>
        <v>0.63723668761981112</v>
      </c>
      <c r="V34" s="63">
        <f>SUMPRODUCT($Q$6:Q34,$R$6:R34,$S$6:S34,$U$6:U34)</f>
        <v>439349.73661475122</v>
      </c>
    </row>
    <row r="35" spans="6:22">
      <c r="F35" s="69">
        <f t="shared" si="3"/>
        <v>30</v>
      </c>
      <c r="G35" s="84">
        <v>1000000</v>
      </c>
      <c r="H35" s="85">
        <v>1</v>
      </c>
      <c r="I35" s="41">
        <f>'Bootstrapping USD SWAP 3ML'!Q35</f>
        <v>1.8449570508034002E-2</v>
      </c>
      <c r="J35" s="96">
        <f>IF($B$4="LINEAR",LinearInterpolation($B$8:$B$17,$D$8:$D$17,L35),SplineInterpolation($B$8:$B$17,$D$8:$D$17,L35))</f>
        <v>9.5762</v>
      </c>
      <c r="K35" s="41">
        <f t="shared" si="0"/>
        <v>1.9407190508034002E-2</v>
      </c>
      <c r="L35" s="86">
        <f t="shared" si="1"/>
        <v>30</v>
      </c>
      <c r="M35" s="42">
        <f>'Bootstrapping USD OIS'!K35</f>
        <v>0.62712993220175961</v>
      </c>
      <c r="N35" s="43">
        <f>SUMPRODUCT($G$6:G35,$H$6:H35,$M$6:M35,$K$6:K35)</f>
        <v>451520.56668228121</v>
      </c>
      <c r="P35" s="69">
        <f t="shared" si="4"/>
        <v>30</v>
      </c>
      <c r="Q35" s="89">
        <v>1000000</v>
      </c>
      <c r="R35" s="39">
        <v>1</v>
      </c>
      <c r="S35" s="98">
        <f t="shared" si="5"/>
        <v>1.9407190508033981E-2</v>
      </c>
      <c r="T35" s="86">
        <f t="shared" si="2"/>
        <v>30</v>
      </c>
      <c r="U35" s="42">
        <f>'Bootstrapping USD OIS'!S35</f>
        <v>0.62712993220175961</v>
      </c>
      <c r="V35" s="43">
        <f>SUMPRODUCT($Q$6:Q35,$R$6:R35,$S$6:S35,$U$6:U35)</f>
        <v>451520.56668228121</v>
      </c>
    </row>
    <row r="36" spans="6:22">
      <c r="G36" s="115" t="s">
        <v>100</v>
      </c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/>
  </sheetPr>
  <dimension ref="B1:AZ41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79</v>
      </c>
      <c r="AZ1" s="103" t="s">
        <v>75</v>
      </c>
    </row>
    <row r="3" spans="2:52" ht="15.75">
      <c r="B3" s="24" t="s">
        <v>57</v>
      </c>
      <c r="F3" s="24" t="s">
        <v>92</v>
      </c>
      <c r="G3" s="24"/>
      <c r="I3" s="110" t="s">
        <v>88</v>
      </c>
      <c r="P3" s="24" t="s">
        <v>90</v>
      </c>
      <c r="Q3" s="24"/>
      <c r="S3" s="110"/>
      <c r="X3" s="105" t="s">
        <v>70</v>
      </c>
    </row>
    <row r="4" spans="2:52" ht="18.75">
      <c r="B4" s="91" t="s">
        <v>58</v>
      </c>
      <c r="F4" s="69" t="s">
        <v>16</v>
      </c>
      <c r="G4" s="20" t="s">
        <v>32</v>
      </c>
      <c r="H4" s="20" t="s">
        <v>49</v>
      </c>
      <c r="I4" s="20" t="s">
        <v>94</v>
      </c>
      <c r="J4" s="20" t="s">
        <v>59</v>
      </c>
      <c r="K4" s="20" t="s">
        <v>99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23" t="s">
        <v>95</v>
      </c>
      <c r="T4" s="20" t="s">
        <v>34</v>
      </c>
      <c r="U4" s="20" t="s">
        <v>35</v>
      </c>
      <c r="V4" s="20" t="s">
        <v>42</v>
      </c>
      <c r="X4" s="104" t="s">
        <v>71</v>
      </c>
    </row>
    <row r="5" spans="2:52">
      <c r="F5" s="69">
        <v>0</v>
      </c>
      <c r="G5" s="78"/>
      <c r="H5" s="79"/>
      <c r="I5" s="99">
        <v>0</v>
      </c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52"/>
      <c r="T5" s="80">
        <v>0</v>
      </c>
      <c r="U5" s="53">
        <f>'Bootstrapping USD OIS'!S5</f>
        <v>1</v>
      </c>
      <c r="V5" s="54"/>
    </row>
    <row r="6" spans="2:52">
      <c r="B6" s="24" t="s">
        <v>97</v>
      </c>
      <c r="F6" s="69">
        <v>1</v>
      </c>
      <c r="G6" s="81">
        <v>1000000</v>
      </c>
      <c r="H6" s="82">
        <v>1</v>
      </c>
      <c r="I6" s="97">
        <f>(V6-G6*H6*J6/10000*M6)/(G6*H6*M6)</f>
        <v>1.6361919999999999E-2</v>
      </c>
      <c r="J6" s="92">
        <f>IF($B$4="LINEAR",LinearInterpolation($B$8:$B$17,$D$8:$D$17,L6),SplineInterpolation($B$8:$B$17,$D$8:$D$17,L6))</f>
        <v>14.597799999999999</v>
      </c>
      <c r="K6" s="61">
        <f t="shared" ref="K6:K35" si="0">I6+J6/10000</f>
        <v>1.7821699999999999E-2</v>
      </c>
      <c r="L6" s="83">
        <v>1</v>
      </c>
      <c r="M6" s="62">
        <f>'Bootstrapping USD OIS'!K6</f>
        <v>0.98561776698241588</v>
      </c>
      <c r="N6" s="63">
        <f>SUMPRODUCT($G$6:G6,$H$6:H6,$M$6:M6,$I$6:I6)+SUMPRODUCT($G$6:G6,$H$6:H6,$M$6:M6)*J6/10000</f>
        <v>17565.384157830518</v>
      </c>
      <c r="P6" s="69">
        <v>1</v>
      </c>
      <c r="Q6" s="88">
        <v>1000000</v>
      </c>
      <c r="R6" s="59">
        <v>1</v>
      </c>
      <c r="S6" s="61">
        <f>'Bootstrapping USD SWAP 3ML'!Q6</f>
        <v>1.7821699999999999E-2</v>
      </c>
      <c r="T6" s="83">
        <v>1</v>
      </c>
      <c r="U6" s="62">
        <f>'Bootstrapping USD OIS'!S6</f>
        <v>0.98561776698241588</v>
      </c>
      <c r="V6" s="63">
        <f>Q6*R6*S6*U6</f>
        <v>17565.384157830522</v>
      </c>
    </row>
    <row r="7" spans="2:52">
      <c r="B7" s="69" t="s">
        <v>48</v>
      </c>
      <c r="C7" s="20" t="s">
        <v>5</v>
      </c>
      <c r="D7" s="67" t="s">
        <v>64</v>
      </c>
      <c r="F7" s="69">
        <f>F6+1</f>
        <v>2</v>
      </c>
      <c r="G7" s="81">
        <v>1000000</v>
      </c>
      <c r="H7" s="82">
        <v>1</v>
      </c>
      <c r="I7" s="97">
        <f>(V7-SUMPRODUCT($G$6:G6,$H$6:H6,$I$6:I6,$M$6:M6)-SUMPRODUCT($G$6:G7,$H$6:H7,$M$6:M7)*J7/10000)/(G7*H7*M7)</f>
        <v>1.3980017794630734E-2</v>
      </c>
      <c r="J7" s="92">
        <f>IF($B$4="LINEAR",LinearInterpolation($B$8:$B$17,$D$8:$D$17,L7),SplineInterpolation($B$8:$B$17,$D$8:$D$17,L7))</f>
        <v>11.239100000000001</v>
      </c>
      <c r="K7" s="61">
        <f>I7+J7/10000</f>
        <v>1.5103927794630734E-2</v>
      </c>
      <c r="L7" s="83">
        <f t="shared" ref="L7:L35" si="1">L6+1</f>
        <v>2</v>
      </c>
      <c r="M7" s="62">
        <f>'Bootstrapping USD OIS'!K7</f>
        <v>0.97455557786257074</v>
      </c>
      <c r="N7" s="63">
        <f>SUMPRODUCT($G$6:G7,$H$6:H7,$M$6:M7,$I$6:I7)+SUMPRODUCT($G$6:G7,$H$6:H7,$M$6:M7)*J7/10000</f>
        <v>31953.961798325032</v>
      </c>
      <c r="P7" s="69">
        <f>P6+1</f>
        <v>2</v>
      </c>
      <c r="Q7" s="88">
        <v>1000000</v>
      </c>
      <c r="R7" s="59">
        <v>1</v>
      </c>
      <c r="S7" s="61">
        <f>'Bootstrapping USD SWAP 3ML'!Q7</f>
        <v>1.4764245331243235E-2</v>
      </c>
      <c r="T7" s="83">
        <f t="shared" ref="T7:T35" si="2">T6+1</f>
        <v>2</v>
      </c>
      <c r="U7" s="62">
        <f>'Bootstrapping USD OIS'!S7</f>
        <v>0.97455557786257074</v>
      </c>
      <c r="V7" s="63">
        <f>SUMPRODUCT($Q$6:Q7,$R$6:R7,$S$6:S7,$U$6:U7)</f>
        <v>31953.961798325035</v>
      </c>
    </row>
    <row r="8" spans="2:52">
      <c r="B8" s="111">
        <f>1/12</f>
        <v>8.3333333333333329E-2</v>
      </c>
      <c r="C8" s="73" t="s">
        <v>93</v>
      </c>
      <c r="D8" s="93">
        <f>D9</f>
        <v>14.597799999999999</v>
      </c>
      <c r="F8" s="69">
        <f t="shared" ref="F8:F35" si="3">F7+1</f>
        <v>3</v>
      </c>
      <c r="G8" s="81">
        <v>1000000</v>
      </c>
      <c r="H8" s="82">
        <v>1</v>
      </c>
      <c r="I8" s="97">
        <f>(V8-SUMPRODUCT($G$6:G7,$H$6:H7,$I$6:I7,$M$6:M7)-SUMPRODUCT($G$6:G8,$H$6:H8,$M$6:M8)*J8/10000)/(G8*H8*M8)</f>
        <v>1.3683967606872913E-2</v>
      </c>
      <c r="J8" s="92">
        <f>IF($B$4="LINEAR",LinearInterpolation($B$8:$B$17,$D$8:$D$17,L8),SplineInterpolation($B$8:$B$17,$D$8:$D$17,L8))</f>
        <v>9.8391999999999999</v>
      </c>
      <c r="K8" s="61">
        <f t="shared" si="0"/>
        <v>1.4667887606872912E-2</v>
      </c>
      <c r="L8" s="83">
        <f t="shared" si="1"/>
        <v>3</v>
      </c>
      <c r="M8" s="62">
        <f>'Bootstrapping USD OIS'!K8</f>
        <v>0.96306806041014703</v>
      </c>
      <c r="N8" s="63">
        <f>SUMPRODUCT($G$6:G8,$H$6:H8,$M$6:M8,$I$6:I8)+SUMPRODUCT($G$6:G8,$H$6:H8,$M$6:M8)*J8/10000</f>
        <v>45805.731199645314</v>
      </c>
      <c r="P8" s="69">
        <f t="shared" ref="P8:P35" si="4">P7+1</f>
        <v>3</v>
      </c>
      <c r="Q8" s="88">
        <v>1000000</v>
      </c>
      <c r="R8" s="59">
        <v>1</v>
      </c>
      <c r="S8" s="61">
        <f>'Bootstrapping USD SWAP 3ML'!Q8</f>
        <v>1.4382960011591651E-2</v>
      </c>
      <c r="T8" s="83">
        <f t="shared" si="2"/>
        <v>3</v>
      </c>
      <c r="U8" s="62">
        <f>'Bootstrapping USD OIS'!S8</f>
        <v>0.96306806041014703</v>
      </c>
      <c r="V8" s="63">
        <f>SUMPRODUCT($Q$6:Q8,$R$6:R8,$S$6:S8,$U$6:U8)</f>
        <v>45805.731199645314</v>
      </c>
    </row>
    <row r="9" spans="2:52">
      <c r="B9" s="72">
        <v>1</v>
      </c>
      <c r="C9" s="74" t="s">
        <v>37</v>
      </c>
      <c r="D9" s="94">
        <v>14.597799999999999</v>
      </c>
      <c r="F9" s="69">
        <f t="shared" si="3"/>
        <v>4</v>
      </c>
      <c r="G9" s="81">
        <v>1000000</v>
      </c>
      <c r="H9" s="82">
        <v>1</v>
      </c>
      <c r="I9" s="97">
        <f>(V9-SUMPRODUCT($G$6:G8,$H$6:H8,$I$6:I8,$M$6:M8)-SUMPRODUCT($G$6:G9,$H$6:H9,$M$6:M9)*J9/10000)/(G9*H9*M9)</f>
        <v>1.3624924182722193E-2</v>
      </c>
      <c r="J9" s="92">
        <f>IF($B$4="LINEAR",LinearInterpolation($B$8:$B$17,$D$8:$D$17,L9),SplineInterpolation($B$8:$B$17,$D$8:$D$17,L9))</f>
        <v>9.3816000000000006</v>
      </c>
      <c r="K9" s="61">
        <f t="shared" si="0"/>
        <v>1.4563084182722194E-2</v>
      </c>
      <c r="L9" s="83">
        <f t="shared" si="1"/>
        <v>4</v>
      </c>
      <c r="M9" s="62">
        <f>'Bootstrapping USD OIS'!K9</f>
        <v>0.9514045775482779</v>
      </c>
      <c r="N9" s="63">
        <f>SUMPRODUCT($G$6:G9,$H$6:H9,$M$6:M9,$I$6:I9)+SUMPRODUCT($G$6:G9,$H$6:H9,$M$6:M9)*J9/10000</f>
        <v>59527.348627603656</v>
      </c>
      <c r="P9" s="69">
        <f t="shared" si="4"/>
        <v>4</v>
      </c>
      <c r="Q9" s="88">
        <v>1000000</v>
      </c>
      <c r="R9" s="59">
        <v>1</v>
      </c>
      <c r="S9" s="61">
        <f>'Bootstrapping USD SWAP 3ML'!Q9</f>
        <v>1.4422484137419504E-2</v>
      </c>
      <c r="T9" s="83">
        <f t="shared" si="2"/>
        <v>4</v>
      </c>
      <c r="U9" s="62">
        <f>'Bootstrapping USD OIS'!S9</f>
        <v>0.9514045775482779</v>
      </c>
      <c r="V9" s="63">
        <f>SUMPRODUCT($Q$6:Q9,$R$6:R9,$S$6:S9,$U$6:U9)</f>
        <v>59527.348627603656</v>
      </c>
    </row>
    <row r="10" spans="2:52">
      <c r="B10" s="72">
        <v>2</v>
      </c>
      <c r="C10" s="74" t="s">
        <v>38</v>
      </c>
      <c r="D10" s="94">
        <v>11.239100000000001</v>
      </c>
      <c r="F10" s="69">
        <f t="shared" si="3"/>
        <v>5</v>
      </c>
      <c r="G10" s="81">
        <v>1000000</v>
      </c>
      <c r="H10" s="82">
        <v>1</v>
      </c>
      <c r="I10" s="97">
        <f>(V10-SUMPRODUCT($G$6:G9,$H$6:H9,$I$6:I9,$M$6:M9)-SUMPRODUCT($G$6:G10,$H$6:H10,$M$6:M10)*J10/10000)/(G10*H10*M10)</f>
        <v>1.4126082998460299E-2</v>
      </c>
      <c r="J10" s="92">
        <f>IF($B$4="LINEAR",LinearInterpolation($B$8:$B$17,$D$8:$D$17,L10),SplineInterpolation($B$8:$B$17,$D$8:$D$17,L10))</f>
        <v>10.5352</v>
      </c>
      <c r="K10" s="61">
        <f t="shared" si="0"/>
        <v>1.5179602998460299E-2</v>
      </c>
      <c r="L10" s="83">
        <f t="shared" si="1"/>
        <v>5</v>
      </c>
      <c r="M10" s="62">
        <f>'Bootstrapping USD OIS'!K10</f>
        <v>0.939456404150946</v>
      </c>
      <c r="N10" s="63">
        <f>SUMPRODUCT($G$6:G10,$H$6:H10,$M$6:M10,$I$6:I10)+SUMPRODUCT($G$6:G10,$H$6:H10,$M$6:M10)*J10/10000</f>
        <v>74234.903037552285</v>
      </c>
      <c r="P10" s="69">
        <f t="shared" si="4"/>
        <v>5</v>
      </c>
      <c r="Q10" s="88">
        <v>1000000</v>
      </c>
      <c r="R10" s="59">
        <v>1</v>
      </c>
      <c r="S10" s="61">
        <f>'Bootstrapping USD SWAP 3ML'!Q10</f>
        <v>1.5655387887041867E-2</v>
      </c>
      <c r="T10" s="83">
        <f t="shared" si="2"/>
        <v>5</v>
      </c>
      <c r="U10" s="62">
        <f>'Bootstrapping USD OIS'!S10</f>
        <v>0.939456404150946</v>
      </c>
      <c r="V10" s="63">
        <f>SUMPRODUCT($Q$6:Q10,$R$6:R10,$S$6:S10,$U$6:U10)</f>
        <v>74234.903037552285</v>
      </c>
    </row>
    <row r="11" spans="2:52">
      <c r="B11" s="72">
        <v>3</v>
      </c>
      <c r="C11" s="74" t="s">
        <v>43</v>
      </c>
      <c r="D11" s="94">
        <v>9.8391999999999999</v>
      </c>
      <c r="F11" s="69">
        <f t="shared" si="3"/>
        <v>6</v>
      </c>
      <c r="G11" s="81">
        <v>1000000</v>
      </c>
      <c r="H11" s="82">
        <v>1</v>
      </c>
      <c r="I11" s="97">
        <f>(V11-SUMPRODUCT($G$6:G10,$H$6:H10,$I$6:I10,$M$6:M10)-SUMPRODUCT($G$6:G11,$H$6:H11,$M$6:M11)*J11/10000)/(G11*H11*M11)</f>
        <v>1.4938266919000751E-2</v>
      </c>
      <c r="J11" s="92">
        <f>IF($B$4="LINEAR",LinearInterpolation($B$8:$B$17,$D$8:$D$17,L11),SplineInterpolation($B$8:$B$17,$D$8:$D$17,L11))</f>
        <v>11.452733974960781</v>
      </c>
      <c r="K11" s="61">
        <f t="shared" si="0"/>
        <v>1.6083540316496829E-2</v>
      </c>
      <c r="L11" s="83">
        <f t="shared" si="1"/>
        <v>6</v>
      </c>
      <c r="M11" s="62">
        <f>'Bootstrapping USD OIS'!K11</f>
        <v>0.9269603591459189</v>
      </c>
      <c r="N11" s="63">
        <f>SUMPRODUCT($G$6:G11,$H$6:H11,$M$6:M11,$I$6:I11)+SUMPRODUCT($G$6:G11,$H$6:H11,$M$6:M11)*J11/10000</f>
        <v>89585.417595567094</v>
      </c>
      <c r="P11" s="69">
        <f t="shared" si="4"/>
        <v>6</v>
      </c>
      <c r="Q11" s="88">
        <v>1000000</v>
      </c>
      <c r="R11" s="59">
        <v>1</v>
      </c>
      <c r="S11" s="61">
        <f>'Bootstrapping USD SWAP 3ML'!Q11</f>
        <v>1.65600550299243E-2</v>
      </c>
      <c r="T11" s="83">
        <f t="shared" si="2"/>
        <v>6</v>
      </c>
      <c r="U11" s="62">
        <f>'Bootstrapping USD OIS'!S11</f>
        <v>0.9269603591459189</v>
      </c>
      <c r="V11" s="63">
        <f>SUMPRODUCT($Q$6:Q11,$R$6:R11,$S$6:S11,$U$6:U11)</f>
        <v>89585.417595567094</v>
      </c>
    </row>
    <row r="12" spans="2:52">
      <c r="B12" s="72">
        <v>4</v>
      </c>
      <c r="C12" s="74" t="s">
        <v>44</v>
      </c>
      <c r="D12" s="94">
        <v>9.3816000000000006</v>
      </c>
      <c r="F12" s="69">
        <f t="shared" si="3"/>
        <v>7</v>
      </c>
      <c r="G12" s="81">
        <v>1000000</v>
      </c>
      <c r="H12" s="82">
        <v>1</v>
      </c>
      <c r="I12" s="97">
        <f>(V12-SUMPRODUCT($G$6:G11,$H$6:H11,$I$6:I11,$M$6:M11)-SUMPRODUCT($G$6:G12,$H$6:H12,$M$6:M12)*J12/10000)/(G12*H12*M12)</f>
        <v>1.5917240249309596E-2</v>
      </c>
      <c r="J12" s="92">
        <f>IF($B$4="LINEAR",LinearInterpolation($B$8:$B$17,$D$8:$D$17,L12),SplineInterpolation($B$8:$B$17,$D$8:$D$17,L12))</f>
        <v>11.702388058500782</v>
      </c>
      <c r="K12" s="61">
        <f t="shared" si="0"/>
        <v>1.7087479055159675E-2</v>
      </c>
      <c r="L12" s="83">
        <f t="shared" si="1"/>
        <v>7</v>
      </c>
      <c r="M12" s="62">
        <f>'Bootstrapping USD OIS'!K12</f>
        <v>0.91382753075280565</v>
      </c>
      <c r="N12" s="63">
        <f>SUMPRODUCT($G$6:G12,$H$6:H12,$M$6:M12,$I$6:I12)+SUMPRODUCT($G$6:G12,$H$6:H12,$M$6:M12)*J12/10000</f>
        <v>105343.75436317628</v>
      </c>
      <c r="P12" s="69">
        <f t="shared" si="4"/>
        <v>7</v>
      </c>
      <c r="Q12" s="88">
        <v>1000000</v>
      </c>
      <c r="R12" s="59">
        <v>1</v>
      </c>
      <c r="S12" s="61">
        <f>'Bootstrapping USD SWAP 3ML'!Q12</f>
        <v>1.7244322629049669E-2</v>
      </c>
      <c r="T12" s="83">
        <f t="shared" si="2"/>
        <v>7</v>
      </c>
      <c r="U12" s="62">
        <f>'Bootstrapping USD OIS'!S12</f>
        <v>0.91382753075280565</v>
      </c>
      <c r="V12" s="63">
        <f>SUMPRODUCT($Q$6:Q12,$R$6:R12,$S$6:S12,$U$6:U12)</f>
        <v>105343.75436317628</v>
      </c>
    </row>
    <row r="13" spans="2:52">
      <c r="B13" s="72">
        <v>5</v>
      </c>
      <c r="C13" s="74" t="s">
        <v>39</v>
      </c>
      <c r="D13" s="94">
        <v>10.5352</v>
      </c>
      <c r="F13" s="69">
        <f t="shared" si="3"/>
        <v>8</v>
      </c>
      <c r="G13" s="81">
        <v>1000000</v>
      </c>
      <c r="H13" s="82">
        <v>1</v>
      </c>
      <c r="I13" s="97">
        <f>(V13-SUMPRODUCT($G$6:G12,$H$6:H12,$I$6:I12,$M$6:M12)-SUMPRODUCT($G$6:G13,$H$6:H13,$M$6:M13)*J13/10000)/(G13*H13*M13)</f>
        <v>1.6914913856426503E-2</v>
      </c>
      <c r="J13" s="92">
        <f>IF($B$4="LINEAR",LinearInterpolation($B$8:$B$17,$D$8:$D$17,L13),SplineInterpolation($B$8:$B$17,$D$8:$D$17,L13))</f>
        <v>11.489665154560393</v>
      </c>
      <c r="K13" s="61">
        <f t="shared" si="0"/>
        <v>1.8063880371882543E-2</v>
      </c>
      <c r="L13" s="83">
        <f t="shared" si="1"/>
        <v>8</v>
      </c>
      <c r="M13" s="62">
        <f>'Bootstrapping USD OIS'!K13</f>
        <v>0.90007301850839927</v>
      </c>
      <c r="N13" s="63">
        <f>SUMPRODUCT($G$6:G13,$H$6:H13,$M$6:M13,$I$6:I13)+SUMPRODUCT($G$6:G13,$H$6:H13,$M$6:M13)*J13/10000</f>
        <v>121461.00093696154</v>
      </c>
      <c r="P13" s="69">
        <f t="shared" si="4"/>
        <v>8</v>
      </c>
      <c r="Q13" s="88">
        <v>1000000</v>
      </c>
      <c r="R13" s="59">
        <v>1</v>
      </c>
      <c r="S13" s="61">
        <f>'Bootstrapping USD SWAP 3ML'!Q13</f>
        <v>1.7906598956265524E-2</v>
      </c>
      <c r="T13" s="83">
        <f t="shared" si="2"/>
        <v>8</v>
      </c>
      <c r="U13" s="62">
        <f>'Bootstrapping USD OIS'!S13</f>
        <v>0.90007301850839927</v>
      </c>
      <c r="V13" s="63">
        <f>SUMPRODUCT($Q$6:Q13,$R$6:R13,$S$6:S13,$U$6:U13)</f>
        <v>121461.00093696154</v>
      </c>
    </row>
    <row r="14" spans="2:52">
      <c r="B14" s="72">
        <v>10</v>
      </c>
      <c r="C14" s="74" t="s">
        <v>40</v>
      </c>
      <c r="D14" s="94">
        <v>10.4991</v>
      </c>
      <c r="F14" s="69">
        <f t="shared" si="3"/>
        <v>9</v>
      </c>
      <c r="G14" s="81">
        <v>1000000</v>
      </c>
      <c r="H14" s="82">
        <v>1</v>
      </c>
      <c r="I14" s="97">
        <f>(V14-SUMPRODUCT($G$6:G13,$H$6:H13,$I$6:I13,$M$6:M13)-SUMPRODUCT($G$6:G14,$H$6:H14,$M$6:M14)*J14/10000)/(G14*H14*M14)</f>
        <v>1.7765270018318832E-2</v>
      </c>
      <c r="J14" s="92">
        <f>IF($B$4="LINEAR",LinearInterpolation($B$8:$B$17,$D$8:$D$17,L14),SplineInterpolation($B$8:$B$17,$D$8:$D$17,L14))</f>
        <v>11.020068167080003</v>
      </c>
      <c r="K14" s="61">
        <f t="shared" si="0"/>
        <v>1.8867276835026831E-2</v>
      </c>
      <c r="L14" s="83">
        <f t="shared" si="1"/>
        <v>9</v>
      </c>
      <c r="M14" s="62">
        <f>'Bootstrapping USD OIS'!K14</f>
        <v>0.8858199516068207</v>
      </c>
      <c r="N14" s="63">
        <f>SUMPRODUCT($G$6:G14,$H$6:H14,$M$6:M14,$I$6:I14)+SUMPRODUCT($G$6:G14,$H$6:H14,$M$6:M14)*J14/10000</f>
        <v>137819.23238951483</v>
      </c>
      <c r="P14" s="69">
        <f t="shared" si="4"/>
        <v>9</v>
      </c>
      <c r="Q14" s="88">
        <v>1000000</v>
      </c>
      <c r="R14" s="59">
        <v>1</v>
      </c>
      <c r="S14" s="61">
        <f>'Bootstrapping USD SWAP 3ML'!Q14</f>
        <v>1.8466767905690656E-2</v>
      </c>
      <c r="T14" s="83">
        <f t="shared" si="2"/>
        <v>9</v>
      </c>
      <c r="U14" s="62">
        <f>'Bootstrapping USD OIS'!S14</f>
        <v>0.8858199516068207</v>
      </c>
      <c r="V14" s="63">
        <f>SUMPRODUCT($Q$6:Q14,$R$6:R14,$S$6:S14,$U$6:U14)</f>
        <v>137819.23238951483</v>
      </c>
    </row>
    <row r="15" spans="2:52">
      <c r="B15" s="72">
        <v>15</v>
      </c>
      <c r="C15" s="74" t="s">
        <v>45</v>
      </c>
      <c r="D15" s="94">
        <v>9.4499999999999993</v>
      </c>
      <c r="F15" s="69">
        <f t="shared" si="3"/>
        <v>10</v>
      </c>
      <c r="G15" s="81">
        <v>1000000</v>
      </c>
      <c r="H15" s="82">
        <v>1</v>
      </c>
      <c r="I15" s="97">
        <f>(V15-SUMPRODUCT($G$6:G14,$H$6:H14,$I$6:I14,$M$6:M14)-SUMPRODUCT($G$6:G15,$H$6:H15,$M$6:M15)*J15/10000)/(G15*H15*M15)</f>
        <v>1.8296534296906582E-2</v>
      </c>
      <c r="J15" s="92">
        <f>IF($B$4="LINEAR",LinearInterpolation($B$8:$B$17,$D$8:$D$17,L15),SplineInterpolation($B$8:$B$17,$D$8:$D$17,L15))</f>
        <v>10.4991</v>
      </c>
      <c r="K15" s="61">
        <f t="shared" si="0"/>
        <v>1.9346444296906583E-2</v>
      </c>
      <c r="L15" s="83">
        <f t="shared" si="1"/>
        <v>10</v>
      </c>
      <c r="M15" s="62">
        <f>'Bootstrapping USD OIS'!K15</f>
        <v>0.87129405478159427</v>
      </c>
      <c r="N15" s="63">
        <f>SUMPRODUCT($G$6:G15,$H$6:H15,$M$6:M15,$I$6:I15)+SUMPRODUCT($G$6:G15,$H$6:H15,$M$6:M15)*J15/10000</f>
        <v>154235.93634888355</v>
      </c>
      <c r="P15" s="69">
        <f t="shared" si="4"/>
        <v>10</v>
      </c>
      <c r="Q15" s="88">
        <v>1000000</v>
      </c>
      <c r="R15" s="59">
        <v>1</v>
      </c>
      <c r="S15" s="61">
        <f>'Bootstrapping USD SWAP 3ML'!Q15</f>
        <v>1.8841749084910108E-2</v>
      </c>
      <c r="T15" s="83">
        <f t="shared" si="2"/>
        <v>10</v>
      </c>
      <c r="U15" s="62">
        <f>'Bootstrapping USD OIS'!S15</f>
        <v>0.87129405478159427</v>
      </c>
      <c r="V15" s="63">
        <f>SUMPRODUCT($Q$6:Q15,$R$6:R15,$S$6:S15,$U$6:U15)</f>
        <v>154235.93634888355</v>
      </c>
    </row>
    <row r="16" spans="2:52">
      <c r="B16" s="72">
        <v>20</v>
      </c>
      <c r="C16" s="74" t="s">
        <v>46</v>
      </c>
      <c r="D16" s="94">
        <v>9.3339999999999996</v>
      </c>
      <c r="F16" s="69">
        <f t="shared" si="3"/>
        <v>11</v>
      </c>
      <c r="G16" s="81">
        <v>1000000</v>
      </c>
      <c r="H16" s="82">
        <v>1</v>
      </c>
      <c r="I16" s="97">
        <f>(V16-SUMPRODUCT($G$6:G15,$H$6:H15,$I$6:I15,$M$6:M15)-SUMPRODUCT($G$6:G16,$H$6:H16,$M$6:M16)*J16/10000)/(G16*H16*M16)</f>
        <v>1.8423856001925632E-2</v>
      </c>
      <c r="J16" s="92">
        <f>IF($B$4="LINEAR",LinearInterpolation($B$8:$B$17,$D$8:$D$17,L16),SplineInterpolation($B$8:$B$17,$D$8:$D$17,L16))</f>
        <v>10.093333212392622</v>
      </c>
      <c r="K16" s="61">
        <f t="shared" si="0"/>
        <v>1.9433189323164894E-2</v>
      </c>
      <c r="L16" s="83">
        <f t="shared" si="1"/>
        <v>11</v>
      </c>
      <c r="M16" s="62">
        <f>'Bootstrapping USD OIS'!K16</f>
        <v>0.85676603329453049</v>
      </c>
      <c r="N16" s="63">
        <f>SUMPRODUCT($G$6:G16,$H$6:H16,$M$6:M16,$I$6:I16)+SUMPRODUCT($G$6:G16,$H$6:H16,$M$6:M16)*J16/10000</f>
        <v>170507.7797102849</v>
      </c>
      <c r="P16" s="69">
        <f t="shared" si="4"/>
        <v>11</v>
      </c>
      <c r="Q16" s="88">
        <v>1000000</v>
      </c>
      <c r="R16" s="59">
        <v>1</v>
      </c>
      <c r="S16" s="61">
        <f>'Bootstrapping USD SWAP 3ML'!Q16</f>
        <v>1.8992166739887056E-2</v>
      </c>
      <c r="T16" s="83">
        <f t="shared" si="2"/>
        <v>11</v>
      </c>
      <c r="U16" s="62">
        <f>'Bootstrapping USD OIS'!S16</f>
        <v>0.85676603329453049</v>
      </c>
      <c r="V16" s="63">
        <f>SUMPRODUCT($Q$6:Q16,$R$6:R16,$S$6:S16,$U$6:U16)</f>
        <v>170507.7797102849</v>
      </c>
    </row>
    <row r="17" spans="2:22">
      <c r="B17" s="72">
        <v>30</v>
      </c>
      <c r="C17" s="76" t="s">
        <v>47</v>
      </c>
      <c r="D17" s="95">
        <v>9.9598999999999993</v>
      </c>
      <c r="F17" s="69">
        <f t="shared" si="3"/>
        <v>12</v>
      </c>
      <c r="G17" s="81">
        <v>1000000</v>
      </c>
      <c r="H17" s="82">
        <v>1</v>
      </c>
      <c r="I17" s="97">
        <f>(V17-SUMPRODUCT($G$6:G16,$H$6:H16,$I$6:I16,$M$6:M16)-SUMPRODUCT($G$6:G17,$H$6:H17,$M$6:M17)*J17/10000)/(G17*H17*M17)</f>
        <v>1.8409859844284612E-2</v>
      </c>
      <c r="J17" s="92">
        <f>IF($B$4="LINEAR",LinearInterpolation($B$8:$B$17,$D$8:$D$17,L17),SplineInterpolation($B$8:$B$17,$D$8:$D$17,L17))</f>
        <v>9.8136189838574737</v>
      </c>
      <c r="K17" s="61">
        <f t="shared" si="0"/>
        <v>1.9391221742670359E-2</v>
      </c>
      <c r="L17" s="83">
        <f t="shared" si="1"/>
        <v>12</v>
      </c>
      <c r="M17" s="62">
        <f>'Bootstrapping USD OIS'!K17</f>
        <v>0.84235672207273415</v>
      </c>
      <c r="N17" s="63">
        <f>SUMPRODUCT($G$6:G17,$H$6:H17,$M$6:M17,$I$6:I17)+SUMPRODUCT($G$6:G17,$H$6:H17,$M$6:M17)*J17/10000</f>
        <v>186557.66867757056</v>
      </c>
      <c r="P17" s="69">
        <f t="shared" si="4"/>
        <v>12</v>
      </c>
      <c r="Q17" s="88">
        <v>1000000</v>
      </c>
      <c r="R17" s="59">
        <v>1</v>
      </c>
      <c r="S17" s="61">
        <f>'Bootstrapping USD SWAP 3ML'!Q17</f>
        <v>1.9053553615376521E-2</v>
      </c>
      <c r="T17" s="83">
        <f t="shared" si="2"/>
        <v>12</v>
      </c>
      <c r="U17" s="62">
        <f>'Bootstrapping USD OIS'!S17</f>
        <v>0.84235672207273415</v>
      </c>
      <c r="V17" s="63">
        <f>SUMPRODUCT($Q$6:Q17,$R$6:R17,$S$6:S17,$U$6:U17)</f>
        <v>186557.66867757056</v>
      </c>
    </row>
    <row r="18" spans="2:22">
      <c r="F18" s="69">
        <f t="shared" si="3"/>
        <v>13</v>
      </c>
      <c r="G18" s="81">
        <v>1000000</v>
      </c>
      <c r="H18" s="82">
        <v>1</v>
      </c>
      <c r="I18" s="97">
        <f>(V18-SUMPRODUCT($G$6:G17,$H$6:H17,$I$6:I17,$M$6:M17)-SUMPRODUCT($G$6:G18,$H$6:H18,$M$6:M18)*J18/10000)/(G18*H18*M18)</f>
        <v>1.836212940753441E-2</v>
      </c>
      <c r="J18" s="92">
        <f>IF($B$4="LINEAR",LinearInterpolation($B$8:$B$17,$D$8:$D$17,L18),SplineInterpolation($B$8:$B$17,$D$8:$D$17,L18))</f>
        <v>9.6318781491260186</v>
      </c>
      <c r="K18" s="61">
        <f t="shared" si="0"/>
        <v>1.9325317222447014E-2</v>
      </c>
      <c r="L18" s="83">
        <f t="shared" si="1"/>
        <v>13</v>
      </c>
      <c r="M18" s="62">
        <f>'Bootstrapping USD OIS'!K18</f>
        <v>0.82813227953170776</v>
      </c>
      <c r="N18" s="63">
        <f>SUMPRODUCT($G$6:G18,$H$6:H18,$M$6:M18,$I$6:I18)+SUMPRODUCT($G$6:G18,$H$6:H18,$M$6:M18)*J18/10000</f>
        <v>202361.46921269142</v>
      </c>
      <c r="P18" s="69">
        <f t="shared" si="4"/>
        <v>13</v>
      </c>
      <c r="Q18" s="88">
        <v>1000000</v>
      </c>
      <c r="R18" s="59">
        <v>1</v>
      </c>
      <c r="S18" s="61">
        <f>'Bootstrapping USD SWAP 3ML'!Q18</f>
        <v>1.9083666855804232E-2</v>
      </c>
      <c r="T18" s="83">
        <f t="shared" si="2"/>
        <v>13</v>
      </c>
      <c r="U18" s="62">
        <f>'Bootstrapping USD OIS'!S18</f>
        <v>0.82813227953170776</v>
      </c>
      <c r="V18" s="63">
        <f>SUMPRODUCT($Q$6:Q18,$R$6:R18,$S$6:S18,$U$6:U18)</f>
        <v>202361.46921269142</v>
      </c>
    </row>
    <row r="19" spans="2:22">
      <c r="F19" s="69">
        <f t="shared" si="3"/>
        <v>14</v>
      </c>
      <c r="G19" s="81">
        <v>1000000</v>
      </c>
      <c r="H19" s="82">
        <v>1</v>
      </c>
      <c r="I19" s="97">
        <f>(V19-SUMPRODUCT($G$6:G18,$H$6:H18,$I$6:I18,$M$6:M18)-SUMPRODUCT($G$6:G19,$H$6:H19,$M$6:M19)*J19/10000)/(G19*H19*M19)</f>
        <v>1.8313404416381719E-2</v>
      </c>
      <c r="J19" s="92">
        <f>IF($B$4="LINEAR",LinearInterpolation($B$8:$B$17,$D$8:$D$17,L19),SplineInterpolation($B$8:$B$17,$D$8:$D$17,L19))</f>
        <v>9.5200315429297078</v>
      </c>
      <c r="K19" s="61">
        <f t="shared" si="0"/>
        <v>1.926540757067469E-2</v>
      </c>
      <c r="L19" s="83">
        <f t="shared" si="1"/>
        <v>14</v>
      </c>
      <c r="M19" s="62">
        <f>'Bootstrapping USD OIS'!K19</f>
        <v>0.81414823617061649</v>
      </c>
      <c r="N19" s="63">
        <f>SUMPRODUCT($G$6:G19,$H$6:H19,$M$6:M19,$I$6:I19)+SUMPRODUCT($G$6:G19,$H$6:H19,$M$6:M19)*J19/10000</f>
        <v>217913.94789131582</v>
      </c>
      <c r="P19" s="69">
        <f t="shared" si="4"/>
        <v>14</v>
      </c>
      <c r="Q19" s="88">
        <v>1000000</v>
      </c>
      <c r="R19" s="59">
        <v>1</v>
      </c>
      <c r="S19" s="61">
        <f>'Bootstrapping USD SWAP 3ML'!Q19</f>
        <v>1.9102760391370745E-2</v>
      </c>
      <c r="T19" s="83">
        <f t="shared" si="2"/>
        <v>14</v>
      </c>
      <c r="U19" s="62">
        <f>'Bootstrapping USD OIS'!S19</f>
        <v>0.81414823617061649</v>
      </c>
      <c r="V19" s="63">
        <f>SUMPRODUCT($Q$6:Q19,$R$6:R19,$S$6:S19,$U$6:U19)</f>
        <v>217913.94789131582</v>
      </c>
    </row>
    <row r="20" spans="2:22">
      <c r="F20" s="69">
        <f t="shared" si="3"/>
        <v>15</v>
      </c>
      <c r="G20" s="81">
        <v>1000000</v>
      </c>
      <c r="H20" s="82">
        <v>1</v>
      </c>
      <c r="I20" s="97">
        <f>(V20-SUMPRODUCT($G$6:G19,$H$6:H19,$I$6:I19,$M$6:M19)-SUMPRODUCT($G$6:G20,$H$6:H20,$M$6:M20)*J20/10000)/(G20*H20*M20)</f>
        <v>1.8297412551069387E-2</v>
      </c>
      <c r="J20" s="92">
        <f>IF($B$4="LINEAR",LinearInterpolation($B$8:$B$17,$D$8:$D$17,L20),SplineInterpolation($B$8:$B$17,$D$8:$D$17,L20))</f>
        <v>9.4499999999999993</v>
      </c>
      <c r="K20" s="61">
        <f t="shared" si="0"/>
        <v>1.9242412551069388E-2</v>
      </c>
      <c r="L20" s="83">
        <f t="shared" si="1"/>
        <v>15</v>
      </c>
      <c r="M20" s="62">
        <f>'Bootstrapping USD OIS'!K20</f>
        <v>0.80044995698883037</v>
      </c>
      <c r="N20" s="63">
        <f>SUMPRODUCT($G$6:G20,$H$6:H20,$M$6:M20,$I$6:I20)+SUMPRODUCT($G$6:G20,$H$6:H20,$M$6:M20)*J20/10000</f>
        <v>233227.92191338609</v>
      </c>
      <c r="P20" s="69">
        <f t="shared" si="4"/>
        <v>15</v>
      </c>
      <c r="Q20" s="88">
        <v>1000000</v>
      </c>
      <c r="R20" s="59">
        <v>1</v>
      </c>
      <c r="S20" s="61">
        <f>'Bootstrapping USD SWAP 3ML'!Q20</f>
        <v>1.9131706971013004E-2</v>
      </c>
      <c r="T20" s="83">
        <f t="shared" si="2"/>
        <v>15</v>
      </c>
      <c r="U20" s="62">
        <f>'Bootstrapping USD OIS'!S20</f>
        <v>0.80044995698883037</v>
      </c>
      <c r="V20" s="63">
        <f>SUMPRODUCT($Q$6:Q20,$R$6:R20,$S$6:S20,$U$6:U20)</f>
        <v>233227.92191338609</v>
      </c>
    </row>
    <row r="21" spans="2:22">
      <c r="F21" s="69">
        <f t="shared" si="3"/>
        <v>16</v>
      </c>
      <c r="G21" s="81">
        <v>1000000</v>
      </c>
      <c r="H21" s="82">
        <v>1</v>
      </c>
      <c r="I21" s="97">
        <f>(V21-SUMPRODUCT($G$6:G20,$H$6:H20,$I$6:I20,$M$6:M20)-SUMPRODUCT($G$6:G21,$H$6:H21,$M$6:M21)*J21/10000)/(G21*H21*M21)</f>
        <v>1.8327333796813745E-2</v>
      </c>
      <c r="J21" s="92">
        <f>IF($B$4="LINEAR",LinearInterpolation($B$8:$B$17,$D$8:$D$17,L21),SplineInterpolation($B$8:$B$17,$D$8:$D$17,L21))</f>
        <v>9.3984219754687377</v>
      </c>
      <c r="K21" s="61">
        <f t="shared" si="0"/>
        <v>1.9267175994360619E-2</v>
      </c>
      <c r="L21" s="83">
        <f t="shared" si="1"/>
        <v>16</v>
      </c>
      <c r="M21" s="62">
        <f>'Bootstrapping USD OIS'!K21</f>
        <v>0.78706983509572859</v>
      </c>
      <c r="N21" s="63">
        <f>SUMPRODUCT($G$6:G21,$H$6:H21,$M$6:M21,$I$6:I21)+SUMPRODUCT($G$6:G21,$H$6:H21,$M$6:M21)*J21/10000</f>
        <v>248323.14223013705</v>
      </c>
      <c r="P21" s="69">
        <f t="shared" si="4"/>
        <v>16</v>
      </c>
      <c r="Q21" s="88">
        <v>1000000</v>
      </c>
      <c r="R21" s="59">
        <v>1</v>
      </c>
      <c r="S21" s="61">
        <f>'Bootstrapping USD SWAP 3ML'!Q21</f>
        <v>1.9179010100056723E-2</v>
      </c>
      <c r="T21" s="83">
        <f t="shared" si="2"/>
        <v>16</v>
      </c>
      <c r="U21" s="62">
        <f>'Bootstrapping USD OIS'!S21</f>
        <v>0.78706983509572859</v>
      </c>
      <c r="V21" s="63">
        <f>SUMPRODUCT($Q$6:Q21,$R$6:R21,$S$6:S21,$U$6:U21)</f>
        <v>248323.14223013705</v>
      </c>
    </row>
    <row r="22" spans="2:22">
      <c r="F22" s="69">
        <f t="shared" si="3"/>
        <v>17</v>
      </c>
      <c r="G22" s="81">
        <v>1000000</v>
      </c>
      <c r="H22" s="82">
        <v>1</v>
      </c>
      <c r="I22" s="97">
        <f>(V22-SUMPRODUCT($G$6:G21,$H$6:H21,$I$6:I21,$M$6:M21)-SUMPRODUCT($G$6:G22,$H$6:H22,$M$6:M22)*J22/10000)/(G22*H22*M22)</f>
        <v>1.8340692934800663E-2</v>
      </c>
      <c r="J22" s="92">
        <f>IF($B$4="LINEAR",LinearInterpolation($B$8:$B$17,$D$8:$D$17,L22),SplineInterpolation($B$8:$B$17,$D$8:$D$17,L22))</f>
        <v>9.3608064060693206</v>
      </c>
      <c r="K22" s="61">
        <f t="shared" si="0"/>
        <v>1.9276773575407594E-2</v>
      </c>
      <c r="L22" s="83">
        <f t="shared" si="1"/>
        <v>17</v>
      </c>
      <c r="M22" s="62">
        <f>'Bootstrapping USD OIS'!K22</f>
        <v>0.77401654971836098</v>
      </c>
      <c r="N22" s="63">
        <f>SUMPRODUCT($G$6:G22,$H$6:H22,$M$6:M22,$I$6:I22)+SUMPRODUCT($G$6:G22,$H$6:H22,$M$6:M22)*J22/10000</f>
        <v>263190.11566892179</v>
      </c>
      <c r="P22" s="69">
        <f t="shared" si="4"/>
        <v>17</v>
      </c>
      <c r="Q22" s="88">
        <v>1000000</v>
      </c>
      <c r="R22" s="59">
        <v>1</v>
      </c>
      <c r="S22" s="61">
        <f>'Bootstrapping USD SWAP 3ML'!Q22</f>
        <v>1.9207565321690268E-2</v>
      </c>
      <c r="T22" s="83">
        <f t="shared" si="2"/>
        <v>17</v>
      </c>
      <c r="U22" s="62">
        <f>'Bootstrapping USD OIS'!S22</f>
        <v>0.77401654971836098</v>
      </c>
      <c r="V22" s="63">
        <f>SUMPRODUCT($Q$6:Q22,$R$6:R22,$S$6:S22,$U$6:U22)</f>
        <v>263190.11566892179</v>
      </c>
    </row>
    <row r="23" spans="2:22">
      <c r="F23" s="69">
        <f t="shared" si="3"/>
        <v>18</v>
      </c>
      <c r="G23" s="81">
        <v>1000000</v>
      </c>
      <c r="H23" s="82">
        <v>1</v>
      </c>
      <c r="I23" s="97">
        <f>(V23-SUMPRODUCT($G$6:G22,$H$6:H22,$I$6:I22,$M$6:M22)-SUMPRODUCT($G$6:G23,$H$6:H23,$M$6:M23)*J23/10000)/(G23*H23*M23)</f>
        <v>1.8319774329164769E-2</v>
      </c>
      <c r="J23" s="92">
        <f>IF($B$4="LINEAR",LinearInterpolation($B$8:$B$17,$D$8:$D$17,L23),SplineInterpolation($B$8:$B$17,$D$8:$D$17,L23))</f>
        <v>9.3373798489355337</v>
      </c>
      <c r="K23" s="61">
        <f t="shared" si="0"/>
        <v>1.9253512314058321E-2</v>
      </c>
      <c r="L23" s="83">
        <f t="shared" si="1"/>
        <v>18</v>
      </c>
      <c r="M23" s="62">
        <f>'Bootstrapping USD OIS'!K23</f>
        <v>0.76128318980517651</v>
      </c>
      <c r="N23" s="63">
        <f>SUMPRODUCT($G$6:G23,$H$6:H23,$M$6:M23,$I$6:I23)+SUMPRODUCT($G$6:G23,$H$6:H23,$M$6:M23)*J23/10000</f>
        <v>277812.31592315983</v>
      </c>
      <c r="P23" s="69">
        <f t="shared" si="4"/>
        <v>18</v>
      </c>
      <c r="Q23" s="88">
        <v>1000000</v>
      </c>
      <c r="R23" s="59">
        <v>1</v>
      </c>
      <c r="S23" s="61">
        <f>'Bootstrapping USD SWAP 3ML'!Q23</f>
        <v>1.9207307412081528E-2</v>
      </c>
      <c r="T23" s="83">
        <f t="shared" si="2"/>
        <v>18</v>
      </c>
      <c r="U23" s="62">
        <f>'Bootstrapping USD OIS'!S23</f>
        <v>0.76128318980517651</v>
      </c>
      <c r="V23" s="63">
        <f>SUMPRODUCT($Q$6:Q23,$R$6:R23,$S$6:S23,$U$6:U23)</f>
        <v>277812.31592315983</v>
      </c>
    </row>
    <row r="24" spans="2:22">
      <c r="F24" s="69">
        <f t="shared" si="3"/>
        <v>19</v>
      </c>
      <c r="G24" s="81">
        <v>1000000</v>
      </c>
      <c r="H24" s="82">
        <v>1</v>
      </c>
      <c r="I24" s="97">
        <f>(V24-SUMPRODUCT($G$6:G23,$H$6:H23,$I$6:I23,$M$6:M23)-SUMPRODUCT($G$6:G24,$H$6:H24,$M$6:M24)*J24/10000)/(G24*H24*M24)</f>
        <v>1.8265733217587274E-2</v>
      </c>
      <c r="J24" s="92">
        <f>IF($B$4="LINEAR",LinearInterpolation($B$8:$B$17,$D$8:$D$17,L24),SplineInterpolation($B$8:$B$17,$D$8:$D$17,L24))</f>
        <v>9.3283688612011648</v>
      </c>
      <c r="K24" s="61">
        <f t="shared" si="0"/>
        <v>1.9198570103707392E-2</v>
      </c>
      <c r="L24" s="83">
        <f t="shared" si="1"/>
        <v>19</v>
      </c>
      <c r="M24" s="62">
        <f>'Bootstrapping USD OIS'!K24</f>
        <v>0.74885091207236831</v>
      </c>
      <c r="N24" s="63">
        <f>SUMPRODUCT($G$6:G24,$H$6:H24,$M$6:M24,$I$6:I24)+SUMPRODUCT($G$6:G24,$H$6:H24,$M$6:M24)*J24/10000</f>
        <v>292174.96665113291</v>
      </c>
      <c r="P24" s="69">
        <f t="shared" si="4"/>
        <v>19</v>
      </c>
      <c r="Q24" s="88">
        <v>1000000</v>
      </c>
      <c r="R24" s="59">
        <v>1</v>
      </c>
      <c r="S24" s="61">
        <f>'Bootstrapping USD SWAP 3ML'!Q24</f>
        <v>1.9179586345466175E-2</v>
      </c>
      <c r="T24" s="83">
        <f t="shared" si="2"/>
        <v>19</v>
      </c>
      <c r="U24" s="62">
        <f>'Bootstrapping USD OIS'!S24</f>
        <v>0.74885091207236831</v>
      </c>
      <c r="V24" s="63">
        <f>SUMPRODUCT($Q$6:Q24,$R$6:R24,$S$6:S24,$U$6:U24)</f>
        <v>292174.96665113291</v>
      </c>
    </row>
    <row r="25" spans="2:22">
      <c r="F25" s="69">
        <f t="shared" si="3"/>
        <v>20</v>
      </c>
      <c r="G25" s="81">
        <v>1000000</v>
      </c>
      <c r="H25" s="82">
        <v>1</v>
      </c>
      <c r="I25" s="97">
        <f>(V25-SUMPRODUCT($G$6:G24,$H$6:H24,$I$6:I24,$M$6:M24)-SUMPRODUCT($G$6:G25,$H$6:H25,$M$6:M25)*J25/10000)/(G25*H25*M25)</f>
        <v>1.8179782219987787E-2</v>
      </c>
      <c r="J25" s="92">
        <f>IF($B$4="LINEAR",LinearInterpolation($B$8:$B$17,$D$8:$D$17,L25),SplineInterpolation($B$8:$B$17,$D$8:$D$17,L25))</f>
        <v>9.3339999999999996</v>
      </c>
      <c r="K25" s="61">
        <f t="shared" si="0"/>
        <v>1.9113182219987788E-2</v>
      </c>
      <c r="L25" s="83">
        <f t="shared" si="1"/>
        <v>20</v>
      </c>
      <c r="M25" s="62">
        <f>'Bootstrapping USD OIS'!K25</f>
        <v>0.73668960927843929</v>
      </c>
      <c r="N25" s="63">
        <f>SUMPRODUCT($G$6:G25,$H$6:H25,$M$6:M25,$I$6:I25)+SUMPRODUCT($G$6:G25,$H$6:H25,$M$6:M25)*J25/10000</f>
        <v>306264.75493474788</v>
      </c>
      <c r="P25" s="69">
        <f t="shared" si="4"/>
        <v>20</v>
      </c>
      <c r="Q25" s="88">
        <v>1000000</v>
      </c>
      <c r="R25" s="59">
        <v>1</v>
      </c>
      <c r="S25" s="61">
        <f>'Bootstrapping USD SWAP 3ML'!Q25</f>
        <v>1.9125813783929167E-2</v>
      </c>
      <c r="T25" s="83">
        <f t="shared" si="2"/>
        <v>20</v>
      </c>
      <c r="U25" s="62">
        <f>'Bootstrapping USD OIS'!S25</f>
        <v>0.73668960927843929</v>
      </c>
      <c r="V25" s="63">
        <f>SUMPRODUCT($Q$6:Q25,$R$6:R25,$S$6:S25,$U$6:U25)</f>
        <v>306264.75493474788</v>
      </c>
    </row>
    <row r="26" spans="2:22">
      <c r="F26" s="69">
        <f t="shared" si="3"/>
        <v>21</v>
      </c>
      <c r="G26" s="81">
        <v>1000000</v>
      </c>
      <c r="H26" s="82">
        <v>1</v>
      </c>
      <c r="I26" s="97">
        <f>(V26-SUMPRODUCT($G$6:G25,$H$6:H25,$I$6:I25,$M$6:M25)-SUMPRODUCT($G$6:G26,$H$6:H26,$M$6:M26)*J26/10000)/(G26*H26*M26)</f>
        <v>1.8066026495204848E-2</v>
      </c>
      <c r="J26" s="92">
        <f>IF($B$4="LINEAR",LinearInterpolation($B$8:$B$17,$D$8:$D$17,L26),SplineInterpolation($B$8:$B$17,$D$8:$D$17,L26))</f>
        <v>9.3542142515490774</v>
      </c>
      <c r="K26" s="61">
        <f t="shared" si="0"/>
        <v>1.9001447920359755E-2</v>
      </c>
      <c r="L26" s="83">
        <f t="shared" si="1"/>
        <v>21</v>
      </c>
      <c r="M26" s="62">
        <f>'Bootstrapping USD OIS'!K26</f>
        <v>0.72476674860907797</v>
      </c>
      <c r="N26" s="63">
        <f>SUMPRODUCT($G$6:G26,$H$6:H26,$M$6:M26,$I$6:I26)+SUMPRODUCT($G$6:G26,$H$6:H26,$M$6:M26)*J26/10000</f>
        <v>320071.26608171273</v>
      </c>
      <c r="P26" s="69">
        <f t="shared" si="4"/>
        <v>21</v>
      </c>
      <c r="Q26" s="88">
        <v>1000000</v>
      </c>
      <c r="R26" s="59">
        <v>1</v>
      </c>
      <c r="S26" s="61">
        <f>'Bootstrapping USD SWAP 3ML'!Q26</f>
        <v>1.9049592401226122E-2</v>
      </c>
      <c r="T26" s="83">
        <f t="shared" si="2"/>
        <v>21</v>
      </c>
      <c r="U26" s="62">
        <f>'Bootstrapping USD OIS'!S26</f>
        <v>0.72476674860907797</v>
      </c>
      <c r="V26" s="63">
        <f>SUMPRODUCT($Q$6:Q26,$R$6:R26,$S$6:S26,$U$6:U26)</f>
        <v>320071.26608171273</v>
      </c>
    </row>
    <row r="27" spans="2:22">
      <c r="F27" s="69">
        <f t="shared" si="3"/>
        <v>22</v>
      </c>
      <c r="G27" s="81">
        <v>1000000</v>
      </c>
      <c r="H27" s="82">
        <v>1</v>
      </c>
      <c r="I27" s="97">
        <f>(V27-SUMPRODUCT($G$6:G26,$H$6:H26,$I$6:I26,$M$6:M26)-SUMPRODUCT($G$6:G27,$H$6:H27,$M$6:M27)*J27/10000)/(G27*H27*M27)</f>
        <v>1.7938396777226261E-2</v>
      </c>
      <c r="J27" s="92">
        <f>IF($B$4="LINEAR",LinearInterpolation($B$8:$B$17,$D$8:$D$17,L27),SplineInterpolation($B$8:$B$17,$D$8:$D$17,L27))</f>
        <v>9.3878103183984472</v>
      </c>
      <c r="K27" s="61">
        <f t="shared" si="0"/>
        <v>1.8877177809066108E-2</v>
      </c>
      <c r="L27" s="83">
        <f t="shared" si="1"/>
        <v>22</v>
      </c>
      <c r="M27" s="62">
        <f>'Bootstrapping USD OIS'!K27</f>
        <v>0.71307505689340323</v>
      </c>
      <c r="N27" s="63">
        <f>SUMPRODUCT($G$6:G27,$H$6:H27,$M$6:M27,$I$6:I27)+SUMPRODUCT($G$6:G27,$H$6:H27,$M$6:M27)*J27/10000</f>
        <v>333592.53864827374</v>
      </c>
      <c r="P27" s="69">
        <f t="shared" si="4"/>
        <v>22</v>
      </c>
      <c r="Q27" s="88">
        <v>1000000</v>
      </c>
      <c r="R27" s="59">
        <v>1</v>
      </c>
      <c r="S27" s="61">
        <f>'Bootstrapping USD SWAP 3ML'!Q27</f>
        <v>1.8961920538166133E-2</v>
      </c>
      <c r="T27" s="83">
        <f t="shared" si="2"/>
        <v>22</v>
      </c>
      <c r="U27" s="62">
        <f>'Bootstrapping USD OIS'!S27</f>
        <v>0.71307505689340323</v>
      </c>
      <c r="V27" s="63">
        <f>SUMPRODUCT($Q$6:Q27,$R$6:R27,$S$6:S27,$U$6:U27)</f>
        <v>333592.53864827374</v>
      </c>
    </row>
    <row r="28" spans="2:22">
      <c r="F28" s="69">
        <f t="shared" si="3"/>
        <v>23</v>
      </c>
      <c r="G28" s="81">
        <v>1000000</v>
      </c>
      <c r="H28" s="82">
        <v>1</v>
      </c>
      <c r="I28" s="97">
        <f>(V28-SUMPRODUCT($G$6:G27,$H$6:H27,$I$6:I27,$M$6:M27)-SUMPRODUCT($G$6:G28,$H$6:H28,$M$6:M28)*J28/10000)/(G28*H28*M28)</f>
        <v>1.7804393484011142E-2</v>
      </c>
      <c r="J28" s="92">
        <f>IF($B$4="LINEAR",LinearInterpolation($B$8:$B$17,$D$8:$D$17,L28),SplineInterpolation($B$8:$B$17,$D$8:$D$17,L28))</f>
        <v>9.4333013321814079</v>
      </c>
      <c r="K28" s="61">
        <f t="shared" si="0"/>
        <v>1.8747723617229282E-2</v>
      </c>
      <c r="L28" s="83">
        <f t="shared" si="1"/>
        <v>23</v>
      </c>
      <c r="M28" s="62">
        <f>'Bootstrapping USD OIS'!K28</f>
        <v>0.70161236844629349</v>
      </c>
      <c r="N28" s="63">
        <f>SUMPRODUCT($G$6:G28,$H$6:H28,$M$6:M28,$I$6:I28)+SUMPRODUCT($G$6:G28,$H$6:H28,$M$6:M28)*J28/10000</f>
        <v>346831.24016945635</v>
      </c>
      <c r="P28" s="69">
        <f t="shared" si="4"/>
        <v>23</v>
      </c>
      <c r="Q28" s="88">
        <v>1000000</v>
      </c>
      <c r="R28" s="59">
        <v>1</v>
      </c>
      <c r="S28" s="61">
        <f>'Bootstrapping USD SWAP 3ML'!Q28</f>
        <v>1.8868968274461075E-2</v>
      </c>
      <c r="T28" s="83">
        <f t="shared" si="2"/>
        <v>23</v>
      </c>
      <c r="U28" s="62">
        <f>'Bootstrapping USD OIS'!S28</f>
        <v>0.70161236844629349</v>
      </c>
      <c r="V28" s="63">
        <f>SUMPRODUCT($Q$6:Q28,$R$6:R28,$S$6:S28,$U$6:U28)</f>
        <v>346831.24016945635</v>
      </c>
    </row>
    <row r="29" spans="2:22">
      <c r="F29" s="69">
        <f t="shared" si="3"/>
        <v>24</v>
      </c>
      <c r="G29" s="81">
        <v>1000000</v>
      </c>
      <c r="H29" s="82">
        <v>1</v>
      </c>
      <c r="I29" s="97">
        <f>(V29-SUMPRODUCT($G$6:G28,$H$6:H28,$I$6:I28,$M$6:M28)-SUMPRODUCT($G$6:G29,$H$6:H29,$M$6:M29)*J29/10000)/(G29*H29*M29)</f>
        <v>1.7669062910830164E-2</v>
      </c>
      <c r="J29" s="92">
        <f>IF($B$4="LINEAR",LinearInterpolation($B$8:$B$17,$D$8:$D$17,L29),SplineInterpolation($B$8:$B$17,$D$8:$D$17,L29))</f>
        <v>9.489200424531262</v>
      </c>
      <c r="K29" s="61">
        <f t="shared" si="0"/>
        <v>1.8617982953283291E-2</v>
      </c>
      <c r="L29" s="83">
        <f t="shared" si="1"/>
        <v>24</v>
      </c>
      <c r="M29" s="62">
        <f>'Bootstrapping USD OIS'!K29</f>
        <v>0.69037411037637619</v>
      </c>
      <c r="N29" s="63">
        <f>SUMPRODUCT($G$6:G29,$H$6:H29,$M$6:M29,$I$6:I29)+SUMPRODUCT($G$6:G29,$H$6:H29,$M$6:M29)*J29/10000</f>
        <v>359793.06506480352</v>
      </c>
      <c r="P29" s="69">
        <f t="shared" si="4"/>
        <v>24</v>
      </c>
      <c r="Q29" s="88">
        <v>1000000</v>
      </c>
      <c r="R29" s="59">
        <v>1</v>
      </c>
      <c r="S29" s="61">
        <f>'Bootstrapping USD SWAP 3ML'!Q29</f>
        <v>1.8775073833925619E-2</v>
      </c>
      <c r="T29" s="83">
        <f t="shared" si="2"/>
        <v>24</v>
      </c>
      <c r="U29" s="62">
        <f>'Bootstrapping USD OIS'!S29</f>
        <v>0.69037411037637619</v>
      </c>
      <c r="V29" s="63">
        <f>SUMPRODUCT($Q$6:Q29,$R$6:R29,$S$6:S29,$U$6:U29)</f>
        <v>359793.06506480352</v>
      </c>
    </row>
    <row r="30" spans="2:22">
      <c r="F30" s="69">
        <f t="shared" si="3"/>
        <v>25</v>
      </c>
      <c r="G30" s="81">
        <v>1000000</v>
      </c>
      <c r="H30" s="82">
        <v>1</v>
      </c>
      <c r="I30" s="97">
        <f>(V30-SUMPRODUCT($G$6:G29,$H$6:H29,$I$6:I29,$M$6:M29)-SUMPRODUCT($G$6:G30,$H$6:H30,$M$6:M30)*J30/10000)/(G30*H30*M30)</f>
        <v>1.7537585557436803E-2</v>
      </c>
      <c r="J30" s="92">
        <f>IF($B$4="LINEAR",LinearInterpolation($B$8:$B$17,$D$8:$D$17,L30),SplineInterpolation($B$8:$B$17,$D$8:$D$17,L30))</f>
        <v>9.5540207270813102</v>
      </c>
      <c r="K30" s="61">
        <f t="shared" si="0"/>
        <v>1.8492987630144935E-2</v>
      </c>
      <c r="L30" s="83">
        <f t="shared" si="1"/>
        <v>25</v>
      </c>
      <c r="M30" s="62">
        <f>'Bootstrapping USD OIS'!K30</f>
        <v>0.67935343274514559</v>
      </c>
      <c r="N30" s="63">
        <f>SUMPRODUCT($G$6:G30,$H$6:H30,$M$6:M30,$I$6:I30)+SUMPRODUCT($G$6:G30,$H$6:H30,$M$6:M30)*J30/10000</f>
        <v>372486.57449880481</v>
      </c>
      <c r="P30" s="69">
        <f t="shared" si="4"/>
        <v>25</v>
      </c>
      <c r="Q30" s="88">
        <v>1000000</v>
      </c>
      <c r="R30" s="59">
        <v>1</v>
      </c>
      <c r="S30" s="61">
        <f>'Bootstrapping USD SWAP 3ML'!Q30</f>
        <v>1.8684691682073481E-2</v>
      </c>
      <c r="T30" s="83">
        <f t="shared" si="2"/>
        <v>25</v>
      </c>
      <c r="U30" s="62">
        <f>'Bootstrapping USD OIS'!S30</f>
        <v>0.67935343274514559</v>
      </c>
      <c r="V30" s="63">
        <f>SUMPRODUCT($Q$6:Q30,$R$6:R30,$S$6:S30,$U$6:U30)</f>
        <v>372486.57449880481</v>
      </c>
    </row>
    <row r="31" spans="2:22">
      <c r="F31" s="69">
        <f t="shared" si="3"/>
        <v>26</v>
      </c>
      <c r="G31" s="81">
        <v>1000000</v>
      </c>
      <c r="H31" s="82">
        <v>1</v>
      </c>
      <c r="I31" s="97">
        <f>(V31-SUMPRODUCT($G$6:G30,$H$6:H30,$I$6:I30,$M$6:M30)-SUMPRODUCT($G$6:G31,$H$6:H31,$M$6:M31)*J31/10000)/(G31*H31*M31)</f>
        <v>1.7415275630259245E-2</v>
      </c>
      <c r="J31" s="92">
        <f>IF($B$4="LINEAR",LinearInterpolation($B$8:$B$17,$D$8:$D$17,L31),SplineInterpolation($B$8:$B$17,$D$8:$D$17,L31))</f>
        <v>9.626275371464855</v>
      </c>
      <c r="K31" s="61">
        <f t="shared" si="0"/>
        <v>1.8377903167405729E-2</v>
      </c>
      <c r="L31" s="83">
        <f t="shared" si="1"/>
        <v>26</v>
      </c>
      <c r="M31" s="62">
        <f>'Bootstrapping USD OIS'!K31</f>
        <v>0.6685413335502125</v>
      </c>
      <c r="N31" s="63">
        <f>SUMPRODUCT($G$6:G31,$H$6:H31,$M$6:M31,$I$6:I31)+SUMPRODUCT($G$6:G31,$H$6:H31,$M$6:M31)*J31/10000</f>
        <v>384923.04267348541</v>
      </c>
      <c r="P31" s="69">
        <f t="shared" si="4"/>
        <v>26</v>
      </c>
      <c r="Q31" s="88">
        <v>1000000</v>
      </c>
      <c r="R31" s="59">
        <v>1</v>
      </c>
      <c r="S31" s="61">
        <f>'Bootstrapping USD SWAP 3ML'!Q31</f>
        <v>1.8602392328740777E-2</v>
      </c>
      <c r="T31" s="83">
        <f t="shared" si="2"/>
        <v>26</v>
      </c>
      <c r="U31" s="62">
        <f>'Bootstrapping USD OIS'!S31</f>
        <v>0.6685413335502125</v>
      </c>
      <c r="V31" s="63">
        <f>SUMPRODUCT($Q$6:Q31,$R$6:R31,$S$6:S31,$U$6:U31)</f>
        <v>384923.04267348541</v>
      </c>
    </row>
    <row r="32" spans="2:22">
      <c r="F32" s="69">
        <f t="shared" si="3"/>
        <v>27</v>
      </c>
      <c r="G32" s="81">
        <v>1000000</v>
      </c>
      <c r="H32" s="82">
        <v>1</v>
      </c>
      <c r="I32" s="97">
        <f>(V32-SUMPRODUCT($G$6:G31,$H$6:H31,$I$6:I31,$M$6:M31)-SUMPRODUCT($G$6:G32,$H$6:H32,$M$6:M32)*J32/10000)/(G32*H32*M32)</f>
        <v>1.730758149983538E-2</v>
      </c>
      <c r="J32" s="92">
        <f>IF($B$4="LINEAR",LinearInterpolation($B$8:$B$17,$D$8:$D$17,L32),SplineInterpolation($B$8:$B$17,$D$8:$D$17,L32))</f>
        <v>9.7044774893151953</v>
      </c>
      <c r="K32" s="61">
        <f t="shared" si="0"/>
        <v>1.8278029248766901E-2</v>
      </c>
      <c r="L32" s="83">
        <f t="shared" si="1"/>
        <v>27</v>
      </c>
      <c r="M32" s="62">
        <f>'Bootstrapping USD OIS'!K32</f>
        <v>0.65792677857211113</v>
      </c>
      <c r="N32" s="63">
        <f>SUMPRODUCT($G$6:G32,$H$6:H32,$M$6:M32,$I$6:I32)+SUMPRODUCT($G$6:G32,$H$6:H32,$M$6:M32)*J32/10000</f>
        <v>397116.30950430158</v>
      </c>
      <c r="P32" s="69">
        <f t="shared" si="4"/>
        <v>27</v>
      </c>
      <c r="Q32" s="88">
        <v>1000000</v>
      </c>
      <c r="R32" s="59">
        <v>1</v>
      </c>
      <c r="S32" s="61">
        <f>'Bootstrapping USD SWAP 3ML'!Q32</f>
        <v>1.8532862968853515E-2</v>
      </c>
      <c r="T32" s="83">
        <f t="shared" si="2"/>
        <v>27</v>
      </c>
      <c r="U32" s="62">
        <f>'Bootstrapping USD OIS'!S32</f>
        <v>0.65792677857211113</v>
      </c>
      <c r="V32" s="63">
        <f>SUMPRODUCT($Q$6:Q32,$R$6:R32,$S$6:S32,$U$6:U32)</f>
        <v>397116.30950430158</v>
      </c>
    </row>
    <row r="33" spans="6:22">
      <c r="F33" s="69">
        <f t="shared" si="3"/>
        <v>28</v>
      </c>
      <c r="G33" s="81">
        <v>1000000</v>
      </c>
      <c r="H33" s="82">
        <v>1</v>
      </c>
      <c r="I33" s="97">
        <f>(V33-SUMPRODUCT($G$6:G32,$H$6:H32,$I$6:I32,$M$6:M32)-SUMPRODUCT($G$6:G33,$H$6:H33,$M$6:M33)*J33/10000)/(G33*H33*M33)</f>
        <v>1.7220087631982368E-2</v>
      </c>
      <c r="J33" s="92">
        <f>IF($B$4="LINEAR",LinearInterpolation($B$8:$B$17,$D$8:$D$17,L33),SplineInterpolation($B$8:$B$17,$D$8:$D$17,L33))</f>
        <v>9.7871402122656299</v>
      </c>
      <c r="K33" s="61">
        <f t="shared" si="0"/>
        <v>1.8198801653208932E-2</v>
      </c>
      <c r="L33" s="83">
        <f t="shared" si="1"/>
        <v>28</v>
      </c>
      <c r="M33" s="62">
        <f>'Bootstrapping USD OIS'!K33</f>
        <v>0.6474968162223933</v>
      </c>
      <c r="N33" s="63">
        <f>SUMPRODUCT($G$6:G33,$H$6:H33,$M$6:M33,$I$6:I33)+SUMPRODUCT($G$6:G33,$H$6:H33,$M$6:M33)*J33/10000</f>
        <v>409082.63950695511</v>
      </c>
      <c r="P33" s="69">
        <f t="shared" si="4"/>
        <v>28</v>
      </c>
      <c r="Q33" s="88">
        <v>1000000</v>
      </c>
      <c r="R33" s="59">
        <v>1</v>
      </c>
      <c r="S33" s="61">
        <f>'Bootstrapping USD SWAP 3ML'!Q33</f>
        <v>1.8480909408122092E-2</v>
      </c>
      <c r="T33" s="83">
        <f t="shared" si="2"/>
        <v>28</v>
      </c>
      <c r="U33" s="62">
        <f>'Bootstrapping USD OIS'!S33</f>
        <v>0.6474968162223933</v>
      </c>
      <c r="V33" s="63">
        <f>SUMPRODUCT($Q$6:Q33,$R$6:R33,$S$6:S33,$U$6:U33)</f>
        <v>409082.63950695511</v>
      </c>
    </row>
    <row r="34" spans="6:22">
      <c r="F34" s="69">
        <f t="shared" si="3"/>
        <v>29</v>
      </c>
      <c r="G34" s="81">
        <v>1000000</v>
      </c>
      <c r="H34" s="82">
        <v>1</v>
      </c>
      <c r="I34" s="97">
        <f>(V34-SUMPRODUCT($G$6:G33,$H$6:H33,$I$6:I33,$M$6:M33)-SUMPRODUCT($G$6:G34,$H$6:H34,$M$6:M34)*J34/10000)/(G34*H34*M34)</f>
        <v>1.7158518564976265E-2</v>
      </c>
      <c r="J34" s="92">
        <f>IF($B$4="LINEAR",LinearInterpolation($B$8:$B$17,$D$8:$D$17,L34),SplineInterpolation($B$8:$B$17,$D$8:$D$17,L34))</f>
        <v>9.8727766719494667</v>
      </c>
      <c r="K34" s="61">
        <f t="shared" si="0"/>
        <v>1.8145796232171212E-2</v>
      </c>
      <c r="L34" s="83">
        <f t="shared" si="1"/>
        <v>29</v>
      </c>
      <c r="M34" s="62">
        <f>'Bootstrapping USD OIS'!K34</f>
        <v>0.63723668761981112</v>
      </c>
      <c r="N34" s="63">
        <f>SUMPRODUCT($G$6:G34,$H$6:H34,$M$6:M34,$I$6:I34)+SUMPRODUCT($G$6:G34,$H$6:H34,$M$6:M34)*J34/10000</f>
        <v>420840.58661071386</v>
      </c>
      <c r="P34" s="69">
        <f t="shared" si="4"/>
        <v>29</v>
      </c>
      <c r="Q34" s="88">
        <v>1000000</v>
      </c>
      <c r="R34" s="59">
        <v>1</v>
      </c>
      <c r="S34" s="61">
        <f>'Bootstrapping USD SWAP 3ML'!Q34</f>
        <v>1.8451459767134106E-2</v>
      </c>
      <c r="T34" s="83">
        <f t="shared" si="2"/>
        <v>29</v>
      </c>
      <c r="U34" s="62">
        <f>'Bootstrapping USD OIS'!S34</f>
        <v>0.63723668761981112</v>
      </c>
      <c r="V34" s="63">
        <f>SUMPRODUCT($Q$6:Q34,$R$6:R34,$S$6:S34,$U$6:U34)</f>
        <v>420840.58661071386</v>
      </c>
    </row>
    <row r="35" spans="6:22">
      <c r="F35" s="69">
        <f t="shared" si="3"/>
        <v>30</v>
      </c>
      <c r="G35" s="84">
        <v>1000000</v>
      </c>
      <c r="H35" s="85">
        <v>1</v>
      </c>
      <c r="I35" s="98">
        <f>(V35-SUMPRODUCT($G$6:G34,$H$6:H34,$I$6:I34,$M$6:M34)-SUMPRODUCT($G$6:G35,$H$6:H35,$M$6:M35)*J35/10000)/(G35*H35*M35)</f>
        <v>1.712874556332605E-2</v>
      </c>
      <c r="J35" s="96">
        <f>IF($B$4="LINEAR",LinearInterpolation($B$8:$B$17,$D$8:$D$17,L35),SplineInterpolation($B$8:$B$17,$D$8:$D$17,L35))</f>
        <v>9.9598999999999993</v>
      </c>
      <c r="K35" s="41">
        <f t="shared" si="0"/>
        <v>1.8124735563326048E-2</v>
      </c>
      <c r="L35" s="86">
        <f t="shared" si="1"/>
        <v>30</v>
      </c>
      <c r="M35" s="42">
        <f>'Bootstrapping USD OIS'!K35</f>
        <v>0.62712993220175961</v>
      </c>
      <c r="N35" s="43">
        <f>SUMPRODUCT($G$6:G35,$H$6:H35,$M$6:M35,$I$6:I35)+SUMPRODUCT($G$6:G35,$H$6:H35,$M$6:M35)*J35/10000</f>
        <v>432410.86451256881</v>
      </c>
      <c r="P35" s="69">
        <f t="shared" si="4"/>
        <v>30</v>
      </c>
      <c r="Q35" s="89">
        <v>1000000</v>
      </c>
      <c r="R35" s="39">
        <v>1</v>
      </c>
      <c r="S35" s="41">
        <f>'Bootstrapping USD SWAP 3ML'!Q35</f>
        <v>1.8449570508034002E-2</v>
      </c>
      <c r="T35" s="86">
        <f t="shared" si="2"/>
        <v>30</v>
      </c>
      <c r="U35" s="42">
        <f>'Bootstrapping USD OIS'!S35</f>
        <v>0.62712993220175961</v>
      </c>
      <c r="V35" s="43">
        <f>SUMPRODUCT($Q$6:Q35,$R$6:R35,$S$6:S35,$U$6:U35)</f>
        <v>432410.86451256881</v>
      </c>
    </row>
    <row r="36" spans="6:22">
      <c r="G36" s="115" t="s">
        <v>100</v>
      </c>
    </row>
    <row r="37" spans="6:22">
      <c r="J37" s="112"/>
    </row>
    <row r="38" spans="6:22">
      <c r="J38" s="112"/>
    </row>
    <row r="39" spans="6:22">
      <c r="J39" s="112"/>
    </row>
    <row r="40" spans="6:22">
      <c r="J40" s="112"/>
    </row>
    <row r="41" spans="6:22">
      <c r="J41" s="114"/>
    </row>
  </sheetData>
  <dataValidations disablePrompts="1"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 N7:N35 I7:I35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B1:AI55"/>
  <sheetViews>
    <sheetView showGridLines="0" zoomScaleNormal="100" workbookViewId="0">
      <selection activeCell="M7" sqref="M7"/>
    </sheetView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2" style="20" customWidth="1"/>
    <col min="18" max="18" width="14.140625" style="20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79</v>
      </c>
    </row>
    <row r="2" spans="2:35">
      <c r="F2" s="70"/>
      <c r="G2" s="71"/>
      <c r="H2" s="68"/>
    </row>
    <row r="4" spans="2:35" ht="15.75">
      <c r="B4" s="24" t="s">
        <v>57</v>
      </c>
      <c r="F4" s="24" t="s">
        <v>90</v>
      </c>
      <c r="G4" s="24"/>
      <c r="P4" s="24" t="s">
        <v>89</v>
      </c>
      <c r="Q4" s="24"/>
      <c r="S4" s="110" t="s">
        <v>88</v>
      </c>
      <c r="X4" s="105" t="s">
        <v>70</v>
      </c>
    </row>
    <row r="5" spans="2:35" ht="18.75">
      <c r="B5" s="91" t="s">
        <v>58</v>
      </c>
      <c r="F5" s="69" t="s">
        <v>16</v>
      </c>
      <c r="G5" s="20" t="s">
        <v>32</v>
      </c>
      <c r="H5" s="20" t="s">
        <v>49</v>
      </c>
      <c r="I5" s="20" t="s">
        <v>60</v>
      </c>
      <c r="J5" s="20" t="s">
        <v>59</v>
      </c>
      <c r="K5" s="20" t="s">
        <v>62</v>
      </c>
      <c r="L5" s="20" t="s">
        <v>31</v>
      </c>
      <c r="M5" s="20" t="s">
        <v>33</v>
      </c>
      <c r="N5" s="20" t="s">
        <v>42</v>
      </c>
      <c r="P5" s="69" t="s">
        <v>16</v>
      </c>
      <c r="Q5" s="20" t="s">
        <v>32</v>
      </c>
      <c r="R5" s="20" t="s">
        <v>50</v>
      </c>
      <c r="S5" s="103" t="s">
        <v>68</v>
      </c>
      <c r="T5" s="20" t="s">
        <v>34</v>
      </c>
      <c r="U5" s="20" t="s">
        <v>35</v>
      </c>
      <c r="V5" s="20" t="s">
        <v>42</v>
      </c>
      <c r="X5" s="104" t="s">
        <v>71</v>
      </c>
    </row>
    <row r="6" spans="2:35">
      <c r="F6" s="69">
        <v>0</v>
      </c>
      <c r="G6" s="78"/>
      <c r="H6" s="79"/>
      <c r="I6" s="52"/>
      <c r="J6" s="52"/>
      <c r="K6" s="52"/>
      <c r="L6" s="80">
        <v>0</v>
      </c>
      <c r="M6" s="53">
        <f>'Bootstrapping USD OIS'!K5</f>
        <v>1</v>
      </c>
      <c r="N6" s="54"/>
      <c r="P6" s="69">
        <v>0</v>
      </c>
      <c r="Q6" s="87"/>
      <c r="R6" s="50"/>
      <c r="S6" s="99">
        <v>0</v>
      </c>
      <c r="T6" s="80">
        <v>0</v>
      </c>
      <c r="U6" s="53">
        <f>'Bootstrapping USD OIS'!S5</f>
        <v>1</v>
      </c>
      <c r="V6" s="54"/>
    </row>
    <row r="7" spans="2:35">
      <c r="B7" s="24" t="s">
        <v>98</v>
      </c>
      <c r="F7" s="69">
        <v>1</v>
      </c>
      <c r="G7" s="81">
        <v>1000000</v>
      </c>
      <c r="H7" s="82">
        <v>1</v>
      </c>
      <c r="I7" s="61">
        <f>'Bootstrapping USD SWAP 3ML'!Q6</f>
        <v>1.7821699999999999E-2</v>
      </c>
      <c r="J7" s="92">
        <f>IF($B$5="LINEAR",LinearInterpolation($B$9:$B$17,$D$9:$D$17,L7),SplineInterpolation($B$9:$B$17,$D$9:$D$17,L7))</f>
        <v>13.049200000000001</v>
      </c>
      <c r="K7" s="61">
        <f t="shared" ref="K7:K36" si="0">I7+J7/10000</f>
        <v>1.912662E-2</v>
      </c>
      <c r="L7" s="83">
        <v>1</v>
      </c>
      <c r="M7" s="62">
        <f>'Bootstrapping USD OIS'!K6</f>
        <v>0.98561776698241588</v>
      </c>
      <c r="N7" s="63">
        <f>SUMPRODUCT($G$7:G7,$H$7:H7,$M$7:M7,K7)</f>
        <v>18851.536494321215</v>
      </c>
      <c r="P7" s="69">
        <v>1</v>
      </c>
      <c r="Q7" s="88">
        <v>1000000</v>
      </c>
      <c r="R7" s="59">
        <v>1</v>
      </c>
      <c r="S7" s="97">
        <f>N7/(Q7*R7*U7)</f>
        <v>1.912662E-2</v>
      </c>
      <c r="T7" s="83">
        <v>1</v>
      </c>
      <c r="U7" s="62">
        <f>'Bootstrapping USD OIS'!S6</f>
        <v>0.98561776698241588</v>
      </c>
      <c r="V7" s="63">
        <f>Q7*R7*S7*U7</f>
        <v>18851.536494321215</v>
      </c>
    </row>
    <row r="8" spans="2:35">
      <c r="B8" s="69" t="s">
        <v>48</v>
      </c>
      <c r="C8" s="20" t="s">
        <v>5</v>
      </c>
      <c r="D8" s="67" t="s">
        <v>64</v>
      </c>
      <c r="F8" s="69">
        <f>F7+1</f>
        <v>2</v>
      </c>
      <c r="G8" s="81">
        <v>1000000</v>
      </c>
      <c r="H8" s="82">
        <v>1</v>
      </c>
      <c r="I8" s="61">
        <f>'Bootstrapping USD SWAP 3ML'!Q7</f>
        <v>1.4764245331243235E-2</v>
      </c>
      <c r="J8" s="92">
        <f>IF($B$5="LINEAR",LinearInterpolation($B$9:$B$17,$D$9:$D$17,L8),SplineInterpolation($B$9:$B$17,$D$9:$D$17,L8))</f>
        <v>11.5</v>
      </c>
      <c r="K8" s="61">
        <f t="shared" si="0"/>
        <v>1.5914245331243235E-2</v>
      </c>
      <c r="L8" s="83">
        <f t="shared" ref="L8:L36" si="1">L7+1</f>
        <v>2</v>
      </c>
      <c r="M8" s="62">
        <f>'Bootstrapping USD OIS'!K7</f>
        <v>0.97455557786257074</v>
      </c>
      <c r="N8" s="63">
        <f>SUMPRODUCT($G$7:G8,$H$7:H8,$M$7:M8,$K$7:K8)</f>
        <v>34360.853049357684</v>
      </c>
      <c r="P8" s="69">
        <f>P7+1</f>
        <v>2</v>
      </c>
      <c r="Q8" s="88">
        <v>1000000</v>
      </c>
      <c r="R8" s="59">
        <v>1</v>
      </c>
      <c r="S8" s="97">
        <f>(N8-V7)/(Q8*R8*U8)</f>
        <v>1.5914245331243235E-2</v>
      </c>
      <c r="T8" s="83">
        <f t="shared" ref="T8:T36" si="2">T7+1</f>
        <v>2</v>
      </c>
      <c r="U8" s="62">
        <f>'Bootstrapping USD OIS'!S7</f>
        <v>0.97455557786257074</v>
      </c>
      <c r="V8" s="63">
        <f>SUMPRODUCT($Q$7:Q8,$R$7:R8,$S$7:S8,$U$7:U8)</f>
        <v>34360.853049357684</v>
      </c>
    </row>
    <row r="9" spans="2:35">
      <c r="B9" s="72">
        <v>1</v>
      </c>
      <c r="C9" s="73" t="s">
        <v>63</v>
      </c>
      <c r="D9" s="109">
        <v>13.049200000000001</v>
      </c>
      <c r="F9" s="69">
        <f t="shared" ref="F9:F36" si="3">F8+1</f>
        <v>3</v>
      </c>
      <c r="G9" s="81">
        <v>1000000</v>
      </c>
      <c r="H9" s="82">
        <v>1</v>
      </c>
      <c r="I9" s="61">
        <f>'Bootstrapping USD SWAP 3ML'!Q8</f>
        <v>1.4382960011591651E-2</v>
      </c>
      <c r="J9" s="92">
        <f>IF($B$5="LINEAR",LinearInterpolation($B$9:$B$17,$D$9:$D$17,L9),SplineInterpolation($B$9:$B$17,$D$9:$D$17,L9))</f>
        <v>11.75</v>
      </c>
      <c r="K9" s="61">
        <f t="shared" si="0"/>
        <v>1.5557960011591652E-2</v>
      </c>
      <c r="L9" s="83">
        <f t="shared" si="1"/>
        <v>3</v>
      </c>
      <c r="M9" s="62">
        <f>'Bootstrapping USD OIS'!K8</f>
        <v>0.96306806041014703</v>
      </c>
      <c r="N9" s="63">
        <f>SUMPRODUCT($G$7:G9,$H$7:H9,$M$7:M9,$K$7:K9)</f>
        <v>49344.227421659889</v>
      </c>
      <c r="P9" s="69">
        <f t="shared" ref="P9:P36" si="4">P8+1</f>
        <v>3</v>
      </c>
      <c r="Q9" s="88">
        <v>1000000</v>
      </c>
      <c r="R9" s="59">
        <v>1</v>
      </c>
      <c r="S9" s="97">
        <f t="shared" ref="S9:S36" si="5">(N9-V8)/(Q9*R9*U9)</f>
        <v>1.5557960011591656E-2</v>
      </c>
      <c r="T9" s="83">
        <f t="shared" si="2"/>
        <v>3</v>
      </c>
      <c r="U9" s="62">
        <f>'Bootstrapping USD OIS'!S8</f>
        <v>0.96306806041014703</v>
      </c>
      <c r="V9" s="63">
        <f>SUMPRODUCT($Q$7:Q9,$R$7:R9,$S$7:S9,$U$7:U9)</f>
        <v>49344.227421659889</v>
      </c>
    </row>
    <row r="10" spans="2:35">
      <c r="B10" s="72">
        <v>2</v>
      </c>
      <c r="C10" s="74" t="s">
        <v>38</v>
      </c>
      <c r="D10" s="94">
        <v>11.5</v>
      </c>
      <c r="F10" s="69">
        <f t="shared" si="3"/>
        <v>4</v>
      </c>
      <c r="G10" s="81">
        <v>1000000</v>
      </c>
      <c r="H10" s="82">
        <v>1</v>
      </c>
      <c r="I10" s="61">
        <f>'Bootstrapping USD SWAP 3ML'!Q9</f>
        <v>1.4422484137419504E-2</v>
      </c>
      <c r="J10" s="92">
        <f>IF($B$5="LINEAR",LinearInterpolation($B$9:$B$17,$D$9:$D$17,L10),SplineInterpolation($B$9:$B$17,$D$9:$D$17,L10))</f>
        <v>12.9932</v>
      </c>
      <c r="K10" s="61">
        <f t="shared" si="0"/>
        <v>1.5721804137419505E-2</v>
      </c>
      <c r="L10" s="83">
        <f t="shared" si="1"/>
        <v>4</v>
      </c>
      <c r="M10" s="62">
        <f>'Bootstrapping USD OIS'!K9</f>
        <v>0.9514045775482779</v>
      </c>
      <c r="N10" s="63">
        <f>SUMPRODUCT($G$7:G10,$H$7:H10,$M$7:M10,$K$7:K10)</f>
        <v>64302.023845318261</v>
      </c>
      <c r="P10" s="69">
        <f t="shared" si="4"/>
        <v>4</v>
      </c>
      <c r="Q10" s="88">
        <v>1000000</v>
      </c>
      <c r="R10" s="59">
        <v>1</v>
      </c>
      <c r="S10" s="97">
        <f t="shared" si="5"/>
        <v>1.5721804137419505E-2</v>
      </c>
      <c r="T10" s="83">
        <f t="shared" si="2"/>
        <v>4</v>
      </c>
      <c r="U10" s="62">
        <f>'Bootstrapping USD OIS'!S9</f>
        <v>0.9514045775482779</v>
      </c>
      <c r="V10" s="63">
        <f>SUMPRODUCT($Q$7:Q10,$R$7:R10,$S$7:S10,$U$7:U10)</f>
        <v>64302.023845318261</v>
      </c>
    </row>
    <row r="11" spans="2:35">
      <c r="B11" s="72">
        <v>3</v>
      </c>
      <c r="C11" s="74" t="s">
        <v>43</v>
      </c>
      <c r="D11" s="94">
        <v>11.75</v>
      </c>
      <c r="F11" s="69">
        <f t="shared" si="3"/>
        <v>5</v>
      </c>
      <c r="G11" s="81">
        <v>1000000</v>
      </c>
      <c r="H11" s="82">
        <v>1</v>
      </c>
      <c r="I11" s="61">
        <f>'Bootstrapping USD SWAP 3ML'!Q10</f>
        <v>1.5655387887041867E-2</v>
      </c>
      <c r="J11" s="92">
        <f>IF($B$5="LINEAR",LinearInterpolation($B$9:$B$17,$D$9:$D$17,L11),SplineInterpolation($B$9:$B$17,$D$9:$D$17,L11))</f>
        <v>12.590199999999999</v>
      </c>
      <c r="K11" s="61">
        <f t="shared" si="0"/>
        <v>1.6914407887041866E-2</v>
      </c>
      <c r="L11" s="83">
        <f t="shared" si="1"/>
        <v>5</v>
      </c>
      <c r="M11" s="62">
        <f>'Bootstrapping USD OIS'!K10</f>
        <v>0.939456404150946</v>
      </c>
      <c r="N11" s="63">
        <f>SUMPRODUCT($G$7:G11,$H$7:H11,$M$7:M11,$K$7:K11)</f>
        <v>80192.372657221014</v>
      </c>
      <c r="P11" s="69">
        <f t="shared" si="4"/>
        <v>5</v>
      </c>
      <c r="Q11" s="88">
        <v>1000000</v>
      </c>
      <c r="R11" s="59">
        <v>1</v>
      </c>
      <c r="S11" s="97">
        <f t="shared" si="5"/>
        <v>1.691440788704187E-2</v>
      </c>
      <c r="T11" s="83">
        <f t="shared" si="2"/>
        <v>5</v>
      </c>
      <c r="U11" s="62">
        <f>'Bootstrapping USD OIS'!S10</f>
        <v>0.939456404150946</v>
      </c>
      <c r="V11" s="63">
        <f>SUMPRODUCT($Q$7:Q11,$R$7:R11,$S$7:S11,$U$7:U11)</f>
        <v>80192.372657221014</v>
      </c>
    </row>
    <row r="12" spans="2:35">
      <c r="B12" s="72">
        <v>4</v>
      </c>
      <c r="C12" s="74" t="s">
        <v>44</v>
      </c>
      <c r="D12" s="94">
        <v>12.9932</v>
      </c>
      <c r="F12" s="69">
        <f t="shared" si="3"/>
        <v>6</v>
      </c>
      <c r="G12" s="81">
        <v>1000000</v>
      </c>
      <c r="H12" s="82">
        <v>1</v>
      </c>
      <c r="I12" s="61">
        <f>'Bootstrapping USD SWAP 3ML'!Q11</f>
        <v>1.65600550299243E-2</v>
      </c>
      <c r="J12" s="92">
        <f>IF($B$5="LINEAR",LinearInterpolation($B$9:$B$17,$D$9:$D$17,L12),SplineInterpolation($B$9:$B$17,$D$9:$D$17,L12))</f>
        <v>12.439745338308498</v>
      </c>
      <c r="K12" s="61">
        <f t="shared" si="0"/>
        <v>1.7804029563755149E-2</v>
      </c>
      <c r="L12" s="83">
        <f t="shared" si="1"/>
        <v>6</v>
      </c>
      <c r="M12" s="62">
        <f>'Bootstrapping USD OIS'!K11</f>
        <v>0.9269603591459189</v>
      </c>
      <c r="N12" s="63">
        <f>SUMPRODUCT($G$7:G12,$H$7:H12,$M$7:M12,$K$7:K12)</f>
        <v>96696.002295884042</v>
      </c>
      <c r="P12" s="69">
        <f t="shared" si="4"/>
        <v>6</v>
      </c>
      <c r="Q12" s="88">
        <v>1000000</v>
      </c>
      <c r="R12" s="59">
        <v>1</v>
      </c>
      <c r="S12" s="97">
        <f t="shared" si="5"/>
        <v>1.7804029563755146E-2</v>
      </c>
      <c r="T12" s="83">
        <f t="shared" si="2"/>
        <v>6</v>
      </c>
      <c r="U12" s="62">
        <f>'Bootstrapping USD OIS'!S11</f>
        <v>0.9269603591459189</v>
      </c>
      <c r="V12" s="63">
        <f>SUMPRODUCT($Q$7:Q12,$R$7:R12,$S$7:S12,$U$7:U12)</f>
        <v>96696.002295884042</v>
      </c>
    </row>
    <row r="13" spans="2:35">
      <c r="B13" s="72">
        <v>5</v>
      </c>
      <c r="C13" s="74" t="s">
        <v>39</v>
      </c>
      <c r="D13" s="94">
        <v>12.590199999999999</v>
      </c>
      <c r="F13" s="69">
        <f t="shared" si="3"/>
        <v>7</v>
      </c>
      <c r="G13" s="81">
        <v>1000000</v>
      </c>
      <c r="H13" s="82">
        <v>1</v>
      </c>
      <c r="I13" s="61">
        <f>'Bootstrapping USD SWAP 3ML'!Q12</f>
        <v>1.7244322629049669E-2</v>
      </c>
      <c r="J13" s="92">
        <f>IF($B$5="LINEAR",LinearInterpolation($B$9:$B$17,$D$9:$D$17,L13),SplineInterpolation($B$9:$B$17,$D$9:$D$17,L13))</f>
        <v>13.002943304925891</v>
      </c>
      <c r="K13" s="61">
        <f t="shared" si="0"/>
        <v>1.8544616959542258E-2</v>
      </c>
      <c r="L13" s="83">
        <f t="shared" si="1"/>
        <v>7</v>
      </c>
      <c r="M13" s="62">
        <f>'Bootstrapping USD OIS'!K12</f>
        <v>0.91382753075280565</v>
      </c>
      <c r="N13" s="63">
        <f>SUMPRODUCT($G$7:G13,$H$7:H13,$M$7:M13,$K$7:K13)</f>
        <v>113642.58382077914</v>
      </c>
      <c r="P13" s="69">
        <f t="shared" si="4"/>
        <v>7</v>
      </c>
      <c r="Q13" s="88">
        <v>1000000</v>
      </c>
      <c r="R13" s="59">
        <v>1</v>
      </c>
      <c r="S13" s="97">
        <f t="shared" si="5"/>
        <v>1.8544616959542251E-2</v>
      </c>
      <c r="T13" s="83">
        <f t="shared" si="2"/>
        <v>7</v>
      </c>
      <c r="U13" s="62">
        <f>'Bootstrapping USD OIS'!S12</f>
        <v>0.91382753075280565</v>
      </c>
      <c r="V13" s="63">
        <f>SUMPRODUCT($Q$7:Q13,$R$7:R13,$S$7:S13,$U$7:U13)</f>
        <v>113642.58382077914</v>
      </c>
    </row>
    <row r="14" spans="2:35">
      <c r="B14" s="72">
        <v>10</v>
      </c>
      <c r="C14" s="74" t="s">
        <v>40</v>
      </c>
      <c r="D14" s="94">
        <v>16.2502</v>
      </c>
      <c r="F14" s="69">
        <f t="shared" si="3"/>
        <v>8</v>
      </c>
      <c r="G14" s="81">
        <v>1000000</v>
      </c>
      <c r="H14" s="82">
        <v>1</v>
      </c>
      <c r="I14" s="61">
        <f>'Bootstrapping USD SWAP 3ML'!Q13</f>
        <v>1.7906598956265524E-2</v>
      </c>
      <c r="J14" s="92">
        <f>IF($B$5="LINEAR",LinearInterpolation($B$9:$B$17,$D$9:$D$17,L14),SplineInterpolation($B$9:$B$17,$D$9:$D$17,L14))</f>
        <v>14.007368602389036</v>
      </c>
      <c r="K14" s="61">
        <f t="shared" si="0"/>
        <v>1.9307335816504428E-2</v>
      </c>
      <c r="L14" s="83">
        <f t="shared" si="1"/>
        <v>8</v>
      </c>
      <c r="M14" s="62">
        <f>'Bootstrapping USD OIS'!K13</f>
        <v>0.90007301850839927</v>
      </c>
      <c r="N14" s="63">
        <f>SUMPRODUCT($G$7:G14,$H$7:H14,$M$7:M14,$K$7:K14)</f>
        <v>131020.59584849561</v>
      </c>
      <c r="P14" s="69">
        <f t="shared" si="4"/>
        <v>8</v>
      </c>
      <c r="Q14" s="88">
        <v>1000000</v>
      </c>
      <c r="R14" s="59">
        <v>1</v>
      </c>
      <c r="S14" s="97">
        <f t="shared" si="5"/>
        <v>1.9307335816504425E-2</v>
      </c>
      <c r="T14" s="83">
        <f t="shared" si="2"/>
        <v>8</v>
      </c>
      <c r="U14" s="62">
        <f>'Bootstrapping USD OIS'!S13</f>
        <v>0.90007301850839927</v>
      </c>
      <c r="V14" s="63">
        <f>SUMPRODUCT($Q$7:Q14,$R$7:R14,$S$7:S14,$U$7:U14)</f>
        <v>131020.59584849561</v>
      </c>
    </row>
    <row r="15" spans="2:35">
      <c r="B15" s="72">
        <v>15</v>
      </c>
      <c r="C15" s="74" t="s">
        <v>45</v>
      </c>
      <c r="D15" s="94">
        <v>17.605</v>
      </c>
      <c r="F15" s="69">
        <f t="shared" si="3"/>
        <v>9</v>
      </c>
      <c r="G15" s="81">
        <v>1000000</v>
      </c>
      <c r="H15" s="82">
        <v>1</v>
      </c>
      <c r="I15" s="61">
        <f>'Bootstrapping USD SWAP 3ML'!Q14</f>
        <v>1.8466767905690656E-2</v>
      </c>
      <c r="J15" s="92">
        <f>IF($B$5="LINEAR",LinearInterpolation($B$9:$B$17,$D$9:$D$17,L15),SplineInterpolation($B$9:$B$17,$D$9:$D$17,L15))</f>
        <v>15.180595933234789</v>
      </c>
      <c r="K15" s="61">
        <f t="shared" si="0"/>
        <v>1.9984827499014136E-2</v>
      </c>
      <c r="L15" s="83">
        <f t="shared" si="1"/>
        <v>9</v>
      </c>
      <c r="M15" s="62">
        <f>'Bootstrapping USD OIS'!K14</f>
        <v>0.8858199516068207</v>
      </c>
      <c r="N15" s="63">
        <f>SUMPRODUCT($G$7:G15,$H$7:H15,$M$7:M15,$K$7:K15)</f>
        <v>148723.55477654297</v>
      </c>
      <c r="P15" s="69">
        <f t="shared" si="4"/>
        <v>9</v>
      </c>
      <c r="Q15" s="88">
        <v>1000000</v>
      </c>
      <c r="R15" s="59">
        <v>1</v>
      </c>
      <c r="S15" s="97">
        <f t="shared" si="5"/>
        <v>1.9984827499014132E-2</v>
      </c>
      <c r="T15" s="83">
        <f t="shared" si="2"/>
        <v>9</v>
      </c>
      <c r="U15" s="62">
        <f>'Bootstrapping USD OIS'!S14</f>
        <v>0.8858199516068207</v>
      </c>
      <c r="V15" s="63">
        <f>SUMPRODUCT($Q$7:Q15,$R$7:R15,$S$7:S15,$U$7:U15)</f>
        <v>148723.55477654297</v>
      </c>
    </row>
    <row r="16" spans="2:35">
      <c r="B16" s="72">
        <v>20</v>
      </c>
      <c r="C16" s="74" t="s">
        <v>46</v>
      </c>
      <c r="D16" s="94">
        <v>17.089600000000001</v>
      </c>
      <c r="F16" s="69">
        <f t="shared" si="3"/>
        <v>10</v>
      </c>
      <c r="G16" s="81">
        <v>1000000</v>
      </c>
      <c r="H16" s="82">
        <v>1</v>
      </c>
      <c r="I16" s="61">
        <f>'Bootstrapping USD SWAP 3ML'!Q15</f>
        <v>1.8841749084910108E-2</v>
      </c>
      <c r="J16" s="92">
        <f>IF($B$5="LINEAR",LinearInterpolation($B$9:$B$17,$D$9:$D$17,L16),SplineInterpolation($B$9:$B$17,$D$9:$D$17,L16))</f>
        <v>16.2502</v>
      </c>
      <c r="K16" s="61">
        <f t="shared" si="0"/>
        <v>2.0466769084910109E-2</v>
      </c>
      <c r="L16" s="83">
        <f t="shared" si="1"/>
        <v>10</v>
      </c>
      <c r="M16" s="62">
        <f>'Bootstrapping USD OIS'!K15</f>
        <v>0.87129405478159427</v>
      </c>
      <c r="N16" s="63">
        <f>SUMPRODUCT($G$7:G16,$H$7:H16,$M$7:M16,$K$7:K16)</f>
        <v>166556.12900081289</v>
      </c>
      <c r="P16" s="69">
        <f t="shared" si="4"/>
        <v>10</v>
      </c>
      <c r="Q16" s="88">
        <v>1000000</v>
      </c>
      <c r="R16" s="59">
        <v>1</v>
      </c>
      <c r="S16" s="97">
        <f t="shared" si="5"/>
        <v>2.046676908491012E-2</v>
      </c>
      <c r="T16" s="83">
        <f t="shared" si="2"/>
        <v>10</v>
      </c>
      <c r="U16" s="62">
        <f>'Bootstrapping USD OIS'!S15</f>
        <v>0.87129405478159427</v>
      </c>
      <c r="V16" s="63">
        <f>SUMPRODUCT($Q$7:Q16,$R$7:R16,$S$7:S16,$U$7:U16)</f>
        <v>166556.12900081289</v>
      </c>
    </row>
    <row r="17" spans="2:22">
      <c r="B17" s="72">
        <v>30</v>
      </c>
      <c r="C17" s="76" t="s">
        <v>47</v>
      </c>
      <c r="D17" s="95">
        <v>19.1524</v>
      </c>
      <c r="F17" s="69">
        <f t="shared" si="3"/>
        <v>11</v>
      </c>
      <c r="G17" s="81">
        <v>1000000</v>
      </c>
      <c r="H17" s="82">
        <v>1</v>
      </c>
      <c r="I17" s="61">
        <f>'Bootstrapping USD SWAP 3ML'!Q16</f>
        <v>1.8992166739887056E-2</v>
      </c>
      <c r="J17" s="92">
        <f>IF($B$5="LINEAR",LinearInterpolation($B$9:$B$17,$D$9:$D$17,L17),SplineInterpolation($B$9:$B$17,$D$9:$D$17,L17))</f>
        <v>17.000523617530263</v>
      </c>
      <c r="K17" s="61">
        <f t="shared" si="0"/>
        <v>2.0692219101640083E-2</v>
      </c>
      <c r="L17" s="83">
        <f t="shared" si="1"/>
        <v>11</v>
      </c>
      <c r="M17" s="62">
        <f>'Bootstrapping USD OIS'!K16</f>
        <v>0.85676603329453049</v>
      </c>
      <c r="N17" s="63">
        <f>SUMPRODUCT($G$7:G17,$H$7:H17,$M$7:M17,$K$7:K17)</f>
        <v>184284.51948058637</v>
      </c>
      <c r="P17" s="69">
        <f t="shared" si="4"/>
        <v>11</v>
      </c>
      <c r="Q17" s="88">
        <v>1000000</v>
      </c>
      <c r="R17" s="59">
        <v>1</v>
      </c>
      <c r="S17" s="97">
        <f t="shared" si="5"/>
        <v>2.0692219101640083E-2</v>
      </c>
      <c r="T17" s="83">
        <f t="shared" si="2"/>
        <v>11</v>
      </c>
      <c r="U17" s="62">
        <f>'Bootstrapping USD OIS'!S16</f>
        <v>0.85676603329453049</v>
      </c>
      <c r="V17" s="63">
        <f>SUMPRODUCT($Q$7:Q17,$R$7:R17,$S$7:S17,$U$7:U17)</f>
        <v>184284.51948058637</v>
      </c>
    </row>
    <row r="18" spans="2:22">
      <c r="F18" s="69">
        <f t="shared" si="3"/>
        <v>12</v>
      </c>
      <c r="G18" s="81">
        <v>1000000</v>
      </c>
      <c r="H18" s="82">
        <v>1</v>
      </c>
      <c r="I18" s="61">
        <f>'Bootstrapping USD SWAP 3ML'!Q17</f>
        <v>1.9053553615376521E-2</v>
      </c>
      <c r="J18" s="92">
        <f>IF($B$5="LINEAR",LinearInterpolation($B$9:$B$17,$D$9:$D$17,L18),SplineInterpolation($B$9:$B$17,$D$9:$D$17,L18))</f>
        <v>17.442982049906117</v>
      </c>
      <c r="K18" s="61">
        <f t="shared" si="0"/>
        <v>2.0797851820367134E-2</v>
      </c>
      <c r="L18" s="83">
        <f t="shared" si="1"/>
        <v>12</v>
      </c>
      <c r="M18" s="62">
        <f>'Bootstrapping USD OIS'!K17</f>
        <v>0.84235672207273415</v>
      </c>
      <c r="N18" s="63">
        <f>SUMPRODUCT($G$7:G18,$H$7:H18,$M$7:M18,$K$7:K18)</f>
        <v>201803.72976614529</v>
      </c>
      <c r="P18" s="69">
        <f t="shared" si="4"/>
        <v>12</v>
      </c>
      <c r="Q18" s="88">
        <v>1000000</v>
      </c>
      <c r="R18" s="59">
        <v>1</v>
      </c>
      <c r="S18" s="97">
        <f t="shared" si="5"/>
        <v>2.0797851820367148E-2</v>
      </c>
      <c r="T18" s="83">
        <f t="shared" si="2"/>
        <v>12</v>
      </c>
      <c r="U18" s="62">
        <f>'Bootstrapping USD OIS'!S17</f>
        <v>0.84235672207273415</v>
      </c>
      <c r="V18" s="63">
        <f>SUMPRODUCT($Q$7:Q18,$R$7:R18,$S$7:S18,$U$7:U18)</f>
        <v>201803.72976614529</v>
      </c>
    </row>
    <row r="19" spans="2:22">
      <c r="F19" s="69">
        <f t="shared" si="3"/>
        <v>13</v>
      </c>
      <c r="G19" s="81">
        <v>1000000</v>
      </c>
      <c r="H19" s="82">
        <v>1</v>
      </c>
      <c r="I19" s="61">
        <f>'Bootstrapping USD SWAP 3ML'!Q18</f>
        <v>1.9083666855804232E-2</v>
      </c>
      <c r="J19" s="92">
        <f>IF($B$5="LINEAR",LinearInterpolation($B$9:$B$17,$D$9:$D$17,L19),SplineInterpolation($B$9:$B$17,$D$9:$D$17,L19))</f>
        <v>17.645758673516838</v>
      </c>
      <c r="K19" s="61">
        <f t="shared" si="0"/>
        <v>2.0848242723155917E-2</v>
      </c>
      <c r="L19" s="83">
        <f t="shared" si="1"/>
        <v>13</v>
      </c>
      <c r="M19" s="62">
        <f>'Bootstrapping USD OIS'!K18</f>
        <v>0.82813227953170776</v>
      </c>
      <c r="N19" s="63">
        <f>SUMPRODUCT($G$7:G19,$H$7:H19,$M$7:M19,$K$7:K19)</f>
        <v>219068.83253670274</v>
      </c>
      <c r="P19" s="69">
        <f t="shared" si="4"/>
        <v>13</v>
      </c>
      <c r="Q19" s="88">
        <v>1000000</v>
      </c>
      <c r="R19" s="59">
        <v>1</v>
      </c>
      <c r="S19" s="97">
        <f t="shared" si="5"/>
        <v>2.0848242723155924E-2</v>
      </c>
      <c r="T19" s="83">
        <f t="shared" si="2"/>
        <v>13</v>
      </c>
      <c r="U19" s="62">
        <f>'Bootstrapping USD OIS'!S18</f>
        <v>0.82813227953170776</v>
      </c>
      <c r="V19" s="63">
        <f>SUMPRODUCT($Q$7:Q19,$R$7:R19,$S$7:S19,$U$7:U19)</f>
        <v>219068.83253670274</v>
      </c>
    </row>
    <row r="20" spans="2:22">
      <c r="F20" s="69">
        <f t="shared" si="3"/>
        <v>14</v>
      </c>
      <c r="G20" s="81">
        <v>1000000</v>
      </c>
      <c r="H20" s="82">
        <v>1</v>
      </c>
      <c r="I20" s="61">
        <f>'Bootstrapping USD SWAP 3ML'!Q19</f>
        <v>1.9102760391370745E-2</v>
      </c>
      <c r="J20" s="92">
        <f>IF($B$5="LINEAR",LinearInterpolation($B$9:$B$17,$D$9:$D$17,L20),SplineInterpolation($B$9:$B$17,$D$9:$D$17,L20))</f>
        <v>17.67703686475171</v>
      </c>
      <c r="K20" s="61">
        <f t="shared" si="0"/>
        <v>2.0870464077845916E-2</v>
      </c>
      <c r="L20" s="83">
        <f t="shared" si="1"/>
        <v>14</v>
      </c>
      <c r="M20" s="62">
        <f>'Bootstrapping USD OIS'!K19</f>
        <v>0.81414823617061649</v>
      </c>
      <c r="N20" s="63">
        <f>SUMPRODUCT($G$7:G20,$H$7:H20,$M$7:M20,$K$7:K20)</f>
        <v>236060.48405374322</v>
      </c>
      <c r="P20" s="69">
        <f t="shared" si="4"/>
        <v>14</v>
      </c>
      <c r="Q20" s="88">
        <v>1000000</v>
      </c>
      <c r="R20" s="59">
        <v>1</v>
      </c>
      <c r="S20" s="97">
        <f t="shared" si="5"/>
        <v>2.0870464077845929E-2</v>
      </c>
      <c r="T20" s="83">
        <f t="shared" si="2"/>
        <v>14</v>
      </c>
      <c r="U20" s="62">
        <f>'Bootstrapping USD OIS'!S19</f>
        <v>0.81414823617061649</v>
      </c>
      <c r="V20" s="63">
        <f>SUMPRODUCT($Q$7:Q20,$R$7:R20,$S$7:S20,$U$7:U20)</f>
        <v>236060.48405374322</v>
      </c>
    </row>
    <row r="21" spans="2:22">
      <c r="F21" s="69">
        <f t="shared" si="3"/>
        <v>15</v>
      </c>
      <c r="G21" s="81">
        <v>1000000</v>
      </c>
      <c r="H21" s="82">
        <v>1</v>
      </c>
      <c r="I21" s="61">
        <f>'Bootstrapping USD SWAP 3ML'!Q20</f>
        <v>1.9131706971013004E-2</v>
      </c>
      <c r="J21" s="92">
        <f>IF($B$5="LINEAR",LinearInterpolation($B$9:$B$17,$D$9:$D$17,L21),SplineInterpolation($B$9:$B$17,$D$9:$D$17,L21))</f>
        <v>17.605</v>
      </c>
      <c r="K21" s="61">
        <f t="shared" si="0"/>
        <v>2.0892206971013006E-2</v>
      </c>
      <c r="L21" s="83">
        <f t="shared" si="1"/>
        <v>15</v>
      </c>
      <c r="M21" s="62">
        <f>'Bootstrapping USD OIS'!K20</f>
        <v>0.80044995698883037</v>
      </c>
      <c r="N21" s="63">
        <f>SUMPRODUCT($G$7:G21,$H$7:H21,$M$7:M21,$K$7:K21)</f>
        <v>252783.65022509231</v>
      </c>
      <c r="P21" s="69">
        <f t="shared" si="4"/>
        <v>15</v>
      </c>
      <c r="Q21" s="88">
        <v>1000000</v>
      </c>
      <c r="R21" s="59">
        <v>1</v>
      </c>
      <c r="S21" s="97">
        <f t="shared" si="5"/>
        <v>2.0892206971012992E-2</v>
      </c>
      <c r="T21" s="83">
        <f t="shared" si="2"/>
        <v>15</v>
      </c>
      <c r="U21" s="62">
        <f>'Bootstrapping USD OIS'!S20</f>
        <v>0.80044995698883037</v>
      </c>
      <c r="V21" s="63">
        <f>SUMPRODUCT($Q$7:Q21,$R$7:R21,$S$7:S21,$U$7:U21)</f>
        <v>252783.65022509231</v>
      </c>
    </row>
    <row r="22" spans="2:22">
      <c r="F22" s="69">
        <f t="shared" si="3"/>
        <v>16</v>
      </c>
      <c r="G22" s="81">
        <v>1000000</v>
      </c>
      <c r="H22" s="82">
        <v>1</v>
      </c>
      <c r="I22" s="61">
        <f>'Bootstrapping USD SWAP 3ML'!Q21</f>
        <v>1.9179010100056723E-2</v>
      </c>
      <c r="J22" s="92">
        <f>IF($B$5="LINEAR",LinearInterpolation($B$9:$B$17,$D$9:$D$17,L22),SplineInterpolation($B$9:$B$17,$D$9:$D$17,L22))</f>
        <v>17.489896191570455</v>
      </c>
      <c r="K22" s="61">
        <f t="shared" si="0"/>
        <v>2.0927999719213768E-2</v>
      </c>
      <c r="L22" s="83">
        <f t="shared" si="1"/>
        <v>16</v>
      </c>
      <c r="M22" s="62">
        <f>'Bootstrapping USD OIS'!K21</f>
        <v>0.78706983509572859</v>
      </c>
      <c r="N22" s="63">
        <f>SUMPRODUCT($G$7:G22,$H$7:H22,$M$7:M22,$K$7:K22)</f>
        <v>269255.44751297735</v>
      </c>
      <c r="P22" s="69">
        <f t="shared" si="4"/>
        <v>16</v>
      </c>
      <c r="Q22" s="88">
        <v>1000000</v>
      </c>
      <c r="R22" s="59">
        <v>1</v>
      </c>
      <c r="S22" s="97">
        <f t="shared" si="5"/>
        <v>2.0927999719213775E-2</v>
      </c>
      <c r="T22" s="83">
        <f t="shared" si="2"/>
        <v>16</v>
      </c>
      <c r="U22" s="62">
        <f>'Bootstrapping USD OIS'!S21</f>
        <v>0.78706983509572859</v>
      </c>
      <c r="V22" s="63">
        <f>SUMPRODUCT($Q$7:Q22,$R$7:R22,$S$7:S22,$U$7:U22)</f>
        <v>269255.44751297735</v>
      </c>
    </row>
    <row r="23" spans="2:22">
      <c r="F23" s="69">
        <f t="shared" si="3"/>
        <v>17</v>
      </c>
      <c r="G23" s="81">
        <v>1000000</v>
      </c>
      <c r="H23" s="82">
        <v>1</v>
      </c>
      <c r="I23" s="61">
        <f>'Bootstrapping USD SWAP 3ML'!Q22</f>
        <v>1.9207565321690268E-2</v>
      </c>
      <c r="J23" s="92">
        <f>IF($B$5="LINEAR",LinearInterpolation($B$9:$B$17,$D$9:$D$17,L23),SplineInterpolation($B$9:$B$17,$D$9:$D$17,L23))</f>
        <v>17.360232495449644</v>
      </c>
      <c r="K23" s="61">
        <f t="shared" si="0"/>
        <v>2.0943588571235232E-2</v>
      </c>
      <c r="L23" s="83">
        <f t="shared" si="1"/>
        <v>17</v>
      </c>
      <c r="M23" s="62">
        <f>'Bootstrapping USD OIS'!K22</f>
        <v>0.77401654971836098</v>
      </c>
      <c r="N23" s="63">
        <f>SUMPRODUCT($G$7:G23,$H$7:H23,$M$7:M23,$K$7:K23)</f>
        <v>285466.13167760574</v>
      </c>
      <c r="P23" s="69">
        <f t="shared" si="4"/>
        <v>17</v>
      </c>
      <c r="Q23" s="88">
        <v>1000000</v>
      </c>
      <c r="R23" s="59">
        <v>1</v>
      </c>
      <c r="S23" s="97">
        <f t="shared" si="5"/>
        <v>2.0943588571235225E-2</v>
      </c>
      <c r="T23" s="83">
        <f t="shared" si="2"/>
        <v>17</v>
      </c>
      <c r="U23" s="62">
        <f>'Bootstrapping USD OIS'!S22</f>
        <v>0.77401654971836098</v>
      </c>
      <c r="V23" s="63">
        <f>SUMPRODUCT($Q$7:Q23,$R$7:R23,$S$7:S23,$U$7:U23)</f>
        <v>285466.13167760574</v>
      </c>
    </row>
    <row r="24" spans="2:22">
      <c r="F24" s="69">
        <f t="shared" si="3"/>
        <v>18</v>
      </c>
      <c r="G24" s="81">
        <v>1000000</v>
      </c>
      <c r="H24" s="82">
        <v>1</v>
      </c>
      <c r="I24" s="61">
        <f>'Bootstrapping USD SWAP 3ML'!Q23</f>
        <v>1.9207307412081528E-2</v>
      </c>
      <c r="J24" s="92">
        <f>IF($B$5="LINEAR",LinearInterpolation($B$9:$B$17,$D$9:$D$17,L24),SplineInterpolation($B$9:$B$17,$D$9:$D$17,L24))</f>
        <v>17.236580703543606</v>
      </c>
      <c r="K24" s="61">
        <f t="shared" si="0"/>
        <v>2.0930965482435889E-2</v>
      </c>
      <c r="L24" s="83">
        <f t="shared" si="1"/>
        <v>18</v>
      </c>
      <c r="M24" s="62">
        <f>'Bootstrapping USD OIS'!K23</f>
        <v>0.76128318980517651</v>
      </c>
      <c r="N24" s="63">
        <f>SUMPRODUCT($G$7:G24,$H$7:H24,$M$7:M24,$K$7:K24)</f>
        <v>301400.52384577657</v>
      </c>
      <c r="P24" s="69">
        <f t="shared" si="4"/>
        <v>18</v>
      </c>
      <c r="Q24" s="88">
        <v>1000000</v>
      </c>
      <c r="R24" s="59">
        <v>1</v>
      </c>
      <c r="S24" s="97">
        <f t="shared" si="5"/>
        <v>2.0930965482435879E-2</v>
      </c>
      <c r="T24" s="83">
        <f t="shared" si="2"/>
        <v>18</v>
      </c>
      <c r="U24" s="62">
        <f>'Bootstrapping USD OIS'!S23</f>
        <v>0.76128318980517651</v>
      </c>
      <c r="V24" s="63">
        <f>SUMPRODUCT($Q$7:Q24,$R$7:R24,$S$7:S24,$U$7:U24)</f>
        <v>301400.52384577657</v>
      </c>
    </row>
    <row r="25" spans="2:22">
      <c r="F25" s="69">
        <f t="shared" si="3"/>
        <v>19</v>
      </c>
      <c r="G25" s="81">
        <v>1000000</v>
      </c>
      <c r="H25" s="82">
        <v>1</v>
      </c>
      <c r="I25" s="61">
        <f>'Bootstrapping USD SWAP 3ML'!Q24</f>
        <v>1.9179586345466175E-2</v>
      </c>
      <c r="J25" s="92">
        <f>IF($B$5="LINEAR",LinearInterpolation($B$9:$B$17,$D$9:$D$17,L25),SplineInterpolation($B$9:$B$17,$D$9:$D$17,L25))</f>
        <v>17.139512607758384</v>
      </c>
      <c r="K25" s="61">
        <f t="shared" si="0"/>
        <v>2.0893537606242012E-2</v>
      </c>
      <c r="L25" s="83">
        <f t="shared" si="1"/>
        <v>19</v>
      </c>
      <c r="M25" s="62">
        <f>'Bootstrapping USD OIS'!K24</f>
        <v>0.74885091207236831</v>
      </c>
      <c r="N25" s="63">
        <f>SUMPRODUCT($G$7:G25,$H$7:H25,$M$7:M25,$K$7:K25)</f>
        <v>317046.66853862919</v>
      </c>
      <c r="P25" s="69">
        <f t="shared" si="4"/>
        <v>19</v>
      </c>
      <c r="Q25" s="88">
        <v>1000000</v>
      </c>
      <c r="R25" s="59">
        <v>1</v>
      </c>
      <c r="S25" s="97">
        <f t="shared" si="5"/>
        <v>2.089353760624197E-2</v>
      </c>
      <c r="T25" s="83">
        <f t="shared" si="2"/>
        <v>19</v>
      </c>
      <c r="U25" s="62">
        <f>'Bootstrapping USD OIS'!S24</f>
        <v>0.74885091207236831</v>
      </c>
      <c r="V25" s="63">
        <f>SUMPRODUCT($Q$7:Q25,$R$7:R25,$S$7:S25,$U$7:U25)</f>
        <v>317046.66853862919</v>
      </c>
    </row>
    <row r="26" spans="2:22">
      <c r="F26" s="69">
        <f t="shared" si="3"/>
        <v>20</v>
      </c>
      <c r="G26" s="81">
        <v>1000000</v>
      </c>
      <c r="H26" s="82">
        <v>1</v>
      </c>
      <c r="I26" s="61">
        <f>'Bootstrapping USD SWAP 3ML'!Q25</f>
        <v>1.9125813783929167E-2</v>
      </c>
      <c r="J26" s="92">
        <f>IF($B$5="LINEAR",LinearInterpolation($B$9:$B$17,$D$9:$D$17,L26),SplineInterpolation($B$9:$B$17,$D$9:$D$17,L26))</f>
        <v>17.089600000000001</v>
      </c>
      <c r="K26" s="61">
        <f t="shared" si="0"/>
        <v>2.0834773783929166E-2</v>
      </c>
      <c r="L26" s="83">
        <f t="shared" si="1"/>
        <v>20</v>
      </c>
      <c r="M26" s="62">
        <f>'Bootstrapping USD OIS'!K25</f>
        <v>0.73668960927843929</v>
      </c>
      <c r="N26" s="63">
        <f>SUMPRODUCT($G$7:G26,$H$7:H26,$M$7:M26,$K$7:K26)</f>
        <v>332395.42989691661</v>
      </c>
      <c r="P26" s="69">
        <f t="shared" si="4"/>
        <v>20</v>
      </c>
      <c r="Q26" s="88">
        <v>1000000</v>
      </c>
      <c r="R26" s="59">
        <v>1</v>
      </c>
      <c r="S26" s="97">
        <f t="shared" si="5"/>
        <v>2.0834773783929127E-2</v>
      </c>
      <c r="T26" s="83">
        <f t="shared" si="2"/>
        <v>20</v>
      </c>
      <c r="U26" s="62">
        <f>'Bootstrapping USD OIS'!S25</f>
        <v>0.73668960927843929</v>
      </c>
      <c r="V26" s="63">
        <f>SUMPRODUCT($Q$7:Q26,$R$7:R26,$S$7:S26,$U$7:U26)</f>
        <v>332395.42989691661</v>
      </c>
    </row>
    <row r="27" spans="2:22">
      <c r="F27" s="69">
        <f t="shared" si="3"/>
        <v>21</v>
      </c>
      <c r="G27" s="81">
        <v>1000000</v>
      </c>
      <c r="H27" s="82">
        <v>1</v>
      </c>
      <c r="I27" s="61">
        <f>'Bootstrapping USD SWAP 3ML'!Q26</f>
        <v>1.9049592401226122E-2</v>
      </c>
      <c r="J27" s="92">
        <f>IF($B$5="LINEAR",LinearInterpolation($B$9:$B$17,$D$9:$D$17,L27),SplineInterpolation($B$9:$B$17,$D$9:$D$17,L27))</f>
        <v>17.102857252191285</v>
      </c>
      <c r="K27" s="61">
        <f t="shared" si="0"/>
        <v>2.0759878126445253E-2</v>
      </c>
      <c r="L27" s="83">
        <f t="shared" si="1"/>
        <v>21</v>
      </c>
      <c r="M27" s="62">
        <f>'Bootstrapping USD OIS'!K26</f>
        <v>0.72476674860907797</v>
      </c>
      <c r="N27" s="63">
        <f>SUMPRODUCT($G$7:G27,$H$7:H27,$M$7:M27,$K$7:K27)</f>
        <v>347441.49926814105</v>
      </c>
      <c r="P27" s="69">
        <f t="shared" si="4"/>
        <v>21</v>
      </c>
      <c r="Q27" s="88">
        <v>1000000</v>
      </c>
      <c r="R27" s="59">
        <v>1</v>
      </c>
      <c r="S27" s="97">
        <f t="shared" si="5"/>
        <v>2.0759878126445246E-2</v>
      </c>
      <c r="T27" s="83">
        <f t="shared" si="2"/>
        <v>21</v>
      </c>
      <c r="U27" s="62">
        <f>'Bootstrapping USD OIS'!S26</f>
        <v>0.72476674860907797</v>
      </c>
      <c r="V27" s="63">
        <f>SUMPRODUCT($Q$7:Q27,$R$7:R27,$S$7:S27,$U$7:U27)</f>
        <v>347441.49926814105</v>
      </c>
    </row>
    <row r="28" spans="2:22">
      <c r="F28" s="69">
        <f t="shared" si="3"/>
        <v>22</v>
      </c>
      <c r="G28" s="81">
        <v>1000000</v>
      </c>
      <c r="H28" s="82">
        <v>1</v>
      </c>
      <c r="I28" s="61">
        <f>'Bootstrapping USD SWAP 3ML'!Q27</f>
        <v>1.8961920538166133E-2</v>
      </c>
      <c r="J28" s="92">
        <f>IF($B$5="LINEAR",LinearInterpolation($B$9:$B$17,$D$9:$D$17,L28),SplineInterpolation($B$9:$B$17,$D$9:$D$17,L28))</f>
        <v>17.177069056322164</v>
      </c>
      <c r="K28" s="61">
        <f t="shared" si="0"/>
        <v>2.0679627443798351E-2</v>
      </c>
      <c r="L28" s="83">
        <f t="shared" si="1"/>
        <v>22</v>
      </c>
      <c r="M28" s="62">
        <f>'Bootstrapping USD OIS'!K27</f>
        <v>0.71307505689340323</v>
      </c>
      <c r="N28" s="63">
        <f>SUMPRODUCT($G$7:G28,$H$7:H28,$M$7:M28,$K$7:K28)</f>
        <v>362187.62578416197</v>
      </c>
      <c r="P28" s="69">
        <f t="shared" si="4"/>
        <v>22</v>
      </c>
      <c r="Q28" s="88">
        <v>1000000</v>
      </c>
      <c r="R28" s="59">
        <v>1</v>
      </c>
      <c r="S28" s="97">
        <f t="shared" si="5"/>
        <v>2.0679627443798386E-2</v>
      </c>
      <c r="T28" s="83">
        <f t="shared" si="2"/>
        <v>22</v>
      </c>
      <c r="U28" s="62">
        <f>'Bootstrapping USD OIS'!S27</f>
        <v>0.71307505689340323</v>
      </c>
      <c r="V28" s="63">
        <f>SUMPRODUCT($Q$7:Q28,$R$7:R28,$S$7:S28,$U$7:U28)</f>
        <v>362187.62578416197</v>
      </c>
    </row>
    <row r="29" spans="2:22">
      <c r="F29" s="69">
        <f t="shared" si="3"/>
        <v>23</v>
      </c>
      <c r="G29" s="81">
        <v>1000000</v>
      </c>
      <c r="H29" s="82">
        <v>1</v>
      </c>
      <c r="I29" s="61">
        <f>'Bootstrapping USD SWAP 3ML'!Q28</f>
        <v>1.8868968274461075E-2</v>
      </c>
      <c r="J29" s="92">
        <f>IF($B$5="LINEAR",LinearInterpolation($B$9:$B$17,$D$9:$D$17,L29),SplineInterpolation($B$9:$B$17,$D$9:$D$17,L29))</f>
        <v>17.305462684399345</v>
      </c>
      <c r="K29" s="61">
        <f t="shared" si="0"/>
        <v>2.0599514542901008E-2</v>
      </c>
      <c r="L29" s="83">
        <f t="shared" si="1"/>
        <v>23</v>
      </c>
      <c r="M29" s="62">
        <f>'Bootstrapping USD OIS'!K28</f>
        <v>0.70161236844629349</v>
      </c>
      <c r="N29" s="63">
        <f>SUMPRODUCT($G$7:G29,$H$7:H29,$M$7:M29,$K$7:K29)</f>
        <v>376640.4999714506</v>
      </c>
      <c r="P29" s="69">
        <f t="shared" si="4"/>
        <v>23</v>
      </c>
      <c r="Q29" s="88">
        <v>1000000</v>
      </c>
      <c r="R29" s="59">
        <v>1</v>
      </c>
      <c r="S29" s="97">
        <f t="shared" si="5"/>
        <v>2.0599514542900991E-2</v>
      </c>
      <c r="T29" s="83">
        <f t="shared" si="2"/>
        <v>23</v>
      </c>
      <c r="U29" s="62">
        <f>'Bootstrapping USD OIS'!S28</f>
        <v>0.70161236844629349</v>
      </c>
      <c r="V29" s="63">
        <f>SUMPRODUCT($Q$7:Q29,$R$7:R29,$S$7:S29,$U$7:U29)</f>
        <v>376640.4999714506</v>
      </c>
    </row>
    <row r="30" spans="2:22">
      <c r="F30" s="69">
        <f t="shared" si="3"/>
        <v>24</v>
      </c>
      <c r="G30" s="81">
        <v>1000000</v>
      </c>
      <c r="H30" s="82">
        <v>1</v>
      </c>
      <c r="I30" s="61">
        <f>'Bootstrapping USD SWAP 3ML'!Q29</f>
        <v>1.8775073833925619E-2</v>
      </c>
      <c r="J30" s="92">
        <f>IF($B$5="LINEAR",LinearInterpolation($B$9:$B$17,$D$9:$D$17,L30),SplineInterpolation($B$9:$B$17,$D$9:$D$17,L30))</f>
        <v>17.481265408429547</v>
      </c>
      <c r="K30" s="61">
        <f t="shared" si="0"/>
        <v>2.0523200374768576E-2</v>
      </c>
      <c r="L30" s="83">
        <f t="shared" si="1"/>
        <v>24</v>
      </c>
      <c r="M30" s="62">
        <f>'Bootstrapping USD OIS'!K29</f>
        <v>0.69037411037637619</v>
      </c>
      <c r="N30" s="63">
        <f>SUMPRODUCT($G$7:G30,$H$7:H30,$M$7:M30,$K$7:K30)</f>
        <v>390809.18617225758</v>
      </c>
      <c r="P30" s="69">
        <f t="shared" si="4"/>
        <v>24</v>
      </c>
      <c r="Q30" s="88">
        <v>1000000</v>
      </c>
      <c r="R30" s="59">
        <v>1</v>
      </c>
      <c r="S30" s="97">
        <f t="shared" si="5"/>
        <v>2.0523200374768607E-2</v>
      </c>
      <c r="T30" s="83">
        <f t="shared" si="2"/>
        <v>24</v>
      </c>
      <c r="U30" s="62">
        <f>'Bootstrapping USD OIS'!S29</f>
        <v>0.69037411037637619</v>
      </c>
      <c r="V30" s="63">
        <f>SUMPRODUCT($Q$7:Q30,$R$7:R30,$S$7:S30,$U$7:U30)</f>
        <v>390809.18617225758</v>
      </c>
    </row>
    <row r="31" spans="2:22">
      <c r="F31" s="69">
        <f t="shared" si="3"/>
        <v>25</v>
      </c>
      <c r="G31" s="81">
        <v>1000000</v>
      </c>
      <c r="H31" s="82">
        <v>1</v>
      </c>
      <c r="I31" s="61">
        <f>'Bootstrapping USD SWAP 3ML'!Q30</f>
        <v>1.8684691682073481E-2</v>
      </c>
      <c r="J31" s="92">
        <f>IF($B$5="LINEAR",LinearInterpolation($B$9:$B$17,$D$9:$D$17,L31),SplineInterpolation($B$9:$B$17,$D$9:$D$17,L31))</f>
        <v>17.697704500419484</v>
      </c>
      <c r="K31" s="61">
        <f t="shared" si="0"/>
        <v>2.0454462132115429E-2</v>
      </c>
      <c r="L31" s="83">
        <f t="shared" si="1"/>
        <v>25</v>
      </c>
      <c r="M31" s="62">
        <f>'Bootstrapping USD OIS'!K30</f>
        <v>0.67935343274514559</v>
      </c>
      <c r="N31" s="63">
        <f>SUMPRODUCT($G$7:G31,$H$7:H31,$M$7:M31,$K$7:K31)</f>
        <v>404704.99523666577</v>
      </c>
      <c r="P31" s="69">
        <f t="shared" si="4"/>
        <v>25</v>
      </c>
      <c r="Q31" s="88">
        <v>1000000</v>
      </c>
      <c r="R31" s="59">
        <v>1</v>
      </c>
      <c r="S31" s="97">
        <f t="shared" si="5"/>
        <v>2.0454462132115391E-2</v>
      </c>
      <c r="T31" s="83">
        <f t="shared" si="2"/>
        <v>25</v>
      </c>
      <c r="U31" s="62">
        <f>'Bootstrapping USD OIS'!S30</f>
        <v>0.67935343274514559</v>
      </c>
      <c r="V31" s="63">
        <f>SUMPRODUCT($Q$7:Q31,$R$7:R31,$S$7:S31,$U$7:U31)</f>
        <v>404704.99523666577</v>
      </c>
    </row>
    <row r="32" spans="2:22">
      <c r="F32" s="69">
        <f t="shared" si="3"/>
        <v>26</v>
      </c>
      <c r="G32" s="81">
        <v>1000000</v>
      </c>
      <c r="H32" s="82">
        <v>1</v>
      </c>
      <c r="I32" s="61">
        <f>'Bootstrapping USD SWAP 3ML'!Q31</f>
        <v>1.8602392328740777E-2</v>
      </c>
      <c r="J32" s="92">
        <f>IF($B$5="LINEAR",LinearInterpolation($B$9:$B$17,$D$9:$D$17,L32),SplineInterpolation($B$9:$B$17,$D$9:$D$17,L32))</f>
        <v>17.948007232375858</v>
      </c>
      <c r="K32" s="61">
        <f t="shared" si="0"/>
        <v>2.0397193051978364E-2</v>
      </c>
      <c r="L32" s="83">
        <f t="shared" si="1"/>
        <v>26</v>
      </c>
      <c r="M32" s="62">
        <f>'Bootstrapping USD OIS'!K31</f>
        <v>0.6685413335502125</v>
      </c>
      <c r="N32" s="63">
        <f>SUMPRODUCT($G$7:G32,$H$7:H32,$M$7:M32,$K$7:K32)</f>
        <v>418341.36188031652</v>
      </c>
      <c r="P32" s="69">
        <f t="shared" si="4"/>
        <v>26</v>
      </c>
      <c r="Q32" s="88">
        <v>1000000</v>
      </c>
      <c r="R32" s="59">
        <v>1</v>
      </c>
      <c r="S32" s="97">
        <f t="shared" si="5"/>
        <v>2.0397193051978367E-2</v>
      </c>
      <c r="T32" s="83">
        <f t="shared" si="2"/>
        <v>26</v>
      </c>
      <c r="U32" s="62">
        <f>'Bootstrapping USD OIS'!S31</f>
        <v>0.6685413335502125</v>
      </c>
      <c r="V32" s="63">
        <f>SUMPRODUCT($Q$7:Q32,$R$7:R32,$S$7:S32,$U$7:U32)</f>
        <v>418341.36188031652</v>
      </c>
    </row>
    <row r="33" spans="6:22">
      <c r="F33" s="69">
        <f t="shared" si="3"/>
        <v>27</v>
      </c>
      <c r="G33" s="81">
        <v>1000000</v>
      </c>
      <c r="H33" s="82">
        <v>1</v>
      </c>
      <c r="I33" s="61">
        <f>'Bootstrapping USD SWAP 3ML'!Q32</f>
        <v>1.8532862968853515E-2</v>
      </c>
      <c r="J33" s="92">
        <f>IF($B$5="LINEAR",LinearInterpolation($B$9:$B$17,$D$9:$D$17,L33),SplineInterpolation($B$9:$B$17,$D$9:$D$17,L33))</f>
        <v>18.225400876305383</v>
      </c>
      <c r="K33" s="61">
        <f t="shared" si="0"/>
        <v>2.0355403056484055E-2</v>
      </c>
      <c r="L33" s="83">
        <f t="shared" si="1"/>
        <v>27</v>
      </c>
      <c r="M33" s="62">
        <f>'Bootstrapping USD OIS'!K32</f>
        <v>0.65792677857211113</v>
      </c>
      <c r="N33" s="63">
        <f>SUMPRODUCT($G$7:G33,$H$7:H33,$M$7:M33,$K$7:K33)</f>
        <v>431733.726639806</v>
      </c>
      <c r="P33" s="69">
        <f t="shared" si="4"/>
        <v>27</v>
      </c>
      <c r="Q33" s="88">
        <v>1000000</v>
      </c>
      <c r="R33" s="59">
        <v>1</v>
      </c>
      <c r="S33" s="97">
        <f t="shared" si="5"/>
        <v>2.0355403056484096E-2</v>
      </c>
      <c r="T33" s="83">
        <f t="shared" si="2"/>
        <v>27</v>
      </c>
      <c r="U33" s="62">
        <f>'Bootstrapping USD OIS'!S32</f>
        <v>0.65792677857211113</v>
      </c>
      <c r="V33" s="63">
        <f>SUMPRODUCT($Q$7:Q33,$R$7:R33,$S$7:S33,$U$7:U33)</f>
        <v>431733.726639806</v>
      </c>
    </row>
    <row r="34" spans="6:22">
      <c r="F34" s="69">
        <f t="shared" si="3"/>
        <v>28</v>
      </c>
      <c r="G34" s="81">
        <v>1000000</v>
      </c>
      <c r="H34" s="82">
        <v>1</v>
      </c>
      <c r="I34" s="61">
        <f>'Bootstrapping USD SWAP 3ML'!Q33</f>
        <v>1.8480909408122092E-2</v>
      </c>
      <c r="J34" s="92">
        <f>IF($B$5="LINEAR",LinearInterpolation($B$9:$B$17,$D$9:$D$17,L34),SplineInterpolation($B$9:$B$17,$D$9:$D$17,L34))</f>
        <v>18.523112704214775</v>
      </c>
      <c r="K34" s="61">
        <f t="shared" si="0"/>
        <v>2.0333220678543568E-2</v>
      </c>
      <c r="L34" s="83">
        <f t="shared" si="1"/>
        <v>28</v>
      </c>
      <c r="M34" s="62">
        <f>'Bootstrapping USD OIS'!K33</f>
        <v>0.6474968162223933</v>
      </c>
      <c r="N34" s="63">
        <f>SUMPRODUCT($G$7:G34,$H$7:H34,$M$7:M34,$K$7:K34)</f>
        <v>444899.42229271028</v>
      </c>
      <c r="P34" s="69">
        <f t="shared" si="4"/>
        <v>28</v>
      </c>
      <c r="Q34" s="88">
        <v>1000000</v>
      </c>
      <c r="R34" s="59">
        <v>1</v>
      </c>
      <c r="S34" s="97">
        <f t="shared" si="5"/>
        <v>2.033322067854355E-2</v>
      </c>
      <c r="T34" s="83">
        <f t="shared" si="2"/>
        <v>28</v>
      </c>
      <c r="U34" s="62">
        <f>'Bootstrapping USD OIS'!S33</f>
        <v>0.6474968162223933</v>
      </c>
      <c r="V34" s="63">
        <f>SUMPRODUCT($Q$7:Q34,$R$7:R34,$S$7:S34,$U$7:U34)</f>
        <v>444899.42229271028</v>
      </c>
    </row>
    <row r="35" spans="6:22">
      <c r="F35" s="69">
        <f t="shared" si="3"/>
        <v>29</v>
      </c>
      <c r="G35" s="81">
        <v>1000000</v>
      </c>
      <c r="H35" s="82">
        <v>1</v>
      </c>
      <c r="I35" s="61">
        <f>'Bootstrapping USD SWAP 3ML'!Q34</f>
        <v>1.8451459767134106E-2</v>
      </c>
      <c r="J35" s="92">
        <f>IF($B$5="LINEAR",LinearInterpolation($B$9:$B$17,$D$9:$D$17,L35),SplineInterpolation($B$9:$B$17,$D$9:$D$17,L35))</f>
        <v>18.834369988110744</v>
      </c>
      <c r="K35" s="61">
        <f t="shared" si="0"/>
        <v>2.033489676594518E-2</v>
      </c>
      <c r="L35" s="83">
        <f t="shared" si="1"/>
        <v>29</v>
      </c>
      <c r="M35" s="62">
        <f>'Bootstrapping USD OIS'!K34</f>
        <v>0.63723668761981112</v>
      </c>
      <c r="N35" s="63">
        <f>SUMPRODUCT($G$7:G35,$H$7:H35,$M$7:M35,$K$7:K35)</f>
        <v>457857.56455093197</v>
      </c>
      <c r="P35" s="69">
        <f t="shared" si="4"/>
        <v>29</v>
      </c>
      <c r="Q35" s="88">
        <v>1000000</v>
      </c>
      <c r="R35" s="59">
        <v>1</v>
      </c>
      <c r="S35" s="97">
        <f t="shared" si="5"/>
        <v>2.0334896765945139E-2</v>
      </c>
      <c r="T35" s="83">
        <f t="shared" si="2"/>
        <v>29</v>
      </c>
      <c r="U35" s="62">
        <f>'Bootstrapping USD OIS'!S34</f>
        <v>0.63723668761981112</v>
      </c>
      <c r="V35" s="63">
        <f>SUMPRODUCT($Q$7:Q35,$R$7:R35,$S$7:S35,$U$7:U35)</f>
        <v>457857.56455093197</v>
      </c>
    </row>
    <row r="36" spans="6:22">
      <c r="F36" s="69">
        <f t="shared" si="3"/>
        <v>30</v>
      </c>
      <c r="G36" s="84">
        <v>1000000</v>
      </c>
      <c r="H36" s="85">
        <v>1</v>
      </c>
      <c r="I36" s="41">
        <f>'Bootstrapping USD SWAP 3ML'!Q35</f>
        <v>1.8449570508034002E-2</v>
      </c>
      <c r="J36" s="96">
        <f>IF($B$5="LINEAR",LinearInterpolation($B$9:$B$17,$D$9:$D$17,L36),SplineInterpolation($B$9:$B$17,$D$9:$D$17,L36))</f>
        <v>19.1524</v>
      </c>
      <c r="K36" s="41">
        <f t="shared" si="0"/>
        <v>2.0364810508034001E-2</v>
      </c>
      <c r="L36" s="86">
        <f t="shared" si="1"/>
        <v>30</v>
      </c>
      <c r="M36" s="42">
        <f>'Bootstrapping USD OIS'!K35</f>
        <v>0.62712993220175961</v>
      </c>
      <c r="N36" s="43">
        <f>SUMPRODUCT($G$7:G36,$H$7:H36,$M$7:M36,$K$7:K36)</f>
        <v>470628.94678413699</v>
      </c>
      <c r="P36" s="69">
        <f t="shared" si="4"/>
        <v>30</v>
      </c>
      <c r="Q36" s="89">
        <v>1000000</v>
      </c>
      <c r="R36" s="39">
        <v>1</v>
      </c>
      <c r="S36" s="98">
        <f t="shared" si="5"/>
        <v>2.0364810508033959E-2</v>
      </c>
      <c r="T36" s="86">
        <f t="shared" si="2"/>
        <v>30</v>
      </c>
      <c r="U36" s="42">
        <f>'Bootstrapping USD OIS'!S35</f>
        <v>0.62712993220175961</v>
      </c>
      <c r="V36" s="43">
        <f>SUMPRODUCT($Q$7:Q36,$R$7:R36,$S$7:S36,$U$7:U36)</f>
        <v>470628.94678413699</v>
      </c>
    </row>
    <row r="37" spans="6:22">
      <c r="G37" s="115" t="s">
        <v>100</v>
      </c>
    </row>
    <row r="55" spans="7:7">
      <c r="G55" s="113"/>
    </row>
  </sheetData>
  <dataValidations count="1">
    <dataValidation type="list" allowBlank="1" showInputMessage="1" showErrorMessage="1" sqref="B5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N8:N36 V8:V36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75"/>
  <sheetViews>
    <sheetView showGridLines="0" zoomScaleNormal="100" workbookViewId="0">
      <selection activeCell="I39" sqref="I39"/>
    </sheetView>
  </sheetViews>
  <sheetFormatPr defaultRowHeight="15"/>
  <cols>
    <col min="2" max="2" width="4.85546875" bestFit="1" customWidth="1"/>
    <col min="3" max="5" width="11.7109375" customWidth="1"/>
    <col min="6" max="6" width="11.140625" bestFit="1" customWidth="1"/>
    <col min="7" max="9" width="11.7109375" customWidth="1"/>
    <col min="13" max="13" width="10.85546875" bestFit="1" customWidth="1"/>
    <col min="14" max="14" width="12" bestFit="1" customWidth="1"/>
    <col min="15" max="15" width="10.85546875" bestFit="1" customWidth="1"/>
    <col min="16" max="16" width="12" bestFit="1" customWidth="1"/>
    <col min="17" max="17" width="11.140625" bestFit="1" customWidth="1"/>
    <col min="18" max="18" width="9.85546875" bestFit="1" customWidth="1"/>
  </cols>
  <sheetData>
    <row r="2" spans="3:26">
      <c r="C2" s="1" t="s">
        <v>0</v>
      </c>
    </row>
    <row r="3" spans="3:26">
      <c r="C3" s="2" t="s">
        <v>1</v>
      </c>
    </row>
    <row r="4" spans="3:26">
      <c r="C4" s="2" t="s">
        <v>2</v>
      </c>
    </row>
    <row r="8" spans="3:26">
      <c r="C8" s="1" t="s">
        <v>3</v>
      </c>
      <c r="H8" s="1" t="s">
        <v>4</v>
      </c>
    </row>
    <row r="9" spans="3:26">
      <c r="C9" s="1"/>
      <c r="H9" s="1"/>
    </row>
    <row r="10" spans="3:26" ht="18">
      <c r="C10" s="3" t="s">
        <v>5</v>
      </c>
      <c r="D10" s="3" t="s">
        <v>6</v>
      </c>
      <c r="E10" s="3" t="s">
        <v>7</v>
      </c>
      <c r="F10" s="3" t="s">
        <v>8</v>
      </c>
      <c r="H10" s="3" t="s">
        <v>5</v>
      </c>
      <c r="I10" s="3" t="s">
        <v>9</v>
      </c>
    </row>
    <row r="11" spans="3:26">
      <c r="C11" s="4">
        <v>1</v>
      </c>
      <c r="D11" s="5" t="s">
        <v>10</v>
      </c>
      <c r="E11" s="6">
        <v>1.7891899999999999E-2</v>
      </c>
      <c r="F11" s="7">
        <v>1</v>
      </c>
      <c r="H11" s="4">
        <v>1</v>
      </c>
      <c r="I11" s="8">
        <f>S20</f>
        <v>1.7891899999999999E-2</v>
      </c>
    </row>
    <row r="12" spans="3:26">
      <c r="C12" s="9">
        <v>2</v>
      </c>
      <c r="D12" s="10" t="s">
        <v>10</v>
      </c>
      <c r="E12" s="11">
        <v>1.45947E-2</v>
      </c>
      <c r="F12" s="12">
        <v>1</v>
      </c>
      <c r="H12" s="9">
        <v>2</v>
      </c>
      <c r="I12" s="13">
        <f>S25</f>
        <v>1.1297500000000004E-2</v>
      </c>
    </row>
    <row r="13" spans="3:26">
      <c r="C13" s="9">
        <v>3</v>
      </c>
      <c r="D13" s="10" t="s">
        <v>10</v>
      </c>
      <c r="E13" s="11">
        <v>1.5193E-2</v>
      </c>
      <c r="F13" s="12">
        <v>1</v>
      </c>
      <c r="H13" s="9">
        <v>3</v>
      </c>
      <c r="I13" s="13">
        <f>S31</f>
        <v>1.6389599999999997E-2</v>
      </c>
    </row>
    <row r="14" spans="3:26">
      <c r="C14" s="9">
        <v>4</v>
      </c>
      <c r="D14" s="10" t="s">
        <v>10</v>
      </c>
      <c r="E14" s="11">
        <v>1.6036000000000002E-2</v>
      </c>
      <c r="F14" s="12">
        <v>1</v>
      </c>
      <c r="H14" s="9">
        <v>4</v>
      </c>
      <c r="I14" s="13">
        <f>S38</f>
        <v>1.8565000000000009E-2</v>
      </c>
    </row>
    <row r="15" spans="3:26">
      <c r="C15" s="14">
        <v>5</v>
      </c>
      <c r="D15" s="15" t="s">
        <v>10</v>
      </c>
      <c r="E15" s="16">
        <v>1.6587999999999999E-2</v>
      </c>
      <c r="F15" s="17">
        <v>1</v>
      </c>
      <c r="H15" s="14">
        <v>5</v>
      </c>
      <c r="I15" s="18">
        <f>S46</f>
        <v>1.8795999999999993E-2</v>
      </c>
    </row>
    <row r="16" spans="3:26" ht="18">
      <c r="C16" s="19" t="s">
        <v>11</v>
      </c>
      <c r="D16" s="20"/>
      <c r="E16" s="21"/>
      <c r="H16" s="22"/>
      <c r="Z16" t="s">
        <v>12</v>
      </c>
    </row>
    <row r="18" spans="2:23">
      <c r="B18" s="23"/>
      <c r="C18" s="24" t="s">
        <v>13</v>
      </c>
      <c r="D18" s="23"/>
      <c r="E18" s="23"/>
      <c r="F18" s="23"/>
      <c r="G18" s="23"/>
      <c r="H18" s="25"/>
      <c r="I18" s="26"/>
      <c r="J18" s="26" t="s">
        <v>14</v>
      </c>
      <c r="K18" s="27">
        <f>SUM(K20:K20)</f>
        <v>17891.899999999998</v>
      </c>
      <c r="L18" s="23"/>
      <c r="M18" s="24" t="s">
        <v>15</v>
      </c>
      <c r="N18" s="23"/>
      <c r="O18" s="23"/>
      <c r="P18" s="23"/>
      <c r="Q18" s="23"/>
      <c r="R18" s="23"/>
      <c r="S18" s="28"/>
      <c r="T18" s="23"/>
      <c r="U18" s="26" t="s">
        <v>14</v>
      </c>
      <c r="V18" s="27">
        <f>SUM(V20:V20)</f>
        <v>17891.899999999998</v>
      </c>
    </row>
    <row r="19" spans="2:23" ht="18">
      <c r="B19" s="29" t="s">
        <v>16</v>
      </c>
      <c r="C19" s="30" t="s">
        <v>17</v>
      </c>
      <c r="D19" s="31" t="s">
        <v>18</v>
      </c>
      <c r="E19" s="31" t="s">
        <v>19</v>
      </c>
      <c r="F19" s="32" t="s">
        <v>20</v>
      </c>
      <c r="G19" s="32" t="s">
        <v>21</v>
      </c>
      <c r="H19" s="33" t="s">
        <v>7</v>
      </c>
      <c r="I19" s="32" t="s">
        <v>20</v>
      </c>
      <c r="J19" s="32" t="s">
        <v>22</v>
      </c>
      <c r="K19" s="34" t="s">
        <v>23</v>
      </c>
      <c r="L19" s="35" t="s">
        <v>16</v>
      </c>
      <c r="M19" s="36" t="s">
        <v>24</v>
      </c>
      <c r="N19" s="31" t="s">
        <v>17</v>
      </c>
      <c r="O19" s="31" t="s">
        <v>18</v>
      </c>
      <c r="P19" s="31" t="s">
        <v>19</v>
      </c>
      <c r="Q19" s="32" t="s">
        <v>25</v>
      </c>
      <c r="R19" s="32" t="s">
        <v>21</v>
      </c>
      <c r="S19" s="33" t="s">
        <v>26</v>
      </c>
      <c r="T19" s="32" t="s">
        <v>25</v>
      </c>
      <c r="U19" s="32" t="s">
        <v>27</v>
      </c>
      <c r="V19" s="34" t="s">
        <v>28</v>
      </c>
    </row>
    <row r="20" spans="2:23">
      <c r="B20" s="29">
        <v>1</v>
      </c>
      <c r="C20" s="37">
        <v>43739</v>
      </c>
      <c r="D20" s="38">
        <v>44104.25</v>
      </c>
      <c r="E20" s="38">
        <v>44104.25</v>
      </c>
      <c r="F20" s="39">
        <v>1</v>
      </c>
      <c r="G20" s="40">
        <v>1000000</v>
      </c>
      <c r="H20" s="41">
        <f>ParRate1Y</f>
        <v>1.7891899999999999E-2</v>
      </c>
      <c r="I20" s="39">
        <v>1</v>
      </c>
      <c r="J20" s="42">
        <f>DiscountFactor1Y</f>
        <v>1</v>
      </c>
      <c r="K20" s="43">
        <f>G20*H20*I20*J20</f>
        <v>17891.899999999998</v>
      </c>
      <c r="L20" s="35">
        <v>1</v>
      </c>
      <c r="M20" s="37">
        <v>43739</v>
      </c>
      <c r="N20" s="38">
        <v>43739</v>
      </c>
      <c r="O20" s="38">
        <v>44104.25</v>
      </c>
      <c r="P20" s="38">
        <v>44104.25</v>
      </c>
      <c r="Q20" s="39">
        <v>1</v>
      </c>
      <c r="R20" s="40">
        <v>1000000</v>
      </c>
      <c r="S20" s="44">
        <f>($K$18)/(R20*T20*U20)</f>
        <v>1.7891899999999999E-2</v>
      </c>
      <c r="T20" s="39">
        <v>1</v>
      </c>
      <c r="U20" s="42">
        <f>DiscountFactor1Y</f>
        <v>1</v>
      </c>
      <c r="V20" s="45">
        <f>R20*S20*T20*U20</f>
        <v>17891.899999999998</v>
      </c>
      <c r="W20" s="46" t="s">
        <v>29</v>
      </c>
    </row>
    <row r="21" spans="2:23">
      <c r="H21" s="25"/>
      <c r="S21" s="47"/>
    </row>
    <row r="22" spans="2:23">
      <c r="B22" s="23"/>
      <c r="C22" s="24" t="s">
        <v>13</v>
      </c>
      <c r="D22" s="23"/>
      <c r="E22" s="23"/>
      <c r="F22" s="23"/>
      <c r="G22" s="23"/>
      <c r="H22" s="25"/>
      <c r="I22" s="26"/>
      <c r="J22" s="26" t="s">
        <v>14</v>
      </c>
      <c r="K22" s="27">
        <f>SUM(K24:K25)</f>
        <v>29189.4</v>
      </c>
      <c r="L22" s="23"/>
      <c r="M22" s="24" t="s">
        <v>15</v>
      </c>
      <c r="N22" s="23"/>
      <c r="O22" s="23"/>
      <c r="P22" s="23"/>
      <c r="Q22" s="23"/>
      <c r="R22" s="23"/>
      <c r="S22" s="28"/>
      <c r="T22" s="23"/>
      <c r="U22" s="26" t="s">
        <v>14</v>
      </c>
      <c r="V22" s="27">
        <f>SUM(V24:V25)</f>
        <v>29189.4</v>
      </c>
    </row>
    <row r="23" spans="2:23" ht="18">
      <c r="B23" s="29" t="s">
        <v>16</v>
      </c>
      <c r="C23" s="30" t="s">
        <v>17</v>
      </c>
      <c r="D23" s="31" t="s">
        <v>18</v>
      </c>
      <c r="E23" s="31" t="s">
        <v>19</v>
      </c>
      <c r="F23" s="32" t="s">
        <v>20</v>
      </c>
      <c r="G23" s="32" t="s">
        <v>21</v>
      </c>
      <c r="H23" s="33" t="s">
        <v>7</v>
      </c>
      <c r="I23" s="32" t="s">
        <v>20</v>
      </c>
      <c r="J23" s="32" t="s">
        <v>22</v>
      </c>
      <c r="K23" s="34" t="s">
        <v>23</v>
      </c>
      <c r="L23" s="35" t="s">
        <v>16</v>
      </c>
      <c r="M23" s="36" t="s">
        <v>24</v>
      </c>
      <c r="N23" s="31" t="s">
        <v>17</v>
      </c>
      <c r="O23" s="31" t="s">
        <v>18</v>
      </c>
      <c r="P23" s="31" t="s">
        <v>19</v>
      </c>
      <c r="Q23" s="32" t="s">
        <v>25</v>
      </c>
      <c r="R23" s="32" t="s">
        <v>21</v>
      </c>
      <c r="S23" s="33" t="s">
        <v>26</v>
      </c>
      <c r="T23" s="32" t="s">
        <v>25</v>
      </c>
      <c r="U23" s="32" t="s">
        <v>27</v>
      </c>
      <c r="V23" s="34" t="s">
        <v>28</v>
      </c>
    </row>
    <row r="24" spans="2:23">
      <c r="B24" s="29">
        <v>1</v>
      </c>
      <c r="C24" s="48">
        <v>43739</v>
      </c>
      <c r="D24" s="49">
        <v>44104.25</v>
      </c>
      <c r="E24" s="49">
        <v>44104.25</v>
      </c>
      <c r="F24" s="50">
        <v>1</v>
      </c>
      <c r="G24" s="51">
        <v>1000000</v>
      </c>
      <c r="H24" s="52">
        <f>ParRate2Y</f>
        <v>1.45947E-2</v>
      </c>
      <c r="I24" s="50">
        <v>1</v>
      </c>
      <c r="J24" s="53">
        <f>DiscountFactor1Y</f>
        <v>1</v>
      </c>
      <c r="K24" s="54">
        <f>G24*H24*I24*J24</f>
        <v>14594.7</v>
      </c>
      <c r="L24" s="35">
        <v>1</v>
      </c>
      <c r="M24" s="48">
        <v>43739</v>
      </c>
      <c r="N24" s="49">
        <v>43739</v>
      </c>
      <c r="O24" s="49">
        <v>44104.25</v>
      </c>
      <c r="P24" s="49">
        <v>44104.25</v>
      </c>
      <c r="Q24" s="50">
        <v>1</v>
      </c>
      <c r="R24" s="51">
        <v>1000000</v>
      </c>
      <c r="S24" s="55">
        <f>$S$20</f>
        <v>1.7891899999999999E-2</v>
      </c>
      <c r="T24" s="50">
        <v>1</v>
      </c>
      <c r="U24" s="53">
        <f>DiscountFactor1Y</f>
        <v>1</v>
      </c>
      <c r="V24" s="56">
        <f>R24*S24*T24*U24</f>
        <v>17891.899999999998</v>
      </c>
      <c r="W24" s="2" t="s">
        <v>30</v>
      </c>
    </row>
    <row r="25" spans="2:23">
      <c r="B25" s="29">
        <v>2</v>
      </c>
      <c r="C25" s="37">
        <v>44104.25</v>
      </c>
      <c r="D25" s="38">
        <v>44469.5</v>
      </c>
      <c r="E25" s="38">
        <v>44469.5</v>
      </c>
      <c r="F25" s="39">
        <v>2</v>
      </c>
      <c r="G25" s="40">
        <v>1000000</v>
      </c>
      <c r="H25" s="41">
        <f>ParRate2Y</f>
        <v>1.45947E-2</v>
      </c>
      <c r="I25" s="39">
        <v>1</v>
      </c>
      <c r="J25" s="42">
        <f>DiscountFactor2Y</f>
        <v>1</v>
      </c>
      <c r="K25" s="43">
        <f>G25*H25*I25*J25</f>
        <v>14594.7</v>
      </c>
      <c r="L25" s="35">
        <v>2</v>
      </c>
      <c r="M25" s="37">
        <v>44104.25</v>
      </c>
      <c r="N25" s="38">
        <v>44104.25</v>
      </c>
      <c r="O25" s="38">
        <v>44469.5</v>
      </c>
      <c r="P25" s="38">
        <v>44469.5</v>
      </c>
      <c r="Q25" s="39">
        <v>2</v>
      </c>
      <c r="R25" s="40">
        <v>1000000</v>
      </c>
      <c r="S25" s="44">
        <f>($K$22-$V$24)/(R25*T25*U25)</f>
        <v>1.1297500000000004E-2</v>
      </c>
      <c r="T25" s="39">
        <v>1</v>
      </c>
      <c r="U25" s="42">
        <f>DiscountFactor2Y</f>
        <v>1</v>
      </c>
      <c r="V25" s="45">
        <f>R25*S25*T25*U25</f>
        <v>11297.500000000004</v>
      </c>
      <c r="W25" s="46" t="s">
        <v>29</v>
      </c>
    </row>
    <row r="26" spans="2:23">
      <c r="H26" s="25"/>
      <c r="S26" s="47"/>
    </row>
    <row r="27" spans="2:23">
      <c r="B27" s="23"/>
      <c r="C27" s="24" t="s">
        <v>13</v>
      </c>
      <c r="D27" s="23"/>
      <c r="E27" s="23"/>
      <c r="F27" s="23"/>
      <c r="G27" s="23"/>
      <c r="H27" s="25"/>
      <c r="I27" s="26"/>
      <c r="J27" s="26" t="s">
        <v>14</v>
      </c>
      <c r="K27" s="27">
        <f>SUM(K29:K31)</f>
        <v>45579</v>
      </c>
      <c r="L27" s="23"/>
      <c r="M27" s="24" t="s">
        <v>15</v>
      </c>
      <c r="N27" s="23"/>
      <c r="O27" s="23"/>
      <c r="P27" s="23"/>
      <c r="Q27" s="23"/>
      <c r="R27" s="23"/>
      <c r="S27" s="28"/>
      <c r="T27" s="23"/>
      <c r="U27" s="26" t="s">
        <v>14</v>
      </c>
      <c r="V27" s="27">
        <f>SUM(V29:V31)</f>
        <v>45579</v>
      </c>
    </row>
    <row r="28" spans="2:23" ht="18">
      <c r="B28" s="29" t="s">
        <v>16</v>
      </c>
      <c r="C28" s="30" t="s">
        <v>17</v>
      </c>
      <c r="D28" s="31" t="s">
        <v>18</v>
      </c>
      <c r="E28" s="31" t="s">
        <v>19</v>
      </c>
      <c r="F28" s="32" t="s">
        <v>20</v>
      </c>
      <c r="G28" s="32" t="s">
        <v>21</v>
      </c>
      <c r="H28" s="33" t="s">
        <v>7</v>
      </c>
      <c r="I28" s="32" t="s">
        <v>20</v>
      </c>
      <c r="J28" s="32" t="s">
        <v>22</v>
      </c>
      <c r="K28" s="34" t="s">
        <v>23</v>
      </c>
      <c r="L28" s="35" t="s">
        <v>16</v>
      </c>
      <c r="M28" s="36" t="s">
        <v>24</v>
      </c>
      <c r="N28" s="31" t="s">
        <v>17</v>
      </c>
      <c r="O28" s="31" t="s">
        <v>18</v>
      </c>
      <c r="P28" s="31" t="s">
        <v>19</v>
      </c>
      <c r="Q28" s="32" t="s">
        <v>25</v>
      </c>
      <c r="R28" s="32" t="s">
        <v>21</v>
      </c>
      <c r="S28" s="33" t="s">
        <v>26</v>
      </c>
      <c r="T28" s="32" t="s">
        <v>25</v>
      </c>
      <c r="U28" s="32" t="s">
        <v>27</v>
      </c>
      <c r="V28" s="34" t="s">
        <v>28</v>
      </c>
    </row>
    <row r="29" spans="2:23">
      <c r="B29" s="29">
        <v>1</v>
      </c>
      <c r="C29" s="48">
        <v>43739</v>
      </c>
      <c r="D29" s="49">
        <v>44104.25</v>
      </c>
      <c r="E29" s="49">
        <v>44104.25</v>
      </c>
      <c r="F29" s="50">
        <v>1</v>
      </c>
      <c r="G29" s="51">
        <v>1000000</v>
      </c>
      <c r="H29" s="52">
        <f>ParRate3Y</f>
        <v>1.5193E-2</v>
      </c>
      <c r="I29" s="50">
        <v>1</v>
      </c>
      <c r="J29" s="53">
        <f>DiscountFactor1Y</f>
        <v>1</v>
      </c>
      <c r="K29" s="54">
        <f>G29*H29*I29*J29</f>
        <v>15193</v>
      </c>
      <c r="L29" s="35">
        <v>1</v>
      </c>
      <c r="M29" s="48">
        <v>43739</v>
      </c>
      <c r="N29" s="49">
        <v>43739</v>
      </c>
      <c r="O29" s="49">
        <v>44104.25</v>
      </c>
      <c r="P29" s="49">
        <v>44104.25</v>
      </c>
      <c r="Q29" s="50">
        <v>1</v>
      </c>
      <c r="R29" s="51">
        <v>1000000</v>
      </c>
      <c r="S29" s="55">
        <f>$S$20</f>
        <v>1.7891899999999999E-2</v>
      </c>
      <c r="T29" s="50">
        <v>1</v>
      </c>
      <c r="U29" s="53">
        <f>DiscountFactor1Y</f>
        <v>1</v>
      </c>
      <c r="V29" s="56">
        <f>R29*S29*T29*U29</f>
        <v>17891.899999999998</v>
      </c>
      <c r="W29" s="2" t="s">
        <v>30</v>
      </c>
    </row>
    <row r="30" spans="2:23">
      <c r="B30" s="29">
        <v>2</v>
      </c>
      <c r="C30" s="57">
        <v>44104.25</v>
      </c>
      <c r="D30" s="58">
        <v>44469.5</v>
      </c>
      <c r="E30" s="58">
        <v>44469.5</v>
      </c>
      <c r="F30" s="59">
        <v>2</v>
      </c>
      <c r="G30" s="60">
        <v>1000000</v>
      </c>
      <c r="H30" s="61">
        <f>ParRate3Y</f>
        <v>1.5193E-2</v>
      </c>
      <c r="I30" s="59">
        <v>1</v>
      </c>
      <c r="J30" s="62">
        <f>DiscountFactor2Y</f>
        <v>1</v>
      </c>
      <c r="K30" s="63">
        <f>G30*H30*I30*J30</f>
        <v>15193</v>
      </c>
      <c r="L30" s="35">
        <v>2</v>
      </c>
      <c r="M30" s="57">
        <v>44104.25</v>
      </c>
      <c r="N30" s="58">
        <v>44104.25</v>
      </c>
      <c r="O30" s="58">
        <v>44469.5</v>
      </c>
      <c r="P30" s="58">
        <v>44469.5</v>
      </c>
      <c r="Q30" s="59">
        <v>2</v>
      </c>
      <c r="R30" s="60">
        <v>1000000</v>
      </c>
      <c r="S30" s="64">
        <f>$S$25</f>
        <v>1.1297500000000004E-2</v>
      </c>
      <c r="T30" s="59">
        <v>1</v>
      </c>
      <c r="U30" s="62">
        <f>DiscountFactor2Y</f>
        <v>1</v>
      </c>
      <c r="V30" s="65">
        <f>R30*S30*T30*U30</f>
        <v>11297.500000000004</v>
      </c>
      <c r="W30" s="2" t="s">
        <v>30</v>
      </c>
    </row>
    <row r="31" spans="2:23">
      <c r="B31" s="29">
        <v>3</v>
      </c>
      <c r="C31" s="37">
        <v>44469.5</v>
      </c>
      <c r="D31" s="38">
        <v>44834.75</v>
      </c>
      <c r="E31" s="38">
        <v>44834.75</v>
      </c>
      <c r="F31" s="39">
        <v>3</v>
      </c>
      <c r="G31" s="40">
        <v>1000000</v>
      </c>
      <c r="H31" s="41">
        <f>ParRate3Y</f>
        <v>1.5193E-2</v>
      </c>
      <c r="I31" s="39">
        <v>1</v>
      </c>
      <c r="J31" s="42">
        <f>DiscountFactor3Y</f>
        <v>1</v>
      </c>
      <c r="K31" s="43">
        <f>G31*H31*I31*J31</f>
        <v>15193</v>
      </c>
      <c r="L31" s="35">
        <v>3</v>
      </c>
      <c r="M31" s="37">
        <v>44469.5</v>
      </c>
      <c r="N31" s="38">
        <v>44469.5</v>
      </c>
      <c r="O31" s="38">
        <v>44834.75</v>
      </c>
      <c r="P31" s="38">
        <v>44834.75</v>
      </c>
      <c r="Q31" s="39">
        <v>3</v>
      </c>
      <c r="R31" s="40">
        <v>1000000</v>
      </c>
      <c r="S31" s="44">
        <f>($K$27-SUM($V$29:V30))/(R31*T31*U31)</f>
        <v>1.6389599999999997E-2</v>
      </c>
      <c r="T31" s="39">
        <v>1</v>
      </c>
      <c r="U31" s="42">
        <f>DiscountFactor3Y</f>
        <v>1</v>
      </c>
      <c r="V31" s="45">
        <f>R31*S31*T31*U31</f>
        <v>16389.599999999999</v>
      </c>
      <c r="W31" s="46" t="s">
        <v>29</v>
      </c>
    </row>
    <row r="32" spans="2:23">
      <c r="H32" s="47"/>
      <c r="S32" s="47"/>
    </row>
    <row r="33" spans="2:23">
      <c r="B33" s="23"/>
      <c r="C33" s="24" t="s">
        <v>13</v>
      </c>
      <c r="D33" s="23"/>
      <c r="E33" s="23"/>
      <c r="F33" s="23"/>
      <c r="G33" s="23"/>
      <c r="H33" s="25"/>
      <c r="I33" s="26"/>
      <c r="J33" s="26" t="s">
        <v>14</v>
      </c>
      <c r="K33" s="27">
        <f>SUM(K35:K38)</f>
        <v>64144.000000000007</v>
      </c>
      <c r="L33" s="23"/>
      <c r="M33" s="24" t="s">
        <v>15</v>
      </c>
      <c r="N33" s="23"/>
      <c r="O33" s="23"/>
      <c r="P33" s="23"/>
      <c r="Q33" s="23"/>
      <c r="R33" s="23"/>
      <c r="S33" s="28"/>
      <c r="T33" s="23"/>
      <c r="U33" s="26" t="s">
        <v>14</v>
      </c>
      <c r="V33" s="27">
        <f>SUM(V35:V38)</f>
        <v>64144.000000000007</v>
      </c>
    </row>
    <row r="34" spans="2:23" ht="18">
      <c r="B34" s="29" t="s">
        <v>16</v>
      </c>
      <c r="C34" s="30" t="s">
        <v>17</v>
      </c>
      <c r="D34" s="31" t="s">
        <v>18</v>
      </c>
      <c r="E34" s="31" t="s">
        <v>19</v>
      </c>
      <c r="F34" s="32" t="s">
        <v>20</v>
      </c>
      <c r="G34" s="32" t="s">
        <v>21</v>
      </c>
      <c r="H34" s="33" t="s">
        <v>7</v>
      </c>
      <c r="I34" s="32" t="s">
        <v>20</v>
      </c>
      <c r="J34" s="32" t="s">
        <v>22</v>
      </c>
      <c r="K34" s="34" t="s">
        <v>23</v>
      </c>
      <c r="L34" s="35" t="s">
        <v>16</v>
      </c>
      <c r="M34" s="36" t="s">
        <v>24</v>
      </c>
      <c r="N34" s="31" t="s">
        <v>17</v>
      </c>
      <c r="O34" s="31" t="s">
        <v>18</v>
      </c>
      <c r="P34" s="31" t="s">
        <v>19</v>
      </c>
      <c r="Q34" s="32" t="s">
        <v>25</v>
      </c>
      <c r="R34" s="32" t="s">
        <v>21</v>
      </c>
      <c r="S34" s="33" t="s">
        <v>26</v>
      </c>
      <c r="T34" s="32" t="s">
        <v>25</v>
      </c>
      <c r="U34" s="32" t="s">
        <v>27</v>
      </c>
      <c r="V34" s="34" t="s">
        <v>28</v>
      </c>
    </row>
    <row r="35" spans="2:23">
      <c r="B35" s="29">
        <v>1</v>
      </c>
      <c r="C35" s="48">
        <v>43739</v>
      </c>
      <c r="D35" s="49">
        <v>44104.25</v>
      </c>
      <c r="E35" s="49">
        <v>44104.25</v>
      </c>
      <c r="F35" s="50">
        <v>1</v>
      </c>
      <c r="G35" s="51">
        <v>1000000</v>
      </c>
      <c r="H35" s="52">
        <f>ParRate4Y</f>
        <v>1.6036000000000002E-2</v>
      </c>
      <c r="I35" s="50">
        <v>1</v>
      </c>
      <c r="J35" s="53">
        <f>DiscountFactor1Y</f>
        <v>1</v>
      </c>
      <c r="K35" s="54">
        <f>G35*H35*I35*J35</f>
        <v>16036.000000000002</v>
      </c>
      <c r="L35" s="35">
        <v>1</v>
      </c>
      <c r="M35" s="48">
        <v>43739</v>
      </c>
      <c r="N35" s="49">
        <v>43739</v>
      </c>
      <c r="O35" s="49">
        <v>44104.25</v>
      </c>
      <c r="P35" s="49">
        <v>44104.25</v>
      </c>
      <c r="Q35" s="50">
        <v>1</v>
      </c>
      <c r="R35" s="51">
        <v>1000000</v>
      </c>
      <c r="S35" s="55">
        <f>$S$20</f>
        <v>1.7891899999999999E-2</v>
      </c>
      <c r="T35" s="50">
        <v>1</v>
      </c>
      <c r="U35" s="53">
        <f>DiscountFactor1Y</f>
        <v>1</v>
      </c>
      <c r="V35" s="56">
        <f>R35*S35*T35*U35</f>
        <v>17891.899999999998</v>
      </c>
      <c r="W35" s="2" t="s">
        <v>30</v>
      </c>
    </row>
    <row r="36" spans="2:23">
      <c r="B36" s="29">
        <v>2</v>
      </c>
      <c r="C36" s="57">
        <v>44104.25</v>
      </c>
      <c r="D36" s="58">
        <v>44469.5</v>
      </c>
      <c r="E36" s="58">
        <v>44469.5</v>
      </c>
      <c r="F36" s="59">
        <v>2</v>
      </c>
      <c r="G36" s="60">
        <v>1000000</v>
      </c>
      <c r="H36" s="61">
        <f>ParRate4Y</f>
        <v>1.6036000000000002E-2</v>
      </c>
      <c r="I36" s="59">
        <v>1</v>
      </c>
      <c r="J36" s="62">
        <f>DiscountFactor2Y</f>
        <v>1</v>
      </c>
      <c r="K36" s="63">
        <f>G36*H36*I36*J36</f>
        <v>16036.000000000002</v>
      </c>
      <c r="L36" s="35">
        <v>2</v>
      </c>
      <c r="M36" s="57">
        <v>44104.25</v>
      </c>
      <c r="N36" s="58">
        <v>44104.25</v>
      </c>
      <c r="O36" s="58">
        <v>44469.5</v>
      </c>
      <c r="P36" s="58">
        <v>44469.5</v>
      </c>
      <c r="Q36" s="59">
        <v>2</v>
      </c>
      <c r="R36" s="60">
        <v>1000000</v>
      </c>
      <c r="S36" s="64">
        <f>$S$25</f>
        <v>1.1297500000000004E-2</v>
      </c>
      <c r="T36" s="59">
        <v>1</v>
      </c>
      <c r="U36" s="62">
        <f>DiscountFactor2Y</f>
        <v>1</v>
      </c>
      <c r="V36" s="65">
        <f>R36*S36*T36*U36</f>
        <v>11297.500000000004</v>
      </c>
      <c r="W36" s="2" t="s">
        <v>30</v>
      </c>
    </row>
    <row r="37" spans="2:23">
      <c r="B37" s="29">
        <v>3</v>
      </c>
      <c r="C37" s="57">
        <v>44469.5</v>
      </c>
      <c r="D37" s="58">
        <v>44834.75</v>
      </c>
      <c r="E37" s="58">
        <v>44834.75</v>
      </c>
      <c r="F37" s="59">
        <v>3</v>
      </c>
      <c r="G37" s="60">
        <v>1000000</v>
      </c>
      <c r="H37" s="61">
        <f>ParRate4Y</f>
        <v>1.6036000000000002E-2</v>
      </c>
      <c r="I37" s="59">
        <v>1</v>
      </c>
      <c r="J37" s="62">
        <f>DiscountFactor3Y</f>
        <v>1</v>
      </c>
      <c r="K37" s="63">
        <f>G37*H37*I37*J37</f>
        <v>16036.000000000002</v>
      </c>
      <c r="L37" s="35">
        <v>3</v>
      </c>
      <c r="M37" s="57">
        <v>44469.5</v>
      </c>
      <c r="N37" s="58">
        <v>44469.5</v>
      </c>
      <c r="O37" s="58">
        <v>44834.75</v>
      </c>
      <c r="P37" s="58">
        <v>44834.75</v>
      </c>
      <c r="Q37" s="59">
        <v>3</v>
      </c>
      <c r="R37" s="60">
        <v>1000000</v>
      </c>
      <c r="S37" s="64">
        <f>$S$31</f>
        <v>1.6389599999999997E-2</v>
      </c>
      <c r="T37" s="59">
        <v>1</v>
      </c>
      <c r="U37" s="62">
        <f>DiscountFactor3Y</f>
        <v>1</v>
      </c>
      <c r="V37" s="65">
        <f>R37*S37*T37*U37</f>
        <v>16389.599999999999</v>
      </c>
      <c r="W37" s="2" t="s">
        <v>30</v>
      </c>
    </row>
    <row r="38" spans="2:23">
      <c r="B38" s="29">
        <v>4</v>
      </c>
      <c r="C38" s="37">
        <v>44834.75</v>
      </c>
      <c r="D38" s="38">
        <v>45200</v>
      </c>
      <c r="E38" s="38">
        <v>45200</v>
      </c>
      <c r="F38" s="39">
        <v>4</v>
      </c>
      <c r="G38" s="40">
        <v>1000000</v>
      </c>
      <c r="H38" s="41">
        <f>ParRate4Y</f>
        <v>1.6036000000000002E-2</v>
      </c>
      <c r="I38" s="39">
        <v>1</v>
      </c>
      <c r="J38" s="42">
        <f>DiscountFactor4Y</f>
        <v>1</v>
      </c>
      <c r="K38" s="43">
        <f>G38*H38*I38*J38</f>
        <v>16036.000000000002</v>
      </c>
      <c r="L38" s="35">
        <v>4</v>
      </c>
      <c r="M38" s="37">
        <v>44834.75</v>
      </c>
      <c r="N38" s="38">
        <v>44834.75</v>
      </c>
      <c r="O38" s="38">
        <v>45200</v>
      </c>
      <c r="P38" s="38">
        <v>45200</v>
      </c>
      <c r="Q38" s="39">
        <v>4</v>
      </c>
      <c r="R38" s="40">
        <v>1000000</v>
      </c>
      <c r="S38" s="44">
        <f>($K$33-SUM($V$35:V37))/(R38*T38*U38)</f>
        <v>1.8565000000000009E-2</v>
      </c>
      <c r="T38" s="39">
        <v>1</v>
      </c>
      <c r="U38" s="42">
        <f>DiscountFactor4Y</f>
        <v>1</v>
      </c>
      <c r="V38" s="45">
        <f>R38*S38*T38*U38</f>
        <v>18565.000000000007</v>
      </c>
      <c r="W38" s="46" t="s">
        <v>29</v>
      </c>
    </row>
    <row r="39" spans="2:23">
      <c r="H39" s="47"/>
      <c r="S39" s="47"/>
    </row>
    <row r="40" spans="2:23">
      <c r="B40" s="23"/>
      <c r="C40" s="24" t="s">
        <v>13</v>
      </c>
      <c r="D40" s="23"/>
      <c r="E40" s="23"/>
      <c r="F40" s="23"/>
      <c r="G40" s="23"/>
      <c r="H40" s="25"/>
      <c r="I40" s="26"/>
      <c r="J40" s="26" t="s">
        <v>14</v>
      </c>
      <c r="K40" s="27">
        <f>SUM(K42:K46)</f>
        <v>82940</v>
      </c>
      <c r="L40" s="23"/>
      <c r="M40" s="24" t="s">
        <v>15</v>
      </c>
      <c r="N40" s="23"/>
      <c r="O40" s="23"/>
      <c r="P40" s="23"/>
      <c r="Q40" s="23"/>
      <c r="R40" s="23"/>
      <c r="S40" s="28"/>
      <c r="T40" s="23"/>
      <c r="U40" s="26" t="s">
        <v>14</v>
      </c>
      <c r="V40" s="27">
        <f>SUM(V42:V46)</f>
        <v>82940</v>
      </c>
    </row>
    <row r="41" spans="2:23" ht="18">
      <c r="B41" s="29" t="s">
        <v>16</v>
      </c>
      <c r="C41" s="30" t="s">
        <v>17</v>
      </c>
      <c r="D41" s="31" t="s">
        <v>18</v>
      </c>
      <c r="E41" s="31" t="s">
        <v>19</v>
      </c>
      <c r="F41" s="32" t="s">
        <v>20</v>
      </c>
      <c r="G41" s="32" t="s">
        <v>21</v>
      </c>
      <c r="H41" s="33" t="s">
        <v>7</v>
      </c>
      <c r="I41" s="32" t="s">
        <v>20</v>
      </c>
      <c r="J41" s="32" t="s">
        <v>22</v>
      </c>
      <c r="K41" s="34" t="s">
        <v>23</v>
      </c>
      <c r="L41" s="35" t="s">
        <v>16</v>
      </c>
      <c r="M41" s="36" t="s">
        <v>24</v>
      </c>
      <c r="N41" s="31" t="s">
        <v>17</v>
      </c>
      <c r="O41" s="31" t="s">
        <v>18</v>
      </c>
      <c r="P41" s="31" t="s">
        <v>19</v>
      </c>
      <c r="Q41" s="32" t="s">
        <v>25</v>
      </c>
      <c r="R41" s="32" t="s">
        <v>21</v>
      </c>
      <c r="S41" s="33" t="s">
        <v>26</v>
      </c>
      <c r="T41" s="32" t="s">
        <v>25</v>
      </c>
      <c r="U41" s="32" t="s">
        <v>27</v>
      </c>
      <c r="V41" s="34" t="s">
        <v>28</v>
      </c>
    </row>
    <row r="42" spans="2:23">
      <c r="B42" s="29">
        <v>1</v>
      </c>
      <c r="C42" s="48">
        <v>43739</v>
      </c>
      <c r="D42" s="49">
        <v>44104.25</v>
      </c>
      <c r="E42" s="49">
        <v>44104.25</v>
      </c>
      <c r="F42" s="50">
        <v>1</v>
      </c>
      <c r="G42" s="51">
        <v>1000000</v>
      </c>
      <c r="H42" s="52">
        <f>ParRate5Y</f>
        <v>1.6587999999999999E-2</v>
      </c>
      <c r="I42" s="50">
        <v>1</v>
      </c>
      <c r="J42" s="53">
        <f>DiscountFactor1Y</f>
        <v>1</v>
      </c>
      <c r="K42" s="54">
        <f>G42*H42*I42*J42</f>
        <v>16588</v>
      </c>
      <c r="L42" s="35">
        <v>1</v>
      </c>
      <c r="M42" s="48">
        <v>43739</v>
      </c>
      <c r="N42" s="49">
        <v>43739</v>
      </c>
      <c r="O42" s="49">
        <v>44104.25</v>
      </c>
      <c r="P42" s="49">
        <v>44104.25</v>
      </c>
      <c r="Q42" s="50">
        <v>1</v>
      </c>
      <c r="R42" s="51">
        <v>1000000</v>
      </c>
      <c r="S42" s="55">
        <f>$S$20</f>
        <v>1.7891899999999999E-2</v>
      </c>
      <c r="T42" s="50">
        <v>1</v>
      </c>
      <c r="U42" s="53">
        <f>DiscountFactor1Y</f>
        <v>1</v>
      </c>
      <c r="V42" s="56">
        <f>R42*S42*T42*U42</f>
        <v>17891.899999999998</v>
      </c>
      <c r="W42" s="2" t="s">
        <v>30</v>
      </c>
    </row>
    <row r="43" spans="2:23">
      <c r="B43" s="29">
        <v>2</v>
      </c>
      <c r="C43" s="57">
        <v>44104.25</v>
      </c>
      <c r="D43" s="58">
        <v>44469.5</v>
      </c>
      <c r="E43" s="58">
        <v>44469.5</v>
      </c>
      <c r="F43" s="59">
        <v>2</v>
      </c>
      <c r="G43" s="60">
        <v>1000000</v>
      </c>
      <c r="H43" s="61">
        <f>ParRate5Y</f>
        <v>1.6587999999999999E-2</v>
      </c>
      <c r="I43" s="59">
        <v>1</v>
      </c>
      <c r="J43" s="62">
        <f>DiscountFactor2Y</f>
        <v>1</v>
      </c>
      <c r="K43" s="63">
        <f>G43*H43*I43*J43</f>
        <v>16588</v>
      </c>
      <c r="L43" s="35">
        <v>2</v>
      </c>
      <c r="M43" s="57">
        <v>44104.25</v>
      </c>
      <c r="N43" s="58">
        <v>44104.25</v>
      </c>
      <c r="O43" s="58">
        <v>44469.5</v>
      </c>
      <c r="P43" s="58">
        <v>44469.5</v>
      </c>
      <c r="Q43" s="59">
        <v>2</v>
      </c>
      <c r="R43" s="60">
        <v>1000000</v>
      </c>
      <c r="S43" s="64">
        <f>$S$25</f>
        <v>1.1297500000000004E-2</v>
      </c>
      <c r="T43" s="59">
        <v>1</v>
      </c>
      <c r="U43" s="62">
        <f>DiscountFactor2Y</f>
        <v>1</v>
      </c>
      <c r="V43" s="65">
        <f>R43*S43*T43*U43</f>
        <v>11297.500000000004</v>
      </c>
      <c r="W43" s="2" t="s">
        <v>30</v>
      </c>
    </row>
    <row r="44" spans="2:23">
      <c r="B44" s="29">
        <v>3</v>
      </c>
      <c r="C44" s="57">
        <v>44469.5</v>
      </c>
      <c r="D44" s="58">
        <v>44834.75</v>
      </c>
      <c r="E44" s="58">
        <v>44834.75</v>
      </c>
      <c r="F44" s="59">
        <v>3</v>
      </c>
      <c r="G44" s="60">
        <v>1000000</v>
      </c>
      <c r="H44" s="61">
        <f>ParRate5Y</f>
        <v>1.6587999999999999E-2</v>
      </c>
      <c r="I44" s="59">
        <v>1</v>
      </c>
      <c r="J44" s="62">
        <f>DiscountFactor3Y</f>
        <v>1</v>
      </c>
      <c r="K44" s="63">
        <f>G44*H44*I44*J44</f>
        <v>16588</v>
      </c>
      <c r="L44" s="35">
        <v>3</v>
      </c>
      <c r="M44" s="57">
        <v>44469.5</v>
      </c>
      <c r="N44" s="58">
        <v>44469.5</v>
      </c>
      <c r="O44" s="58">
        <v>44834.75</v>
      </c>
      <c r="P44" s="58">
        <v>44834.75</v>
      </c>
      <c r="Q44" s="59">
        <v>3</v>
      </c>
      <c r="R44" s="60">
        <v>1000000</v>
      </c>
      <c r="S44" s="64">
        <f>$S$31</f>
        <v>1.6389599999999997E-2</v>
      </c>
      <c r="T44" s="59">
        <v>1</v>
      </c>
      <c r="U44" s="62">
        <f>DiscountFactor3Y</f>
        <v>1</v>
      </c>
      <c r="V44" s="65">
        <f>R44*S44*T44*U44</f>
        <v>16389.599999999999</v>
      </c>
      <c r="W44" s="2" t="s">
        <v>30</v>
      </c>
    </row>
    <row r="45" spans="2:23">
      <c r="B45" s="29">
        <v>4</v>
      </c>
      <c r="C45" s="57">
        <v>44834.75</v>
      </c>
      <c r="D45" s="58">
        <v>45200</v>
      </c>
      <c r="E45" s="58">
        <v>45200</v>
      </c>
      <c r="F45" s="59">
        <v>4</v>
      </c>
      <c r="G45" s="60">
        <v>1000000</v>
      </c>
      <c r="H45" s="61">
        <f>ParRate5Y</f>
        <v>1.6587999999999999E-2</v>
      </c>
      <c r="I45" s="59">
        <v>1</v>
      </c>
      <c r="J45" s="62">
        <f>DiscountFactor4Y</f>
        <v>1</v>
      </c>
      <c r="K45" s="63">
        <f>G45*H45*I45*J45</f>
        <v>16588</v>
      </c>
      <c r="L45" s="35">
        <v>4</v>
      </c>
      <c r="M45" s="57">
        <v>44834.75</v>
      </c>
      <c r="N45" s="58">
        <v>44834.75</v>
      </c>
      <c r="O45" s="58">
        <v>45200</v>
      </c>
      <c r="P45" s="58">
        <v>45200</v>
      </c>
      <c r="Q45" s="59">
        <v>4</v>
      </c>
      <c r="R45" s="60">
        <v>1000000</v>
      </c>
      <c r="S45" s="64">
        <f>$S$38</f>
        <v>1.8565000000000009E-2</v>
      </c>
      <c r="T45" s="59">
        <v>1</v>
      </c>
      <c r="U45" s="62">
        <f>DiscountFactor4Y</f>
        <v>1</v>
      </c>
      <c r="V45" s="65">
        <f>R45*S45*T45*U45</f>
        <v>18565.000000000007</v>
      </c>
      <c r="W45" s="2" t="s">
        <v>30</v>
      </c>
    </row>
    <row r="46" spans="2:23">
      <c r="B46" s="29">
        <v>5</v>
      </c>
      <c r="C46" s="37">
        <v>45200</v>
      </c>
      <c r="D46" s="38">
        <v>45565.25</v>
      </c>
      <c r="E46" s="38">
        <v>45565.25</v>
      </c>
      <c r="F46" s="39">
        <v>5</v>
      </c>
      <c r="G46" s="40">
        <v>1000000</v>
      </c>
      <c r="H46" s="41">
        <f>ParRate5Y</f>
        <v>1.6587999999999999E-2</v>
      </c>
      <c r="I46" s="39">
        <v>1</v>
      </c>
      <c r="J46" s="42">
        <f>DiscountFactor5Y</f>
        <v>1</v>
      </c>
      <c r="K46" s="43">
        <f>G46*H46*I46*J46</f>
        <v>16588</v>
      </c>
      <c r="L46" s="35">
        <v>5</v>
      </c>
      <c r="M46" s="37">
        <v>45200</v>
      </c>
      <c r="N46" s="38">
        <v>45200</v>
      </c>
      <c r="O46" s="38">
        <v>45565.25</v>
      </c>
      <c r="P46" s="38">
        <v>45565.25</v>
      </c>
      <c r="Q46" s="39">
        <v>5</v>
      </c>
      <c r="R46" s="40">
        <v>1000000</v>
      </c>
      <c r="S46" s="44">
        <f>($K$40-SUM($V$42:V45))/(R46*T46*U46)</f>
        <v>1.8795999999999993E-2</v>
      </c>
      <c r="T46" s="39">
        <v>1</v>
      </c>
      <c r="U46" s="42">
        <f>DiscountFactor5Y</f>
        <v>1</v>
      </c>
      <c r="V46" s="45">
        <f>R46*S46*T46*U46</f>
        <v>18795.999999999993</v>
      </c>
      <c r="W46" s="46" t="s">
        <v>29</v>
      </c>
    </row>
    <row r="75" spans="7:7">
      <c r="G75" s="6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Model Assumptions</vt:lpstr>
      <vt:lpstr>Bootstrapping USD OIS</vt:lpstr>
      <vt:lpstr>Bootstrapping USD SWAP 3ML</vt:lpstr>
      <vt:lpstr>Bootstrapping USD BASIS 6ML</vt:lpstr>
      <vt:lpstr>Bootstrapping USD BASIS 1ML</vt:lpstr>
      <vt:lpstr>Bootstrapping USD BASIS 12ML</vt:lpstr>
      <vt:lpstr>Bootrapping USD3ML Prototype</vt:lpstr>
      <vt:lpstr>DiscountFactor1Y</vt:lpstr>
      <vt:lpstr>DiscountFactor2Y</vt:lpstr>
      <vt:lpstr>DiscountFactor3Y</vt:lpstr>
      <vt:lpstr>DiscountFactor4Y</vt:lpstr>
      <vt:lpstr>DiscountFactor5Y</vt:lpstr>
      <vt:lpstr>ParRate1Y</vt:lpstr>
      <vt:lpstr>ParRate2Y</vt:lpstr>
      <vt:lpstr>ParRate3Y</vt:lpstr>
      <vt:lpstr>ParRate4Y</vt:lpstr>
      <vt:lpstr>ParRate5Y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2019-10-13T12:22:01Z</dcterms:created>
  <dcterms:modified xsi:type="dcterms:W3CDTF">2022-02-13T03:02:38Z</dcterms:modified>
</cp:coreProperties>
</file>