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oahcg/Desktop/projects/elections/csv/"/>
    </mc:Choice>
  </mc:AlternateContent>
  <xr:revisionPtr revIDLastSave="0" documentId="13_ncr:1_{C249CA7B-C6D2-224A-A3E8-2A6C233DB648}" xr6:coauthVersionLast="44" xr6:coauthVersionMax="44" xr10:uidLastSave="{00000000-0000-0000-0000-000000000000}"/>
  <bookViews>
    <workbookView xWindow="220" yWindow="440" windowWidth="28240" windowHeight="19040" xr2:uid="{4D1FAC66-4F2D-1B45-98E3-28579EC862C3}"/>
  </bookViews>
  <sheets>
    <sheet name="Current" sheetId="1" r:id="rId1"/>
    <sheet name="Past" sheetId="6" r:id="rId2"/>
    <sheet name="Prior Careers" sheetId="3" r:id="rId3"/>
    <sheet name="Ethnicities" sheetId="4" r:id="rId4"/>
    <sheet name="Committees" sheetId="2" r:id="rId5"/>
  </sheets>
  <calcPr calcId="191029"/>
  <pivotCaches>
    <pivotCache cacheId="10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5" i="1" l="1"/>
  <c r="G79" i="1"/>
  <c r="G40" i="1"/>
  <c r="G14" i="1"/>
  <c r="G63" i="1"/>
  <c r="G75" i="1"/>
  <c r="G41" i="1"/>
  <c r="G23" i="1"/>
  <c r="G94" i="1"/>
  <c r="G88" i="1" l="1"/>
  <c r="G85" i="1"/>
  <c r="G83" i="1"/>
  <c r="G73" i="1"/>
  <c r="G5" i="1"/>
  <c r="G100" i="1"/>
  <c r="G54" i="1"/>
  <c r="G36" i="1"/>
  <c r="G33" i="1"/>
  <c r="G30" i="1"/>
  <c r="G31" i="1"/>
  <c r="G95" i="1" l="1"/>
  <c r="G45" i="1"/>
  <c r="G20" i="1"/>
  <c r="G97" i="1"/>
  <c r="G92" i="1"/>
  <c r="G48" i="1"/>
  <c r="G46" i="1"/>
  <c r="G8" i="1"/>
  <c r="G17" i="1"/>
  <c r="G24" i="1"/>
  <c r="G62" i="1"/>
  <c r="G69" i="1"/>
  <c r="G81" i="1"/>
  <c r="G43" i="1"/>
  <c r="G93" i="1"/>
  <c r="G82" i="1"/>
  <c r="G80" i="1"/>
  <c r="G74" i="1"/>
  <c r="G57" i="1"/>
  <c r="G71" i="1"/>
  <c r="G38" i="1"/>
  <c r="G37" i="1"/>
  <c r="G19" i="1"/>
  <c r="G55" i="1"/>
  <c r="G87" i="1"/>
  <c r="G61" i="1"/>
  <c r="G16" i="1"/>
  <c r="G29" i="1"/>
  <c r="G52" i="1"/>
  <c r="G59" i="1"/>
  <c r="G58" i="1"/>
  <c r="G98" i="1"/>
  <c r="G65" i="1"/>
  <c r="G34" i="1"/>
  <c r="G35" i="1"/>
  <c r="G96" i="1"/>
  <c r="G53" i="1"/>
  <c r="G21" i="1"/>
  <c r="G4" i="1"/>
  <c r="G39" i="1"/>
  <c r="G2" i="1"/>
  <c r="G99" i="1"/>
  <c r="G22" i="1"/>
  <c r="G89" i="1"/>
  <c r="G84" i="1"/>
  <c r="G86" i="1"/>
  <c r="G76" i="1"/>
  <c r="G77" i="1"/>
  <c r="G9" i="1"/>
  <c r="G67" i="1"/>
  <c r="G66" i="1"/>
  <c r="G27" i="1"/>
  <c r="G25" i="1"/>
  <c r="G101" i="1"/>
  <c r="G26" i="1"/>
  <c r="G78" i="1"/>
  <c r="G72" i="1"/>
  <c r="G91" i="1"/>
  <c r="G3" i="1"/>
  <c r="G44" i="1"/>
  <c r="G32" i="1"/>
  <c r="G50" i="1"/>
  <c r="G13" i="1" l="1"/>
  <c r="G70" i="1"/>
  <c r="G90" i="1"/>
  <c r="G64" i="1"/>
  <c r="G47" i="1"/>
  <c r="G42" i="1"/>
  <c r="G60" i="1"/>
  <c r="G12" i="1"/>
  <c r="G11" i="1"/>
  <c r="G10" i="1"/>
</calcChain>
</file>

<file path=xl/sharedStrings.xml><?xml version="1.0" encoding="utf-8"?>
<sst xmlns="http://schemas.openxmlformats.org/spreadsheetml/2006/main" count="2159" uniqueCount="322">
  <si>
    <t>Senator</t>
  </si>
  <si>
    <t>Age</t>
  </si>
  <si>
    <t>Camp</t>
  </si>
  <si>
    <t>State</t>
  </si>
  <si>
    <t>Party</t>
  </si>
  <si>
    <t>Thom Tillis</t>
  </si>
  <si>
    <t>Religious</t>
  </si>
  <si>
    <t>Republican</t>
  </si>
  <si>
    <t>NC</t>
  </si>
  <si>
    <t>Next Year</t>
  </si>
  <si>
    <t>Status</t>
  </si>
  <si>
    <t>Average</t>
  </si>
  <si>
    <t>Susan Collins</t>
  </si>
  <si>
    <t>Moderate</t>
  </si>
  <si>
    <t>Doug Jones</t>
  </si>
  <si>
    <t>Democrat</t>
  </si>
  <si>
    <t>Not Running</t>
  </si>
  <si>
    <t>Leadership?</t>
  </si>
  <si>
    <t>Cory Gardner</t>
  </si>
  <si>
    <t>Leadership</t>
  </si>
  <si>
    <t>No</t>
  </si>
  <si>
    <t>Chuck Schumer</t>
  </si>
  <si>
    <t>Safe</t>
  </si>
  <si>
    <t>Mitch McConnell</t>
  </si>
  <si>
    <t>Jeanne Shaheen</t>
  </si>
  <si>
    <t>Kamala Harris</t>
  </si>
  <si>
    <t>Cory Booker</t>
  </si>
  <si>
    <t>Mitt Romney</t>
  </si>
  <si>
    <t>Just Elected</t>
  </si>
  <si>
    <t>Kyrsten Sinema</t>
  </si>
  <si>
    <t>Kirsten Gillibrand</t>
  </si>
  <si>
    <t>Amy Klobuchar</t>
  </si>
  <si>
    <t>Just Reelected</t>
  </si>
  <si>
    <t>Patty Murray</t>
  </si>
  <si>
    <t>Dick Durban</t>
  </si>
  <si>
    <t>John Cornyn</t>
  </si>
  <si>
    <t>TX</t>
  </si>
  <si>
    <t>Dianne Feinstein</t>
  </si>
  <si>
    <t>I</t>
  </si>
  <si>
    <t>Richard Burr</t>
  </si>
  <si>
    <t>Rob Portman</t>
  </si>
  <si>
    <t>Lisa Murkowski</t>
  </si>
  <si>
    <t>Elizabeth Warren</t>
  </si>
  <si>
    <t>Unofficial</t>
  </si>
  <si>
    <t>Bernie Sanders</t>
  </si>
  <si>
    <t>Independent</t>
  </si>
  <si>
    <t>Marsha Blackburn</t>
  </si>
  <si>
    <t>Regressive</t>
  </si>
  <si>
    <t>TN</t>
  </si>
  <si>
    <t>Tom Cotton</t>
  </si>
  <si>
    <t>AK</t>
  </si>
  <si>
    <t>Tom Carper</t>
  </si>
  <si>
    <t>Debbie Stabenow</t>
  </si>
  <si>
    <t>Tammy Baldwin</t>
  </si>
  <si>
    <t>Jon Tester</t>
  </si>
  <si>
    <t>WI</t>
  </si>
  <si>
    <t>MT</t>
  </si>
  <si>
    <t>Joe Manchin</t>
  </si>
  <si>
    <t>Tammy Duckworth</t>
  </si>
  <si>
    <t>Jacky Rosen</t>
  </si>
  <si>
    <t>Rand Paul</t>
  </si>
  <si>
    <t>Libertarian</t>
  </si>
  <si>
    <t>John Thune</t>
  </si>
  <si>
    <t>NE</t>
  </si>
  <si>
    <t>John Barasso</t>
  </si>
  <si>
    <t>WY</t>
  </si>
  <si>
    <t>Angus King</t>
  </si>
  <si>
    <t>Mike Braun</t>
  </si>
  <si>
    <t>IN</t>
  </si>
  <si>
    <t>Ben Cardin</t>
  </si>
  <si>
    <t>Bob Menendez</t>
  </si>
  <si>
    <t>Jeff Merkley</t>
  </si>
  <si>
    <t>Tim Kaine</t>
  </si>
  <si>
    <t>Tom Udall</t>
  </si>
  <si>
    <t>Marco Rubio</t>
  </si>
  <si>
    <t>FL</t>
  </si>
  <si>
    <t>Ted Cruz</t>
  </si>
  <si>
    <t xml:space="preserve">Bob Casey Jr. </t>
  </si>
  <si>
    <t>PA</t>
  </si>
  <si>
    <t>Sherrod Brown</t>
  </si>
  <si>
    <t>Pat Toomey</t>
  </si>
  <si>
    <t>Tina Smith</t>
  </si>
  <si>
    <t>Roger Wicker</t>
  </si>
  <si>
    <t>MS</t>
  </si>
  <si>
    <t>Josh Hawley</t>
  </si>
  <si>
    <t>Deb Fischer</t>
  </si>
  <si>
    <t>Martin Heinrich</t>
  </si>
  <si>
    <t>Kevin Cramer</t>
  </si>
  <si>
    <t>ND</t>
  </si>
  <si>
    <t>Sheldon Whitehouse</t>
  </si>
  <si>
    <t>Maria Cantwell</t>
  </si>
  <si>
    <t>Mazie Hirono</t>
  </si>
  <si>
    <t>Brian Schatz</t>
  </si>
  <si>
    <t>Chris Murphy</t>
  </si>
  <si>
    <t>Richard Blumenthal</t>
  </si>
  <si>
    <t>Dan Sullivan</t>
  </si>
  <si>
    <t>Joni Ernst</t>
  </si>
  <si>
    <t>IA</t>
  </si>
  <si>
    <t>Lindsey Graham</t>
  </si>
  <si>
    <t>SC</t>
  </si>
  <si>
    <t>Chris Coons</t>
  </si>
  <si>
    <t>David Perdue</t>
  </si>
  <si>
    <t>GA</t>
  </si>
  <si>
    <t>Jim Risch</t>
  </si>
  <si>
    <t>ID</t>
  </si>
  <si>
    <t>Pat Roberts</t>
  </si>
  <si>
    <t>KS</t>
  </si>
  <si>
    <t>Bill Cassidy</t>
  </si>
  <si>
    <t xml:space="preserve">Ed Markey </t>
  </si>
  <si>
    <t>Gary Peters</t>
  </si>
  <si>
    <t>Steve Daines</t>
  </si>
  <si>
    <t>Ben Sasse</t>
  </si>
  <si>
    <t>Jack Reed</t>
  </si>
  <si>
    <t>Jim Inhofe</t>
  </si>
  <si>
    <t>OK</t>
  </si>
  <si>
    <t>May Retire</t>
  </si>
  <si>
    <t>Mike Rounds</t>
  </si>
  <si>
    <t>Mark Warner</t>
  </si>
  <si>
    <t>Shelley Moore Capito</t>
  </si>
  <si>
    <t>Mike Enzi</t>
  </si>
  <si>
    <t>Richard Shelby</t>
  </si>
  <si>
    <t>John Boozman</t>
  </si>
  <si>
    <t>Michael Bennet</t>
  </si>
  <si>
    <t>Johnny Isakson</t>
  </si>
  <si>
    <t>Mike Crapo</t>
  </si>
  <si>
    <t>Todd Young</t>
  </si>
  <si>
    <t>Chuck Grassley</t>
  </si>
  <si>
    <t>Jerry Moran</t>
  </si>
  <si>
    <t>John Kennedy</t>
  </si>
  <si>
    <t>Chris van Hollen</t>
  </si>
  <si>
    <t>Catherine Cortez Masto</t>
  </si>
  <si>
    <t>Roy Blunt</t>
  </si>
  <si>
    <t>Maggie Hassan</t>
  </si>
  <si>
    <t>John Hoeven</t>
  </si>
  <si>
    <t>James Lankford</t>
  </si>
  <si>
    <t>Ron Wyden</t>
  </si>
  <si>
    <t>Tim Scott</t>
  </si>
  <si>
    <t>Patrick Leahy</t>
  </si>
  <si>
    <t>Ron Johnson</t>
  </si>
  <si>
    <t>Mike Lee</t>
  </si>
  <si>
    <t>Rick Scott</t>
  </si>
  <si>
    <t>Cindy Hyde-Smith</t>
  </si>
  <si>
    <t>MO</t>
  </si>
  <si>
    <t>Lamar Alexander</t>
  </si>
  <si>
    <t>Term</t>
  </si>
  <si>
    <t>Race</t>
  </si>
  <si>
    <t>Black</t>
  </si>
  <si>
    <t>Hispanic</t>
  </si>
  <si>
    <t>Gender</t>
  </si>
  <si>
    <t>Female</t>
  </si>
  <si>
    <t>Male</t>
  </si>
  <si>
    <t>White</t>
  </si>
  <si>
    <t>Pacific Asian</t>
  </si>
  <si>
    <t>Prior Career</t>
  </si>
  <si>
    <t>State Attorney General</t>
  </si>
  <si>
    <t>Professor</t>
  </si>
  <si>
    <t xml:space="preserve">State Agricultural Commissioner </t>
  </si>
  <si>
    <t>Method of Office</t>
  </si>
  <si>
    <t>Elected</t>
  </si>
  <si>
    <t>First Committee</t>
  </si>
  <si>
    <t>Second Committee</t>
  </si>
  <si>
    <t>Judiciary</t>
  </si>
  <si>
    <t>First Year</t>
  </si>
  <si>
    <t>Special Committee</t>
  </si>
  <si>
    <t>Intelligence</t>
  </si>
  <si>
    <t>Chair?</t>
  </si>
  <si>
    <t>Homeland Security</t>
  </si>
  <si>
    <t>Mayor</t>
  </si>
  <si>
    <t>Foreign Relations</t>
  </si>
  <si>
    <t>Third Committee</t>
  </si>
  <si>
    <t>Budget</t>
  </si>
  <si>
    <t>Most Influential Committes in the Senate</t>
  </si>
  <si>
    <t>Appropriations</t>
  </si>
  <si>
    <t>Finance</t>
  </si>
  <si>
    <t>Oversight</t>
  </si>
  <si>
    <t>Armed Services</t>
  </si>
  <si>
    <t>Commerce</t>
  </si>
  <si>
    <t>Education</t>
  </si>
  <si>
    <t>CST</t>
  </si>
  <si>
    <t>Banking</t>
  </si>
  <si>
    <t>$$</t>
  </si>
  <si>
    <t xml:space="preserve">Public Exp. </t>
  </si>
  <si>
    <t>Investigation</t>
  </si>
  <si>
    <t>Military</t>
  </si>
  <si>
    <t xml:space="preserve">Military </t>
  </si>
  <si>
    <t>Energy</t>
  </si>
  <si>
    <t>HELP</t>
  </si>
  <si>
    <t>None</t>
  </si>
  <si>
    <t>Rules</t>
  </si>
  <si>
    <t>Aging</t>
  </si>
  <si>
    <t>Governor</t>
  </si>
  <si>
    <t>Margin of Vote in Last Election</t>
  </si>
  <si>
    <t>Yes</t>
  </si>
  <si>
    <t>Indian Affairs</t>
  </si>
  <si>
    <t>Agriculture</t>
  </si>
  <si>
    <t>State Partisanship</t>
  </si>
  <si>
    <t>Blue</t>
  </si>
  <si>
    <t>Purple</t>
  </si>
  <si>
    <t>Red</t>
  </si>
  <si>
    <t>Conservative</t>
  </si>
  <si>
    <t>Small Business</t>
  </si>
  <si>
    <t xml:space="preserve">Yes </t>
  </si>
  <si>
    <t>City Superintendent</t>
  </si>
  <si>
    <t>Appointed</t>
  </si>
  <si>
    <t>County Attorney</t>
  </si>
  <si>
    <t>US Representative</t>
  </si>
  <si>
    <t>Environment</t>
  </si>
  <si>
    <t>Armed Forces</t>
  </si>
  <si>
    <t>Ethics</t>
  </si>
  <si>
    <t>First</t>
  </si>
  <si>
    <t>Third</t>
  </si>
  <si>
    <t>Second</t>
  </si>
  <si>
    <t>Fourth</t>
  </si>
  <si>
    <t>Fifth</t>
  </si>
  <si>
    <t>Sixth</t>
  </si>
  <si>
    <t>Lieutenant Governor</t>
  </si>
  <si>
    <t xml:space="preserve">Businessman </t>
  </si>
  <si>
    <t>Speaker of State House</t>
  </si>
  <si>
    <t xml:space="preserve">State Treasurer </t>
  </si>
  <si>
    <t>Unassigned</t>
  </si>
  <si>
    <t>State Representative</t>
  </si>
  <si>
    <t>Presidential Candidate</t>
  </si>
  <si>
    <t>District Attorney</t>
  </si>
  <si>
    <t>Unique</t>
  </si>
  <si>
    <t>State Senate Leader</t>
  </si>
  <si>
    <t>Veterans Affairs</t>
  </si>
  <si>
    <t>Retired Senator</t>
  </si>
  <si>
    <t>University President</t>
  </si>
  <si>
    <t xml:space="preserve">State Senator </t>
  </si>
  <si>
    <t>Anti-Establishment</t>
  </si>
  <si>
    <t>Establishment</t>
  </si>
  <si>
    <t>Count of Senator</t>
  </si>
  <si>
    <t>Row Labels</t>
  </si>
  <si>
    <t>Grand Total</t>
  </si>
  <si>
    <t>Attorney</t>
  </si>
  <si>
    <t>US Secretary of Education</t>
  </si>
  <si>
    <t>North Dakota</t>
  </si>
  <si>
    <t>Hawaii</t>
  </si>
  <si>
    <t>Wyoming</t>
  </si>
  <si>
    <t>South Dakota</t>
  </si>
  <si>
    <t>New York</t>
  </si>
  <si>
    <t>Oklahoma</t>
  </si>
  <si>
    <t>Rhode Island</t>
  </si>
  <si>
    <t>Utah</t>
  </si>
  <si>
    <t>Vermont</t>
  </si>
  <si>
    <t>Maine</t>
  </si>
  <si>
    <t>Nebraska</t>
  </si>
  <si>
    <t>Maryland</t>
  </si>
  <si>
    <t>Idaho</t>
  </si>
  <si>
    <t>Tennessee</t>
  </si>
  <si>
    <t>Connecticut</t>
  </si>
  <si>
    <t>Alabama</t>
  </si>
  <si>
    <t>West Virginia</t>
  </si>
  <si>
    <t>Texas</t>
  </si>
  <si>
    <t>Kansas</t>
  </si>
  <si>
    <t>Iowa</t>
  </si>
  <si>
    <t>Minnesota</t>
  </si>
  <si>
    <t>Massachusetts</t>
  </si>
  <si>
    <t>South Carolina</t>
  </si>
  <si>
    <t>Arkansas</t>
  </si>
  <si>
    <t>California</t>
  </si>
  <si>
    <t>Delaware</t>
  </si>
  <si>
    <t>Oregon</t>
  </si>
  <si>
    <t>Louisiana</t>
  </si>
  <si>
    <t>Ohio</t>
  </si>
  <si>
    <t>Mississippi</t>
  </si>
  <si>
    <t>Washington</t>
  </si>
  <si>
    <t>Montana</t>
  </si>
  <si>
    <t>Virginia</t>
  </si>
  <si>
    <t>Kentucky</t>
  </si>
  <si>
    <t>Illinois</t>
  </si>
  <si>
    <t>Georgia</t>
  </si>
  <si>
    <t>Missouri</t>
  </si>
  <si>
    <t>New Jersey</t>
  </si>
  <si>
    <t>Michigan</t>
  </si>
  <si>
    <t>Pennsylvania</t>
  </si>
  <si>
    <t>New Mexico</t>
  </si>
  <si>
    <t>Wisconsin</t>
  </si>
  <si>
    <t>Indiana</t>
  </si>
  <si>
    <t>Florida</t>
  </si>
  <si>
    <t>Nevada</t>
  </si>
  <si>
    <t>Colorado</t>
  </si>
  <si>
    <t>North Carolina</t>
  </si>
  <si>
    <t>New Hampshire</t>
  </si>
  <si>
    <t>Alaska</t>
  </si>
  <si>
    <t>Arizona</t>
  </si>
  <si>
    <t>Open Election or Incumbent Defeat?</t>
  </si>
  <si>
    <t>Martha McSally</t>
  </si>
  <si>
    <t>Column Labels</t>
  </si>
  <si>
    <t>Black Total</t>
  </si>
  <si>
    <t>Hispanic Total</t>
  </si>
  <si>
    <t>Pacific Asian Total</t>
  </si>
  <si>
    <t>White Total</t>
  </si>
  <si>
    <t>Open Election</t>
  </si>
  <si>
    <t>Defeated Incumbent</t>
  </si>
  <si>
    <t>Appointed by Governor</t>
  </si>
  <si>
    <t>Running for President</t>
  </si>
  <si>
    <t>Leaving Office in 2019</t>
  </si>
  <si>
    <t>Leaving Office in 2020</t>
  </si>
  <si>
    <t>List of Past Senators</t>
  </si>
  <si>
    <t>Member of Leadership?</t>
  </si>
  <si>
    <t>Advisor to President</t>
  </si>
  <si>
    <t>Chairwoman of Intelligence</t>
  </si>
  <si>
    <t>Chairman of Intelligence</t>
  </si>
  <si>
    <t>Incumbent</t>
  </si>
  <si>
    <t>No Change</t>
  </si>
  <si>
    <t>State Commissioner</t>
  </si>
  <si>
    <t>Serious Primary?</t>
  </si>
  <si>
    <t>Maybe</t>
  </si>
  <si>
    <t>N/A</t>
  </si>
  <si>
    <t>Yes, Rep. Robert Kennedy III</t>
  </si>
  <si>
    <t>Yes, an NC Businessman</t>
  </si>
  <si>
    <t>Yes, two Wyoming Reps.</t>
  </si>
  <si>
    <t>Yes, lots of Kansas Repubs</t>
  </si>
  <si>
    <t>Yes, two NM Reps.</t>
  </si>
  <si>
    <t>Prior Unsuccessful Run for Senate or President?</t>
  </si>
  <si>
    <t>President</t>
  </si>
  <si>
    <t>Senate</t>
  </si>
  <si>
    <t>Opposition Primaried</t>
  </si>
  <si>
    <t>Successful Primary</t>
  </si>
  <si>
    <t>Senate, Twice</t>
  </si>
  <si>
    <t>Appointed by Senator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</si>
</sst>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left"/>
    </xf>
    <xf numFmtId="0" fontId="0" fillId="2" borderId="0" xfId="0" applyFill="1" applyAlignment="1">
      <alignment horizontal="right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ont="1" applyAlignme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2">
    <dxf>
      <fill>
        <patternFill>
          <bgColor theme="4" tint="0.39994506668294322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pivotSource>
    <c:name>[US_Senate.xlsx]Prior Careers!PivotTable3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</c:pivotFmt>
      <c:pivotFmt>
        <c:idx val="1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639934714043099"/>
          <c:y val="4.7477744807121663E-2"/>
          <c:w val="0.89272315225302723"/>
          <c:h val="0.898521460781793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'Prior Careers'!$B$1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'Prior Careers'!$A$2:$A$24</c:f>
              <c:strCache>
                <c:ptCount val="22"/>
                <c:pt idx="0">
                  <c:v>Attorney</c:v>
                </c:pt>
                <c:pt idx="1">
                  <c:v>Businessman </c:v>
                </c:pt>
                <c:pt idx="2">
                  <c:v>City Superintendent</c:v>
                </c:pt>
                <c:pt idx="3">
                  <c:v>County Attorney</c:v>
                </c:pt>
                <c:pt idx="4">
                  <c:v>District Attorney</c:v>
                </c:pt>
                <c:pt idx="5">
                  <c:v>Governor</c:v>
                </c:pt>
                <c:pt idx="6">
                  <c:v>Lieutenant Governor</c:v>
                </c:pt>
                <c:pt idx="7">
                  <c:v>Mayor</c:v>
                </c:pt>
                <c:pt idx="8">
                  <c:v>Presidential Candidate</c:v>
                </c:pt>
                <c:pt idx="9">
                  <c:v>Professor</c:v>
                </c:pt>
                <c:pt idx="10">
                  <c:v>Retired Senator</c:v>
                </c:pt>
                <c:pt idx="11">
                  <c:v>Speaker of State House</c:v>
                </c:pt>
                <c:pt idx="12">
                  <c:v>State Agricultural Commissioner </c:v>
                </c:pt>
                <c:pt idx="13">
                  <c:v>State Attorney General</c:v>
                </c:pt>
                <c:pt idx="14">
                  <c:v>State Representative</c:v>
                </c:pt>
                <c:pt idx="15">
                  <c:v>State Senate Leader</c:v>
                </c:pt>
                <c:pt idx="16">
                  <c:v>State Senator </c:v>
                </c:pt>
                <c:pt idx="17">
                  <c:v>State Treasurer </c:v>
                </c:pt>
                <c:pt idx="18">
                  <c:v>Unique</c:v>
                </c:pt>
                <c:pt idx="19">
                  <c:v>University President</c:v>
                </c:pt>
                <c:pt idx="20">
                  <c:v>US Representative</c:v>
                </c:pt>
                <c:pt idx="21">
                  <c:v>US Secretary of Education</c:v>
                </c:pt>
              </c:strCache>
            </c:strRef>
          </c:cat>
          <c:val>
            <c:numRef>
              <c:f>'Prior Careers'!$B$2:$B$24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10</c:v>
                </c:pt>
                <c:pt idx="6">
                  <c:v>3</c:v>
                </c:pt>
                <c:pt idx="7">
                  <c:v>4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3</c:v>
                </c:pt>
                <c:pt idx="12">
                  <c:v>1</c:v>
                </c:pt>
                <c:pt idx="13">
                  <c:v>7</c:v>
                </c:pt>
                <c:pt idx="14">
                  <c:v>3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1</c:v>
                </c:pt>
                <c:pt idx="20">
                  <c:v>48</c:v>
                </c:pt>
                <c:pt idx="2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08-5C48-87B5-1AFB66197DB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445016608"/>
        <c:axId val="445018288"/>
      </c:barChart>
      <c:catAx>
        <c:axId val="445016608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18288"/>
        <c:crosses val="autoZero"/>
        <c:auto val="1"/>
        <c:lblAlgn val="ctr"/>
        <c:lblOffset val="100"/>
        <c:noMultiLvlLbl val="0"/>
      </c:catAx>
      <c:valAx>
        <c:axId val="445018288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5016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1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304800</xdr:colOff>
      <xdr:row>8</xdr:row>
      <xdr:rowOff>114300</xdr:rowOff>
    </xdr:from>
    <xdr:to>
      <xdr:col>28</xdr:col>
      <xdr:colOff>101600</xdr:colOff>
      <xdr:row>38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183E9B-E303-2644-ADB4-B035658F8E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Noah Tracy Caldwell-gatsos" refreshedDate="43420.568934953706" createdVersion="6" refreshedVersion="6" minRefreshableVersion="3" recordCount="100" xr:uid="{6401E510-EC8E-3744-A922-FD6624DB9B42}">
  <cacheSource type="worksheet">
    <worksheetSource ref="A1:X101" sheet="Current"/>
  </cacheSource>
  <cacheFields count="21">
    <cacheField name="Senator" numFmtId="0">
      <sharedItems count="100">
        <s v="John Hoeven"/>
        <s v="Brian Schatz"/>
        <s v="Mike Enzi"/>
        <s v="John Thune"/>
        <s v="Chuck Schumer"/>
        <s v="James Lankford"/>
        <s v="Mazie Hirono"/>
        <s v="Jack Reed"/>
        <s v="Mike Lee"/>
        <s v="Bernie Sanders"/>
        <s v="Jim Inhofe"/>
        <s v="Susan Collins"/>
        <s v="John Barasso"/>
        <s v="Ben Sasse"/>
        <s v="Ben Cardin"/>
        <s v="Kirsten Gillibrand"/>
        <s v="Mitt Romney"/>
        <s v="Jim Risch"/>
        <s v="Lamar Alexander"/>
        <s v="Mike Crapo"/>
        <s v="Richard Blumenthal"/>
        <s v="Richard Shelby"/>
        <s v="Patrick Leahy"/>
        <s v="Shelley Moore Capito"/>
        <s v="John Cornyn"/>
        <s v="Chris van Hollen"/>
        <s v="Jerry Moran"/>
        <s v="Chuck Grassley"/>
        <s v="Amy Klobuchar"/>
        <s v="Elizabeth Warren"/>
        <s v="Ed Markey "/>
        <s v="Tim Scott"/>
        <s v="John Boozman"/>
        <s v="Kamala Harris"/>
        <s v="Sheldon Whitehouse"/>
        <s v="Tom Carper"/>
        <s v="Ron Wyden"/>
        <s v="John Kennedy"/>
        <s v="Rob Portman"/>
        <s v="Chris Murphy"/>
        <s v="Deb Fischer"/>
        <s v="Roger Wicker"/>
        <s v="Jeff Merkley"/>
        <s v="Patty Murray"/>
        <s v="Steve Daines"/>
        <s v="Tom Cotton"/>
        <s v="Maria Cantwell"/>
        <s v="Lindsey Graham"/>
        <s v="Tim Kaine"/>
        <s v="Mitch McConnell"/>
        <s v="Tammy Duckworth"/>
        <s v="Rand Paul"/>
        <s v="Johnny Isakson"/>
        <s v="Roy Blunt"/>
        <s v="Chris Coons"/>
        <s v="Cory Booker"/>
        <s v="Gary Peters"/>
        <s v="Bob Casey Jr. "/>
        <s v="Bill Cassidy"/>
        <s v="Tom Udall"/>
        <s v="Tammy Baldwin"/>
        <s v="Marsha Blackburn"/>
        <s v="Pat Roberts"/>
        <s v="Dick Durban"/>
        <s v="Tina Smith"/>
        <s v="Bob Menendez"/>
        <s v="Kevin Cramer"/>
        <s v="Todd Young"/>
        <s v="Angus King"/>
        <s v="Dianne Feinstein"/>
        <s v="Joni Ernst"/>
        <s v="Mike Braun"/>
        <s v="Martin Heinrich"/>
        <s v="Marco Rubio"/>
        <s v="David Perdue"/>
        <s v="Debbie Stabenow"/>
        <s v="Sherrod Brown"/>
        <s v="Josh Hawley"/>
        <s v="Jacky Rosen"/>
        <s v="Michael Bennet"/>
        <s v="Richard Burr"/>
        <s v="Mike Rounds"/>
        <s v="Ron Johnson"/>
        <s v="Jeanne Shaheen"/>
        <s v="Joe Manchin"/>
        <s v="Jon Tester"/>
        <s v="Ted Cruz"/>
        <s v="Catherine Cortez Masto"/>
        <s v="Dan Sullivan"/>
        <s v="Cory Gardner"/>
        <s v="Doug Jones"/>
        <s v="Kyrsten Sinema"/>
        <s v="Thom Tillis"/>
        <s v="Pat Toomey"/>
        <s v="Mark Warner"/>
        <s v="Rick Scott"/>
        <s v="Maggie Hassan"/>
        <s v="Cindy Hyde-Smith"/>
        <s v="Jon Kyl"/>
        <s v="Lisa Murkowski"/>
      </sharedItems>
    </cacheField>
    <cacheField name="Age" numFmtId="0">
      <sharedItems containsSemiMixedTypes="0" containsString="0" containsNumber="1" containsInteger="1" minValue="38" maxValue="85"/>
    </cacheField>
    <cacheField name="Camp" numFmtId="0">
      <sharedItems/>
    </cacheField>
    <cacheField name="State" numFmtId="0">
      <sharedItems/>
    </cacheField>
    <cacheField name="Party" numFmtId="0">
      <sharedItems count="3">
        <s v="Republican"/>
        <s v="Democrat"/>
        <s v="Independent"/>
      </sharedItems>
    </cacheField>
    <cacheField name="Margin of Vote in Last Election" numFmtId="0">
      <sharedItems containsSemiMixedTypes="0" containsString="0" containsNumber="1" minValue="-9.6" maxValue="61.5" count="92">
        <n v="61.5"/>
        <n v="48.8"/>
        <n v="46.7"/>
        <n v="43.599999999999994"/>
        <n v="43.399999999999991"/>
        <n v="43.1"/>
        <n v="42.199999999999996"/>
        <n v="41.399999999999991"/>
        <n v="41.1"/>
        <n v="40.000000000000007"/>
        <n v="39.5"/>
        <n v="37"/>
        <n v="36.999999999999993"/>
        <n v="34"/>
        <n v="33.1"/>
        <n v="33"/>
        <n v="31.400000000000002"/>
        <n v="30.599999999999994"/>
        <n v="30.099999999999998"/>
        <n v="29.399999999999991"/>
        <n v="28.6"/>
        <n v="28.1"/>
        <n v="27.700000000000003"/>
        <n v="27.6"/>
        <n v="27.200000000000003"/>
        <n v="25.199999999999996"/>
        <n v="24.400000000000006"/>
        <n v="24.4"/>
        <n v="24.099999999999994"/>
        <n v="24"/>
        <n v="23.9"/>
        <n v="23.700000000000003"/>
        <n v="23.599999999999994"/>
        <n v="23.200000000000003"/>
        <n v="23"/>
        <n v="22.200000000000003"/>
        <n v="22"/>
        <n v="21.400000000000006"/>
        <n v="20.799999999999997"/>
        <n v="20.100000000000001"/>
        <n v="19.800000000000004"/>
        <n v="19.699999999999996"/>
        <n v="18.800000000000004"/>
        <n v="18"/>
        <n v="17.899999999999999"/>
        <n v="17.100000000000001"/>
        <n v="17"/>
        <n v="16.5"/>
        <n v="15.799999999999997"/>
        <n v="15.5"/>
        <n v="15.100000000000001"/>
        <n v="14.599999999999994"/>
        <n v="13.799999999999997"/>
        <n v="13.600000000000001"/>
        <n v="13.599999999999994"/>
        <n v="13.5"/>
        <n v="13.300000000000004"/>
        <n v="12.899999999999999"/>
        <n v="11.799999999999997"/>
        <n v="11.5"/>
        <n v="10.899999999999999"/>
        <n v="10.800000000000004"/>
        <n v="10.600000000000001"/>
        <n v="10"/>
        <n v="9.7000000000000028"/>
        <n v="8.9999999999999964"/>
        <n v="8.7999999999999972"/>
        <n v="8.3000000000000043"/>
        <n v="8"/>
        <n v="7.9999999999999982"/>
        <n v="7.7000000000000028"/>
        <n v="7.6999999999999957"/>
        <n v="6.4000000000000057"/>
        <n v="6"/>
        <n v="5.7000000000000028"/>
        <n v="3.7999999999999972"/>
        <n v="3.4000000000000057"/>
        <n v="3.2999999999999972"/>
        <n v="3.2000000000000028"/>
        <n v="2.6000000000000014"/>
        <n v="2.3999999999999986"/>
        <n v="2.2000000000000028"/>
        <n v="1.9000000000000057"/>
        <n v="1.7000000000000028"/>
        <n v="1.7"/>
        <n v="1.5"/>
        <n v="1.3000000000000043"/>
        <n v="0.80000000000000426"/>
        <n v="0.6"/>
        <n v="0.20000000000000284"/>
        <n v="0"/>
        <n v="-9.6"/>
      </sharedItems>
    </cacheField>
    <cacheField name="Status" numFmtId="0">
      <sharedItems count="9">
        <s v="Safe"/>
        <s v="Just Reelected"/>
        <s v="Presidential "/>
        <s v="May Retire"/>
        <s v="Vulnerable"/>
        <s v="Just Elected"/>
        <s v="Average"/>
        <s v="Not Running"/>
        <s v="Very Vulnerable"/>
      </sharedItems>
    </cacheField>
    <cacheField name="Next Year" numFmtId="0">
      <sharedItems containsSemiMixedTypes="0" containsString="0" containsNumber="1" containsInteger="1" minValue="2020" maxValue="2024"/>
    </cacheField>
    <cacheField name="State Partisanship" numFmtId="0">
      <sharedItems/>
    </cacheField>
    <cacheField name="Leadership?" numFmtId="0">
      <sharedItems/>
    </cacheField>
    <cacheField name="First Year" numFmtId="0">
      <sharedItems containsSemiMixedTypes="0" containsString="0" containsNumber="1" containsInteger="1" minValue="1975" maxValue="2019" count="25">
        <n v="2011"/>
        <n v="2012"/>
        <n v="1997"/>
        <n v="2005"/>
        <n v="1999"/>
        <n v="2015"/>
        <n v="2013"/>
        <n v="2007"/>
        <n v="1994"/>
        <n v="2009"/>
        <n v="2019"/>
        <n v="2003"/>
        <n v="1987"/>
        <n v="1975"/>
        <n v="2002"/>
        <n v="2017"/>
        <n v="1981"/>
        <n v="2001"/>
        <n v="1996"/>
        <n v="1993"/>
        <n v="1985"/>
        <n v="2010"/>
        <n v="2018"/>
        <n v="2006"/>
        <n v="1992"/>
      </sharedItems>
    </cacheField>
    <cacheField name="Term" numFmtId="0">
      <sharedItems containsSemiMixedTypes="0" containsString="0" containsNumber="1" containsInteger="1" minValue="1" maxValue="8"/>
    </cacheField>
    <cacheField name="Race" numFmtId="0">
      <sharedItems count="4">
        <s v="White"/>
        <s v="Pacific Asian"/>
        <s v="Black"/>
        <s v="Hispanic"/>
      </sharedItems>
    </cacheField>
    <cacheField name="Gender" numFmtId="0">
      <sharedItems count="2">
        <s v="Male"/>
        <s v="Female"/>
      </sharedItems>
    </cacheField>
    <cacheField name="Prior Career" numFmtId="0">
      <sharedItems count="22">
        <s v="Governor"/>
        <s v="Lieutenant Governor"/>
        <s v="Businessman "/>
        <s v="US Representative"/>
        <s v="Attorney"/>
        <s v="Unique"/>
        <s v="State Senator "/>
        <s v="University President"/>
        <s v="Presidential Candidate"/>
        <s v="US Secretary of Education"/>
        <s v="State Attorney General"/>
        <s v="County Attorney"/>
        <s v="Professor"/>
        <s v="State Treasurer "/>
        <s v="State Representative"/>
        <s v="Speaker of State House"/>
        <s v="Mayor"/>
        <s v="City Superintendent"/>
        <s v="State Senate Leader"/>
        <s v="District Attorney"/>
        <s v="State Agricultural Commissioner "/>
        <s v="Retired Senator"/>
      </sharedItems>
    </cacheField>
    <cacheField name="Method of Office" numFmtId="0">
      <sharedItems/>
    </cacheField>
    <cacheField name="First Committee" numFmtId="0">
      <sharedItems/>
    </cacheField>
    <cacheField name="Second Committee" numFmtId="0">
      <sharedItems/>
    </cacheField>
    <cacheField name="Third Committee" numFmtId="0">
      <sharedItems/>
    </cacheField>
    <cacheField name="Special Committee" numFmtId="0">
      <sharedItems/>
    </cacheField>
    <cacheField name="Chair?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x v="0"/>
    <n v="61"/>
    <s v="Religious"/>
    <s v="North Dakota"/>
    <x v="0"/>
    <x v="0"/>
    <x v="0"/>
    <n v="2022"/>
    <s v="Red"/>
    <s v="No"/>
    <x v="0"/>
    <n v="2"/>
    <x v="0"/>
    <x v="0"/>
    <x v="0"/>
    <s v="Elected"/>
    <s v="Indian Affairs"/>
    <s v="Appropriations"/>
    <s v="Energy"/>
    <s v="None"/>
    <s v="Yes"/>
  </r>
  <r>
    <x v="1"/>
    <n v="46"/>
    <s v="Anti-Establishment"/>
    <s v="Hawaii"/>
    <x v="1"/>
    <x v="1"/>
    <x v="0"/>
    <n v="2022"/>
    <s v="Blue"/>
    <s v="No"/>
    <x v="1"/>
    <n v="2"/>
    <x v="0"/>
    <x v="0"/>
    <x v="1"/>
    <s v="Appointed"/>
    <s v="Appropriations"/>
    <s v="Banking"/>
    <s v="CST"/>
    <s v="Ethics"/>
    <s v="No"/>
  </r>
  <r>
    <x v="2"/>
    <n v="74"/>
    <s v="Religious"/>
    <s v="Wyoming"/>
    <x v="0"/>
    <x v="2"/>
    <x v="0"/>
    <n v="2020"/>
    <s v="Red"/>
    <s v="No"/>
    <x v="2"/>
    <n v="4"/>
    <x v="0"/>
    <x v="0"/>
    <x v="2"/>
    <s v="Elected"/>
    <s v="Budget"/>
    <s v="Finance"/>
    <s v="HELP"/>
    <s v="None"/>
    <s v="Yes"/>
  </r>
  <r>
    <x v="3"/>
    <n v="57"/>
    <s v="Leadership"/>
    <s v="South Dakota"/>
    <x v="0"/>
    <x v="3"/>
    <x v="0"/>
    <n v="2022"/>
    <s v="Red"/>
    <s v="Second"/>
    <x v="3"/>
    <n v="3"/>
    <x v="0"/>
    <x v="0"/>
    <x v="3"/>
    <s v="Elected"/>
    <s v="CST"/>
    <s v="Finance"/>
    <s v="Agriculture"/>
    <s v="None"/>
    <s v="Yes"/>
  </r>
  <r>
    <x v="4"/>
    <n v="67"/>
    <s v="Leadership"/>
    <s v="New York"/>
    <x v="1"/>
    <x v="4"/>
    <x v="0"/>
    <n v="2022"/>
    <s v="Blue"/>
    <s v="First"/>
    <x v="4"/>
    <n v="4"/>
    <x v="0"/>
    <x v="0"/>
    <x v="3"/>
    <s v="Elected"/>
    <s v="Rules"/>
    <s v="Unassigned"/>
    <s v="Unassigned"/>
    <s v="Intelligence"/>
    <s v="No"/>
  </r>
  <r>
    <x v="5"/>
    <n v="50"/>
    <s v="Religious"/>
    <s v="Oklahoma"/>
    <x v="0"/>
    <x v="5"/>
    <x v="0"/>
    <n v="2022"/>
    <s v="Red"/>
    <s v="No"/>
    <x v="5"/>
    <n v="1"/>
    <x v="0"/>
    <x v="0"/>
    <x v="3"/>
    <s v="Elected"/>
    <s v="Appropriations"/>
    <s v="Homeland Security"/>
    <s v="Indian Affairs"/>
    <s v="Intelligence"/>
    <s v="No"/>
  </r>
  <r>
    <x v="6"/>
    <n v="71"/>
    <s v="Anti-Establishment"/>
    <s v="Hawaii"/>
    <x v="1"/>
    <x v="6"/>
    <x v="1"/>
    <n v="2024"/>
    <s v="Blue"/>
    <s v="No"/>
    <x v="6"/>
    <n v="1"/>
    <x v="1"/>
    <x v="1"/>
    <x v="3"/>
    <s v="Elected"/>
    <s v="Judiciary"/>
    <s v="Armed Services"/>
    <s v="Energy"/>
    <s v="None"/>
    <s v="No"/>
  </r>
  <r>
    <x v="7"/>
    <n v="68"/>
    <s v="Establishment"/>
    <s v="Rhode Island"/>
    <x v="1"/>
    <x v="7"/>
    <x v="0"/>
    <n v="2020"/>
    <s v="Blue"/>
    <s v="No"/>
    <x v="2"/>
    <n v="4"/>
    <x v="0"/>
    <x v="0"/>
    <x v="3"/>
    <s v="Elected"/>
    <s v="Armed Services"/>
    <s v="Appropriations"/>
    <s v="Banking"/>
    <s v="None"/>
    <s v="Yes"/>
  </r>
  <r>
    <x v="8"/>
    <n v="47"/>
    <s v="Libertarian"/>
    <s v="Utah"/>
    <x v="0"/>
    <x v="8"/>
    <x v="0"/>
    <n v="2022"/>
    <s v="Red"/>
    <s v="No"/>
    <x v="0"/>
    <n v="2"/>
    <x v="0"/>
    <x v="0"/>
    <x v="4"/>
    <s v="Elected"/>
    <s v="Judiciary"/>
    <s v="CST"/>
    <s v="Energy"/>
    <s v="None"/>
    <s v="No"/>
  </r>
  <r>
    <x v="9"/>
    <n v="77"/>
    <s v="Anti-Establishment"/>
    <s v="Vermont"/>
    <x v="2"/>
    <x v="9"/>
    <x v="2"/>
    <n v="2024"/>
    <s v="Blue"/>
    <s v="Unofficial"/>
    <x v="7"/>
    <n v="3"/>
    <x v="0"/>
    <x v="0"/>
    <x v="3"/>
    <s v="Elected"/>
    <s v="Budget"/>
    <s v="Energy"/>
    <s v="HELP"/>
    <s v="None"/>
    <s v="Yes"/>
  </r>
  <r>
    <x v="10"/>
    <n v="83"/>
    <s v="Conservative"/>
    <s v="Oklahoma"/>
    <x v="0"/>
    <x v="10"/>
    <x v="3"/>
    <n v="2020"/>
    <s v="Red"/>
    <s v="No"/>
    <x v="8"/>
    <n v="4"/>
    <x v="0"/>
    <x v="0"/>
    <x v="3"/>
    <s v="Elected"/>
    <s v="Armed Services"/>
    <s v="CST"/>
    <s v="Environment"/>
    <s v="None"/>
    <s v="Yes"/>
  </r>
  <r>
    <x v="11"/>
    <n v="65"/>
    <s v="Moderate"/>
    <s v="Maine"/>
    <x v="0"/>
    <x v="11"/>
    <x v="4"/>
    <n v="2020"/>
    <s v="Purple"/>
    <s v="No"/>
    <x v="2"/>
    <n v="3"/>
    <x v="0"/>
    <x v="1"/>
    <x v="5"/>
    <s v="Elected"/>
    <s v="Aging"/>
    <s v="Appropriations"/>
    <s v="HELP"/>
    <s v="Intelligence"/>
    <s v="Yes"/>
  </r>
  <r>
    <x v="12"/>
    <n v="66"/>
    <s v="Conservative"/>
    <s v="Wyoming"/>
    <x v="0"/>
    <x v="12"/>
    <x v="1"/>
    <n v="2024"/>
    <s v="Red"/>
    <s v="Third"/>
    <x v="7"/>
    <n v="2"/>
    <x v="0"/>
    <x v="0"/>
    <x v="6"/>
    <s v="Appointed"/>
    <s v="Environment"/>
    <s v="Foreign Relations"/>
    <s v="Energy"/>
    <s v="None"/>
    <s v="Yes"/>
  </r>
  <r>
    <x v="13"/>
    <n v="46"/>
    <s v="Moderate"/>
    <s v="Nebraska"/>
    <x v="0"/>
    <x v="13"/>
    <x v="0"/>
    <n v="2020"/>
    <s v="Red"/>
    <s v="No"/>
    <x v="5"/>
    <n v="1"/>
    <x v="0"/>
    <x v="0"/>
    <x v="7"/>
    <s v="Elected"/>
    <s v="Judiciary"/>
    <s v="Armed Services"/>
    <s v="Banking"/>
    <s v="None"/>
    <s v="No"/>
  </r>
  <r>
    <x v="14"/>
    <n v="75"/>
    <s v="Establishment"/>
    <s v="Maryland"/>
    <x v="1"/>
    <x v="14"/>
    <x v="1"/>
    <n v="2024"/>
    <s v="Blue"/>
    <s v="No"/>
    <x v="7"/>
    <n v="3"/>
    <x v="0"/>
    <x v="0"/>
    <x v="3"/>
    <s v="Elected"/>
    <s v="Small Business"/>
    <s v="Finance"/>
    <s v="Foreign Relations"/>
    <s v="None"/>
    <s v="Yes"/>
  </r>
  <r>
    <x v="15"/>
    <n v="51"/>
    <s v="Anti-Establishment"/>
    <s v="New York"/>
    <x v="1"/>
    <x v="15"/>
    <x v="2"/>
    <n v="2024"/>
    <s v="Blue"/>
    <s v="No"/>
    <x v="9"/>
    <n v="2"/>
    <x v="0"/>
    <x v="1"/>
    <x v="3"/>
    <s v="Appointed"/>
    <s v="Armed Services"/>
    <s v="Agriculture"/>
    <s v="Environment"/>
    <s v="Aging"/>
    <s v="No"/>
  </r>
  <r>
    <x v="16"/>
    <n v="71"/>
    <s v="Moderate"/>
    <s v="Utah"/>
    <x v="0"/>
    <x v="16"/>
    <x v="5"/>
    <n v="2024"/>
    <s v="Red"/>
    <s v="No"/>
    <x v="10"/>
    <n v="1"/>
    <x v="0"/>
    <x v="0"/>
    <x v="8"/>
    <s v="Elected"/>
    <s v="Unassigned"/>
    <s v="Unassigned"/>
    <s v="Unassigned"/>
    <s v="None"/>
    <s v="No"/>
  </r>
  <r>
    <x v="17"/>
    <n v="75"/>
    <s v="Conservative"/>
    <s v="Idaho"/>
    <x v="0"/>
    <x v="17"/>
    <x v="0"/>
    <n v="2020"/>
    <s v="Red"/>
    <s v="No"/>
    <x v="9"/>
    <n v="2"/>
    <x v="0"/>
    <x v="0"/>
    <x v="1"/>
    <s v="Elected"/>
    <s v="Small Business"/>
    <s v="Foreign Relations"/>
    <s v="Energy"/>
    <s v="Intelligence"/>
    <s v="Yes"/>
  </r>
  <r>
    <x v="18"/>
    <n v="78"/>
    <s v="Religious"/>
    <s v="Tennessee"/>
    <x v="0"/>
    <x v="18"/>
    <x v="0"/>
    <n v="2020"/>
    <s v="Red"/>
    <s v="No"/>
    <x v="11"/>
    <n v="3"/>
    <x v="0"/>
    <x v="0"/>
    <x v="9"/>
    <s v="Elected"/>
    <s v="HELP"/>
    <s v="Appropriations"/>
    <s v="Energy"/>
    <s v="None"/>
    <s v="Yes"/>
  </r>
  <r>
    <x v="19"/>
    <n v="67"/>
    <s v="Conservative"/>
    <s v="Idaho"/>
    <x v="0"/>
    <x v="19"/>
    <x v="0"/>
    <n v="2022"/>
    <s v="Red"/>
    <s v="No"/>
    <x v="4"/>
    <n v="4"/>
    <x v="0"/>
    <x v="0"/>
    <x v="3"/>
    <s v="Elected"/>
    <s v="Banking"/>
    <s v="Judiciary"/>
    <s v="Finance"/>
    <s v="None"/>
    <s v="Yes"/>
  </r>
  <r>
    <x v="20"/>
    <n v="72"/>
    <s v="Moderate"/>
    <s v="Connecticut"/>
    <x v="1"/>
    <x v="20"/>
    <x v="0"/>
    <n v="2022"/>
    <s v="Blue"/>
    <s v="No"/>
    <x v="0"/>
    <n v="2"/>
    <x v="0"/>
    <x v="0"/>
    <x v="10"/>
    <s v="Elected"/>
    <s v="Judiciary"/>
    <s v="Armed Services"/>
    <s v="CST"/>
    <s v="Aging"/>
    <s v="No"/>
  </r>
  <r>
    <x v="21"/>
    <n v="84"/>
    <s v="Religious"/>
    <s v="Alabama"/>
    <x v="0"/>
    <x v="21"/>
    <x v="3"/>
    <n v="2022"/>
    <s v="Red"/>
    <s v="No"/>
    <x v="12"/>
    <n v="6"/>
    <x v="0"/>
    <x v="0"/>
    <x v="3"/>
    <s v="Elected"/>
    <s v="Appropriations"/>
    <s v="Banking"/>
    <s v="Rules"/>
    <s v="None"/>
    <s v="Yes"/>
  </r>
  <r>
    <x v="22"/>
    <n v="78"/>
    <s v="Establishment"/>
    <s v="Vermont"/>
    <x v="1"/>
    <x v="22"/>
    <x v="3"/>
    <n v="2022"/>
    <s v="Blue"/>
    <s v="No"/>
    <x v="13"/>
    <n v="8"/>
    <x v="0"/>
    <x v="0"/>
    <x v="11"/>
    <s v="Elected"/>
    <s v="Appropriations"/>
    <s v="Judiciary"/>
    <s v="Agriculture"/>
    <s v="None"/>
    <s v="Yes"/>
  </r>
  <r>
    <x v="23"/>
    <n v="64"/>
    <s v="Midway"/>
    <s v="West Virginia"/>
    <x v="0"/>
    <x v="23"/>
    <x v="0"/>
    <n v="2020"/>
    <s v="Red"/>
    <s v="No"/>
    <x v="5"/>
    <n v="1"/>
    <x v="0"/>
    <x v="1"/>
    <x v="3"/>
    <s v="Elected"/>
    <s v="Appropriations"/>
    <s v="CST"/>
    <s v="Environment"/>
    <s v="None"/>
    <s v="No"/>
  </r>
  <r>
    <x v="24"/>
    <n v="66"/>
    <s v="Leadership"/>
    <s v="Texas"/>
    <x v="0"/>
    <x v="24"/>
    <x v="0"/>
    <n v="2020"/>
    <s v="Red"/>
    <s v="No"/>
    <x v="14"/>
    <n v="3"/>
    <x v="0"/>
    <x v="0"/>
    <x v="10"/>
    <s v="Elected"/>
    <s v="Judiciary"/>
    <s v="Finance"/>
    <s v="Unassigned"/>
    <s v="Intelligence"/>
    <s v="No"/>
  </r>
  <r>
    <x v="25"/>
    <n v="59"/>
    <s v="Establishment"/>
    <s v="Maryland"/>
    <x v="1"/>
    <x v="25"/>
    <x v="0"/>
    <n v="2022"/>
    <s v="Blue"/>
    <s v="No"/>
    <x v="15"/>
    <n v="1"/>
    <x v="0"/>
    <x v="0"/>
    <x v="3"/>
    <s v="Elected"/>
    <s v="Appropriations"/>
    <s v="Budget"/>
    <s v="Banking"/>
    <s v="None"/>
    <s v="No"/>
  </r>
  <r>
    <x v="26"/>
    <n v="64"/>
    <s v="Conservative"/>
    <s v="Kansas"/>
    <x v="0"/>
    <x v="26"/>
    <x v="6"/>
    <n v="2022"/>
    <s v="Red"/>
    <s v="No"/>
    <x v="0"/>
    <n v="2"/>
    <x v="0"/>
    <x v="0"/>
    <x v="3"/>
    <s v="Elected"/>
    <s v="Appropriations"/>
    <s v="CST"/>
    <s v="Environment"/>
    <s v="None"/>
    <s v="No"/>
  </r>
  <r>
    <x v="27"/>
    <n v="85"/>
    <s v="Religious"/>
    <s v="Iowa"/>
    <x v="0"/>
    <x v="27"/>
    <x v="3"/>
    <n v="2022"/>
    <s v="Red"/>
    <s v="No"/>
    <x v="16"/>
    <n v="7"/>
    <x v="0"/>
    <x v="0"/>
    <x v="3"/>
    <s v="Elected"/>
    <s v="Finance"/>
    <s v="Judiciary"/>
    <s v="Budget"/>
    <s v="None"/>
    <s v="Yes"/>
  </r>
  <r>
    <x v="28"/>
    <n v="58"/>
    <s v="Establishment"/>
    <s v="Minnesota"/>
    <x v="1"/>
    <x v="28"/>
    <x v="2"/>
    <n v="2024"/>
    <s v="Blue"/>
    <s v="No"/>
    <x v="7"/>
    <n v="3"/>
    <x v="0"/>
    <x v="1"/>
    <x v="11"/>
    <s v="Elected"/>
    <s v="Rules"/>
    <s v="Judiciary"/>
    <s v="CST"/>
    <s v="None"/>
    <s v="Yes"/>
  </r>
  <r>
    <x v="29"/>
    <n v="69"/>
    <s v="Anti-Establishment"/>
    <s v="Massachusetts"/>
    <x v="1"/>
    <x v="29"/>
    <x v="2"/>
    <n v="2024"/>
    <s v="Blue"/>
    <s v="Fifth"/>
    <x v="6"/>
    <n v="2"/>
    <x v="0"/>
    <x v="1"/>
    <x v="12"/>
    <s v="Elected"/>
    <s v="Banking"/>
    <s v="Armed Services"/>
    <s v="HELP"/>
    <s v="Aging"/>
    <s v="No"/>
  </r>
  <r>
    <x v="30"/>
    <n v="72"/>
    <s v="Establishment"/>
    <s v="Massachusetts"/>
    <x v="1"/>
    <x v="30"/>
    <x v="0"/>
    <n v="2020"/>
    <s v="Blue"/>
    <s v="No"/>
    <x v="6"/>
    <n v="1"/>
    <x v="0"/>
    <x v="0"/>
    <x v="3"/>
    <s v="Appointed"/>
    <s v="Foreign Relations"/>
    <s v="CST"/>
    <s v="Environment"/>
    <s v="None"/>
    <s v="No"/>
  </r>
  <r>
    <x v="31"/>
    <n v="53"/>
    <s v="Moderate"/>
    <s v="South Carolina"/>
    <x v="0"/>
    <x v="31"/>
    <x v="0"/>
    <n v="2022"/>
    <s v="Red"/>
    <s v="No"/>
    <x v="6"/>
    <n v="1"/>
    <x v="2"/>
    <x v="0"/>
    <x v="3"/>
    <s v="Appointed"/>
    <s v="Finance"/>
    <s v="Armed Services"/>
    <s v="Banking"/>
    <s v="None"/>
    <s v="No"/>
  </r>
  <r>
    <x v="32"/>
    <n v="67"/>
    <s v="Conservative"/>
    <s v="Arkansas"/>
    <x v="0"/>
    <x v="32"/>
    <x v="0"/>
    <n v="2022"/>
    <s v="Red"/>
    <s v="No"/>
    <x v="0"/>
    <n v="2"/>
    <x v="0"/>
    <x v="0"/>
    <x v="3"/>
    <s v="Elected"/>
    <s v="Appropriations"/>
    <s v="Budget"/>
    <s v="Environment"/>
    <s v="None"/>
    <s v="No"/>
  </r>
  <r>
    <x v="33"/>
    <n v="54"/>
    <s v="Anti-Establishment"/>
    <s v="California"/>
    <x v="1"/>
    <x v="33"/>
    <x v="2"/>
    <n v="2022"/>
    <s v="Blue"/>
    <s v="No"/>
    <x v="15"/>
    <n v="1"/>
    <x v="2"/>
    <x v="1"/>
    <x v="10"/>
    <s v="Elected"/>
    <s v="Judiciary"/>
    <s v="Budget"/>
    <s v="Homeland Security"/>
    <s v="Intelligence"/>
    <s v="No"/>
  </r>
  <r>
    <x v="34"/>
    <n v="63"/>
    <s v="Moderate"/>
    <s v="Rhode Island"/>
    <x v="1"/>
    <x v="34"/>
    <x v="1"/>
    <n v="2024"/>
    <s v="Blue"/>
    <s v="No"/>
    <x v="7"/>
    <n v="3"/>
    <x v="0"/>
    <x v="0"/>
    <x v="10"/>
    <s v="Elected"/>
    <s v="Judiciary"/>
    <s v="Finance"/>
    <s v="Budget"/>
    <s v="None"/>
    <s v="No"/>
  </r>
  <r>
    <x v="35"/>
    <n v="71"/>
    <s v="Moderate"/>
    <s v="Delaware"/>
    <x v="1"/>
    <x v="35"/>
    <x v="1"/>
    <n v="2024"/>
    <s v="Blue"/>
    <s v="No"/>
    <x v="17"/>
    <n v="4"/>
    <x v="0"/>
    <x v="0"/>
    <x v="0"/>
    <s v="Elected"/>
    <s v="Environment"/>
    <s v="Finance"/>
    <s v="Homeland Security"/>
    <s v="None"/>
    <s v="Yes"/>
  </r>
  <r>
    <x v="36"/>
    <n v="69"/>
    <s v="Establishment"/>
    <s v="Oregon"/>
    <x v="1"/>
    <x v="36"/>
    <x v="0"/>
    <n v="2022"/>
    <s v="Blue"/>
    <s v="No"/>
    <x v="18"/>
    <n v="4"/>
    <x v="0"/>
    <x v="0"/>
    <x v="3"/>
    <s v="Elected"/>
    <s v="Finance"/>
    <s v="Budget"/>
    <s v="Unassigned"/>
    <s v="Intelligence"/>
    <s v="Yes"/>
  </r>
  <r>
    <x v="37"/>
    <n v="66"/>
    <s v="Moderate"/>
    <s v="Louisiana"/>
    <x v="0"/>
    <x v="37"/>
    <x v="6"/>
    <n v="2022"/>
    <s v="Purple"/>
    <s v="No"/>
    <x v="15"/>
    <n v="1"/>
    <x v="0"/>
    <x v="0"/>
    <x v="13"/>
    <s v="Elected"/>
    <s v="Appropriations"/>
    <s v="Judiciary"/>
    <s v="Budget"/>
    <s v="None"/>
    <s v="No"/>
  </r>
  <r>
    <x v="38"/>
    <n v="62"/>
    <s v="Moderate"/>
    <s v="Ohio"/>
    <x v="0"/>
    <x v="38"/>
    <x v="0"/>
    <n v="2022"/>
    <s v="Purple"/>
    <s v="No"/>
    <x v="0"/>
    <n v="2"/>
    <x v="0"/>
    <x v="0"/>
    <x v="3"/>
    <s v="Elected"/>
    <s v="Finance"/>
    <s v="Foreign Relations"/>
    <s v="Homeland Security"/>
    <s v="None"/>
    <s v="No"/>
  </r>
  <r>
    <x v="39"/>
    <n v="45"/>
    <s v="Establishment"/>
    <s v="Connecticut"/>
    <x v="1"/>
    <x v="39"/>
    <x v="1"/>
    <n v="2024"/>
    <s v="Blue"/>
    <s v="No"/>
    <x v="6"/>
    <n v="2"/>
    <x v="0"/>
    <x v="0"/>
    <x v="3"/>
    <s v="Elected"/>
    <s v="Appropriations"/>
    <s v="Foreign Relations"/>
    <s v="HELP"/>
    <s v="None"/>
    <s v="No"/>
  </r>
  <r>
    <x v="40"/>
    <n v="67"/>
    <s v="Conservative"/>
    <s v="Nebraska"/>
    <x v="0"/>
    <x v="40"/>
    <x v="1"/>
    <n v="2024"/>
    <s v="Red"/>
    <s v="No"/>
    <x v="6"/>
    <n v="2"/>
    <x v="0"/>
    <x v="1"/>
    <x v="14"/>
    <s v="Elected"/>
    <s v="Armed Services"/>
    <s v="CST"/>
    <s v="Environment"/>
    <s v="Aging"/>
    <s v="No"/>
  </r>
  <r>
    <x v="41"/>
    <n v="67"/>
    <s v="Conservative"/>
    <s v="Mississippi"/>
    <x v="0"/>
    <x v="41"/>
    <x v="1"/>
    <n v="2024"/>
    <s v="Red"/>
    <s v="No"/>
    <x v="7"/>
    <n v="2"/>
    <x v="0"/>
    <x v="0"/>
    <x v="3"/>
    <s v="Appointed"/>
    <s v="Armed Services"/>
    <s v="CST"/>
    <s v="Environment"/>
    <s v="None"/>
    <s v="No"/>
  </r>
  <r>
    <x v="42"/>
    <n v="62"/>
    <s v="Anti-Establishment"/>
    <s v="Oregon"/>
    <x v="1"/>
    <x v="42"/>
    <x v="0"/>
    <n v="2020"/>
    <s v="Blue"/>
    <s v="No"/>
    <x v="9"/>
    <n v="2"/>
    <x v="0"/>
    <x v="0"/>
    <x v="15"/>
    <s v="Elected"/>
    <s v="Appropriations"/>
    <s v="Budget"/>
    <s v="Foreign Relations"/>
    <s v="None"/>
    <s v="No"/>
  </r>
  <r>
    <x v="43"/>
    <n v="68"/>
    <s v="Leadership"/>
    <s v="Washington"/>
    <x v="1"/>
    <x v="43"/>
    <x v="0"/>
    <n v="2022"/>
    <s v="Blue"/>
    <s v="Third"/>
    <x v="19"/>
    <n v="5"/>
    <x v="0"/>
    <x v="1"/>
    <x v="6"/>
    <s v="Elected"/>
    <s v="HELP"/>
    <s v="Appropriations"/>
    <s v="Budget"/>
    <s v="None"/>
    <s v="Yes"/>
  </r>
  <r>
    <x v="44"/>
    <n v="56"/>
    <s v="Conservative"/>
    <s v="Montana"/>
    <x v="0"/>
    <x v="44"/>
    <x v="6"/>
    <n v="2020"/>
    <s v="Purple"/>
    <s v="No"/>
    <x v="5"/>
    <n v="1"/>
    <x v="0"/>
    <x v="0"/>
    <x v="3"/>
    <s v="Elected"/>
    <s v="Appropriations"/>
    <s v="Homeland Security"/>
    <s v="Energy"/>
    <s v="None"/>
    <s v="No"/>
  </r>
  <r>
    <x v="45"/>
    <n v="44"/>
    <s v="Conservative"/>
    <s v="Arkansas"/>
    <x v="0"/>
    <x v="45"/>
    <x v="0"/>
    <n v="2020"/>
    <s v="Red"/>
    <s v="Unofficial"/>
    <x v="5"/>
    <n v="1"/>
    <x v="0"/>
    <x v="0"/>
    <x v="3"/>
    <s v="Elected"/>
    <s v="Armed Services"/>
    <s v="Banking"/>
    <s v="Aging"/>
    <s v="Intelligence"/>
    <s v="No"/>
  </r>
  <r>
    <x v="46"/>
    <n v="60"/>
    <s v="Establishment"/>
    <s v="Washington"/>
    <x v="1"/>
    <x v="46"/>
    <x v="1"/>
    <n v="2024"/>
    <s v="Blue"/>
    <s v="No"/>
    <x v="17"/>
    <n v="4"/>
    <x v="0"/>
    <x v="1"/>
    <x v="3"/>
    <s v="Elected"/>
    <s v="Energy"/>
    <s v="Finance"/>
    <s v="CST"/>
    <s v="None"/>
    <s v="Yes"/>
  </r>
  <r>
    <x v="47"/>
    <n v="63"/>
    <s v="Conservative"/>
    <s v="South Carolina"/>
    <x v="0"/>
    <x v="47"/>
    <x v="0"/>
    <n v="2020"/>
    <s v="Red"/>
    <s v="No"/>
    <x v="11"/>
    <n v="3"/>
    <x v="0"/>
    <x v="0"/>
    <x v="3"/>
    <s v="Elected"/>
    <s v="Judiciary"/>
    <s v="Appropriations"/>
    <s v="Armed Forces"/>
    <s v="None"/>
    <s v="Yes"/>
  </r>
  <r>
    <x v="48"/>
    <n v="60"/>
    <s v="Establishment"/>
    <s v="Virginia"/>
    <x v="1"/>
    <x v="48"/>
    <x v="1"/>
    <n v="2024"/>
    <s v="Blue"/>
    <s v="No"/>
    <x v="6"/>
    <n v="2"/>
    <x v="0"/>
    <x v="0"/>
    <x v="0"/>
    <s v="Elected"/>
    <s v="Budget"/>
    <s v="Armed Services"/>
    <s v="Foreign Relations"/>
    <s v="None"/>
    <s v="No"/>
  </r>
  <r>
    <x v="49"/>
    <n v="76"/>
    <s v="Leadership"/>
    <s v="Kentucky"/>
    <x v="0"/>
    <x v="49"/>
    <x v="0"/>
    <n v="2020"/>
    <s v="Red"/>
    <s v="First"/>
    <x v="20"/>
    <n v="6"/>
    <x v="0"/>
    <x v="0"/>
    <x v="16"/>
    <s v="Elected"/>
    <s v="Appropriations"/>
    <s v="Rules"/>
    <s v="Agriculture"/>
    <s v="None"/>
    <s v="No"/>
  </r>
  <r>
    <x v="50"/>
    <n v="50"/>
    <s v="Establishment"/>
    <s v="Illinois"/>
    <x v="1"/>
    <x v="50"/>
    <x v="0"/>
    <n v="2022"/>
    <s v="Blue"/>
    <s v="No"/>
    <x v="15"/>
    <n v="1"/>
    <x v="1"/>
    <x v="1"/>
    <x v="3"/>
    <s v="Elected"/>
    <s v="CST"/>
    <s v="Energy"/>
    <s v="Environment"/>
    <s v="None"/>
    <s v="No"/>
  </r>
  <r>
    <x v="51"/>
    <n v="55"/>
    <s v="Libertarian"/>
    <s v="Kentucky"/>
    <x v="0"/>
    <x v="51"/>
    <x v="0"/>
    <n v="2022"/>
    <s v="Red"/>
    <s v="No"/>
    <x v="0"/>
    <n v="2"/>
    <x v="0"/>
    <x v="0"/>
    <x v="5"/>
    <s v="Elected"/>
    <s v="Foreign Relations"/>
    <s v="Homeland Security"/>
    <s v="HELP"/>
    <s v="None"/>
    <s v="No"/>
  </r>
  <r>
    <x v="52"/>
    <n v="73"/>
    <s v="Conservative"/>
    <s v="Georgia"/>
    <x v="0"/>
    <x v="52"/>
    <x v="6"/>
    <n v="2022"/>
    <s v="Red"/>
    <s v="No"/>
    <x v="3"/>
    <n v="3"/>
    <x v="0"/>
    <x v="0"/>
    <x v="3"/>
    <s v="Elected"/>
    <s v="Veterans Affairs"/>
    <s v="Finance"/>
    <s v="HELP"/>
    <s v="Ethics"/>
    <s v="Yes"/>
  </r>
  <r>
    <x v="53"/>
    <n v="68"/>
    <s v="Conservative"/>
    <s v="Missouri"/>
    <x v="0"/>
    <x v="53"/>
    <x v="6"/>
    <n v="2022"/>
    <s v="Red"/>
    <s v="No"/>
    <x v="0"/>
    <n v="2"/>
    <x v="0"/>
    <x v="0"/>
    <x v="3"/>
    <s v="Elected"/>
    <s v="Rules"/>
    <s v="Appropriations"/>
    <s v="CST"/>
    <s v="Intelligence"/>
    <s v="Yes"/>
  </r>
  <r>
    <x v="54"/>
    <n v="55"/>
    <s v="Moderate"/>
    <s v="Delaware"/>
    <x v="1"/>
    <x v="54"/>
    <x v="0"/>
    <n v="2020"/>
    <s v="Blue"/>
    <s v="No"/>
    <x v="21"/>
    <n v="1"/>
    <x v="0"/>
    <x v="0"/>
    <x v="16"/>
    <s v="Elected"/>
    <s v="Ethics"/>
    <s v="Judiciary"/>
    <s v="Foreign Relations"/>
    <s v="None"/>
    <s v="Yes"/>
  </r>
  <r>
    <x v="55"/>
    <n v="49"/>
    <s v="Anti-Establishment"/>
    <s v="New Jersey"/>
    <x v="1"/>
    <x v="55"/>
    <x v="2"/>
    <n v="2020"/>
    <s v="Blue"/>
    <s v="No"/>
    <x v="6"/>
    <n v="1"/>
    <x v="2"/>
    <x v="0"/>
    <x v="16"/>
    <s v="Elected"/>
    <s v="Judiciary"/>
    <s v="Foreign Relations"/>
    <s v="CST"/>
    <s v="None"/>
    <s v="No"/>
  </r>
  <r>
    <x v="56"/>
    <n v="59"/>
    <s v="Moderate"/>
    <s v="Michigan"/>
    <x v="1"/>
    <x v="56"/>
    <x v="6"/>
    <n v="2020"/>
    <s v="Blue"/>
    <s v="No"/>
    <x v="5"/>
    <n v="1"/>
    <x v="0"/>
    <x v="0"/>
    <x v="3"/>
    <s v="Elected"/>
    <s v="CST"/>
    <s v="Homeland Security"/>
    <s v="Unassigned"/>
    <s v="None"/>
    <s v="No"/>
  </r>
  <r>
    <x v="57"/>
    <n v="58"/>
    <s v="Moderate"/>
    <s v="Pennsylvania"/>
    <x v="1"/>
    <x v="57"/>
    <x v="1"/>
    <n v="2024"/>
    <s v="Purple"/>
    <s v="No"/>
    <x v="7"/>
    <n v="3"/>
    <x v="0"/>
    <x v="0"/>
    <x v="13"/>
    <s v="Elected"/>
    <s v="Aging"/>
    <s v="Finance"/>
    <s v="HELP"/>
    <s v="None"/>
    <s v="Yes"/>
  </r>
  <r>
    <x v="58"/>
    <n v="61"/>
    <s v="Moderate"/>
    <s v="Louisiana"/>
    <x v="0"/>
    <x v="58"/>
    <x v="6"/>
    <n v="2020"/>
    <s v="Purple"/>
    <s v="No"/>
    <x v="5"/>
    <n v="1"/>
    <x v="0"/>
    <x v="0"/>
    <x v="3"/>
    <s v="Elected"/>
    <s v="Finance"/>
    <s v="Energy"/>
    <s v="HELP"/>
    <s v="None"/>
    <s v="No"/>
  </r>
  <r>
    <x v="59"/>
    <n v="70"/>
    <s v="Moderate"/>
    <s v="New Mexico"/>
    <x v="1"/>
    <x v="59"/>
    <x v="0"/>
    <n v="2020"/>
    <s v="Blue"/>
    <s v="No"/>
    <x v="9"/>
    <n v="2"/>
    <x v="0"/>
    <x v="0"/>
    <x v="3"/>
    <s v="Elected"/>
    <s v="Indian Affairs"/>
    <s v="Appropriations"/>
    <s v="Foreign Relations"/>
    <s v="None"/>
    <s v="Yes"/>
  </r>
  <r>
    <x v="60"/>
    <n v="56"/>
    <s v="Anti-Establishment"/>
    <s v="Wisconsin"/>
    <x v="1"/>
    <x v="60"/>
    <x v="1"/>
    <n v="2024"/>
    <s v="Purple"/>
    <s v="No"/>
    <x v="6"/>
    <n v="2"/>
    <x v="0"/>
    <x v="1"/>
    <x v="3"/>
    <s v="Elected"/>
    <s v="Appropriations"/>
    <s v="CST"/>
    <s v="HELP"/>
    <s v="None"/>
    <s v="No"/>
  </r>
  <r>
    <x v="61"/>
    <n v="66"/>
    <s v="Conservative"/>
    <s v="Tennessee"/>
    <x v="0"/>
    <x v="61"/>
    <x v="5"/>
    <n v="2024"/>
    <s v="Red"/>
    <s v="No"/>
    <x v="10"/>
    <n v="1"/>
    <x v="0"/>
    <x v="1"/>
    <x v="3"/>
    <s v="Elected"/>
    <s v="Unassigned"/>
    <s v="Unassigned"/>
    <s v="Unassigned"/>
    <s v="None"/>
    <s v="No"/>
  </r>
  <r>
    <x v="62"/>
    <n v="82"/>
    <s v="Conservative"/>
    <s v="Kansas"/>
    <x v="0"/>
    <x v="62"/>
    <x v="0"/>
    <n v="2020"/>
    <s v="Red"/>
    <s v="No"/>
    <x v="2"/>
    <n v="4"/>
    <x v="0"/>
    <x v="0"/>
    <x v="3"/>
    <s v="Elected"/>
    <s v="Agriculture"/>
    <s v="Finance"/>
    <s v="HELP"/>
    <s v="Ethics"/>
    <s v="Yes"/>
  </r>
  <r>
    <x v="63"/>
    <n v="73"/>
    <s v="Leadership"/>
    <s v="Illinois"/>
    <x v="1"/>
    <x v="62"/>
    <x v="0"/>
    <n v="2020"/>
    <s v="Blue"/>
    <s v="Second"/>
    <x v="2"/>
    <n v="4"/>
    <x v="0"/>
    <x v="0"/>
    <x v="3"/>
    <s v="Elected"/>
    <s v="Appropriations"/>
    <s v="Judiciary"/>
    <s v="Rules"/>
    <s v="None"/>
    <s v="No"/>
  </r>
  <r>
    <x v="64"/>
    <n v="60"/>
    <s v="Establishment"/>
    <s v="Minnesota"/>
    <x v="1"/>
    <x v="62"/>
    <x v="1"/>
    <n v="2024"/>
    <s v="Blue"/>
    <s v="No"/>
    <x v="22"/>
    <n v="1"/>
    <x v="0"/>
    <x v="1"/>
    <x v="1"/>
    <s v="Appointed"/>
    <s v="Energy"/>
    <s v="HELP"/>
    <s v="Agriculture"/>
    <s v="None"/>
    <s v="No"/>
  </r>
  <r>
    <x v="65"/>
    <n v="64"/>
    <s v="Moderate"/>
    <s v="New Jersey"/>
    <x v="1"/>
    <x v="62"/>
    <x v="1"/>
    <n v="2024"/>
    <s v="Blue"/>
    <s v="No"/>
    <x v="23"/>
    <n v="3"/>
    <x v="3"/>
    <x v="0"/>
    <x v="3"/>
    <s v="Appointed"/>
    <s v="Foreign Relations"/>
    <s v="Finance"/>
    <s v="Banking"/>
    <s v="None"/>
    <s v="Yes"/>
  </r>
  <r>
    <x v="66"/>
    <n v="57"/>
    <s v="Conservative"/>
    <s v="North Dakota"/>
    <x v="0"/>
    <x v="63"/>
    <x v="5"/>
    <n v="2024"/>
    <s v="Red"/>
    <s v="No"/>
    <x v="10"/>
    <n v="1"/>
    <x v="0"/>
    <x v="0"/>
    <x v="3"/>
    <s v="Elected"/>
    <s v="Unassigned"/>
    <s v="Unassigned"/>
    <s v="Unassigned"/>
    <s v="None"/>
    <s v="No"/>
  </r>
  <r>
    <x v="67"/>
    <n v="46"/>
    <s v="Moderate"/>
    <s v="Indiana"/>
    <x v="0"/>
    <x v="64"/>
    <x v="6"/>
    <n v="2022"/>
    <s v="Red"/>
    <s v="No"/>
    <x v="15"/>
    <n v="1"/>
    <x v="0"/>
    <x v="0"/>
    <x v="3"/>
    <s v="Elected"/>
    <s v="Foreign Relations"/>
    <s v="CST"/>
    <s v="HELP"/>
    <s v="None"/>
    <s v="No"/>
  </r>
  <r>
    <x v="68"/>
    <n v="74"/>
    <s v="Moderate"/>
    <s v="Maine"/>
    <x v="2"/>
    <x v="65"/>
    <x v="1"/>
    <n v="2024"/>
    <s v="Purple"/>
    <s v="No"/>
    <x v="6"/>
    <n v="2"/>
    <x v="0"/>
    <x v="0"/>
    <x v="0"/>
    <s v="Elected"/>
    <s v="Budget"/>
    <s v="Armed Services"/>
    <s v="Energy"/>
    <s v="Intelligence"/>
    <s v="No"/>
  </r>
  <r>
    <x v="69"/>
    <n v="85"/>
    <s v="Establishment"/>
    <s v="California"/>
    <x v="1"/>
    <x v="66"/>
    <x v="1"/>
    <n v="2024"/>
    <s v="Blue"/>
    <s v="Intel"/>
    <x v="24"/>
    <n v="6"/>
    <x v="0"/>
    <x v="1"/>
    <x v="16"/>
    <s v="Elected"/>
    <s v="Judiciary"/>
    <s v="Appropriations"/>
    <s v="Rules"/>
    <s v="Intelligence"/>
    <s v="Yes"/>
  </r>
  <r>
    <x v="70"/>
    <n v="48"/>
    <s v="Leadership"/>
    <s v="Iowa"/>
    <x v="0"/>
    <x v="67"/>
    <x v="6"/>
    <n v="2020"/>
    <s v="Red"/>
    <s v="Fourth"/>
    <x v="5"/>
    <n v="1"/>
    <x v="0"/>
    <x v="1"/>
    <x v="14"/>
    <s v="Elected"/>
    <s v="Armed Services"/>
    <s v="Homeland Security"/>
    <s v="Agriculture"/>
    <s v="None"/>
    <s v="No"/>
  </r>
  <r>
    <x v="71"/>
    <n v="64"/>
    <s v="Conservative"/>
    <s v="Indiana"/>
    <x v="0"/>
    <x v="68"/>
    <x v="5"/>
    <n v="2024"/>
    <s v="Red"/>
    <s v="No"/>
    <x v="10"/>
    <n v="1"/>
    <x v="0"/>
    <x v="0"/>
    <x v="14"/>
    <s v="Elected"/>
    <s v="Unassigned"/>
    <s v="Unassigned"/>
    <s v="Unassigned"/>
    <s v="None"/>
    <s v="No"/>
  </r>
  <r>
    <x v="72"/>
    <n v="47"/>
    <s v="Moderate"/>
    <s v="New Mexico"/>
    <x v="1"/>
    <x v="69"/>
    <x v="1"/>
    <n v="2024"/>
    <s v="Blue"/>
    <s v="No"/>
    <x v="6"/>
    <n v="2"/>
    <x v="0"/>
    <x v="0"/>
    <x v="3"/>
    <s v="Elected"/>
    <s v="Armed Services"/>
    <s v="Energy"/>
    <s v="Unassigned"/>
    <s v="Intelligence"/>
    <s v="No"/>
  </r>
  <r>
    <x v="73"/>
    <n v="47"/>
    <s v="Moderate"/>
    <s v="Florida"/>
    <x v="0"/>
    <x v="70"/>
    <x v="0"/>
    <n v="2022"/>
    <s v="Red"/>
    <s v="No"/>
    <x v="0"/>
    <n v="2"/>
    <x v="3"/>
    <x v="0"/>
    <x v="15"/>
    <s v="Elected"/>
    <s v="Foreign Relations"/>
    <s v="CST"/>
    <s v="Small Business"/>
    <s v="Intelligence"/>
    <s v="No"/>
  </r>
  <r>
    <x v="74"/>
    <n v="68"/>
    <s v="Conservative"/>
    <s v="Georgia"/>
    <x v="0"/>
    <x v="71"/>
    <x v="6"/>
    <n v="2020"/>
    <s v="Red"/>
    <s v="No"/>
    <x v="5"/>
    <n v="1"/>
    <x v="0"/>
    <x v="0"/>
    <x v="3"/>
    <s v="Elected"/>
    <s v="Budget"/>
    <s v="Foreign Relations"/>
    <s v="Agriculture"/>
    <s v="Aging"/>
    <s v="No"/>
  </r>
  <r>
    <x v="75"/>
    <n v="68"/>
    <s v="Leadership"/>
    <s v="Michigan"/>
    <x v="1"/>
    <x v="72"/>
    <x v="1"/>
    <n v="2024"/>
    <s v="Blue"/>
    <s v="Fourth"/>
    <x v="17"/>
    <n v="4"/>
    <x v="0"/>
    <x v="1"/>
    <x v="3"/>
    <s v="Elected"/>
    <s v="Agriculture"/>
    <s v="Finance"/>
    <s v="Budget"/>
    <s v="None"/>
    <s v="Yes"/>
  </r>
  <r>
    <x v="76"/>
    <n v="66"/>
    <s v="Anti-Establishment"/>
    <s v="Ohio"/>
    <x v="1"/>
    <x v="72"/>
    <x v="2"/>
    <n v="2024"/>
    <s v="Purple"/>
    <s v="No"/>
    <x v="7"/>
    <n v="3"/>
    <x v="0"/>
    <x v="0"/>
    <x v="3"/>
    <s v="Elected"/>
    <s v="Banking"/>
    <s v="Finance"/>
    <s v="Agriculture"/>
    <s v="None"/>
    <s v="Yes"/>
  </r>
  <r>
    <x v="77"/>
    <n v="38"/>
    <s v="Conservative"/>
    <s v="Missouri"/>
    <x v="0"/>
    <x v="73"/>
    <x v="5"/>
    <n v="2024"/>
    <s v="Red"/>
    <s v="No"/>
    <x v="10"/>
    <n v="1"/>
    <x v="0"/>
    <x v="0"/>
    <x v="10"/>
    <s v="Elected"/>
    <s v="Unassigned"/>
    <s v="Unassigned"/>
    <s v="Unassigned"/>
    <s v="None"/>
    <s v="No"/>
  </r>
  <r>
    <x v="78"/>
    <n v="61"/>
    <s v="Establishment"/>
    <s v="Nevada"/>
    <x v="1"/>
    <x v="73"/>
    <x v="5"/>
    <n v="2024"/>
    <s v="Purple"/>
    <s v="No"/>
    <x v="10"/>
    <n v="1"/>
    <x v="0"/>
    <x v="1"/>
    <x v="3"/>
    <s v="Elected"/>
    <s v="Unassigned"/>
    <s v="Unassigned"/>
    <s v="Unassigned"/>
    <s v="None"/>
    <s v="No"/>
  </r>
  <r>
    <x v="79"/>
    <n v="53"/>
    <s v="Establishment"/>
    <s v="Colorado"/>
    <x v="1"/>
    <x v="74"/>
    <x v="0"/>
    <n v="2022"/>
    <s v="Blue"/>
    <s v="No"/>
    <x v="9"/>
    <n v="2"/>
    <x v="0"/>
    <x v="0"/>
    <x v="17"/>
    <s v="Appointed"/>
    <s v="Finance"/>
    <s v="HELP"/>
    <s v="Agriculture"/>
    <s v="None"/>
    <s v="No"/>
  </r>
  <r>
    <x v="80"/>
    <n v="62"/>
    <s v="Conservative"/>
    <s v="North Carolina"/>
    <x v="0"/>
    <x v="74"/>
    <x v="7"/>
    <n v="2022"/>
    <s v="Purple"/>
    <s v="Intel"/>
    <x v="3"/>
    <n v="3"/>
    <x v="0"/>
    <x v="0"/>
    <x v="3"/>
    <s v="Elected"/>
    <s v="Intelligence"/>
    <s v="Finance"/>
    <s v="HELP"/>
    <s v="Aging"/>
    <s v="Yes"/>
  </r>
  <r>
    <x v="81"/>
    <n v="64"/>
    <s v="Religious"/>
    <s v="South Dakota"/>
    <x v="0"/>
    <x v="75"/>
    <x v="0"/>
    <n v="2020"/>
    <s v="Red"/>
    <s v="No"/>
    <x v="5"/>
    <n v="1"/>
    <x v="0"/>
    <x v="0"/>
    <x v="0"/>
    <s v="Elected"/>
    <s v="Armed Services"/>
    <s v="Banking"/>
    <s v="Environment"/>
    <s v="None"/>
    <s v="No"/>
  </r>
  <r>
    <x v="82"/>
    <n v="63"/>
    <s v="Conservative"/>
    <s v="Wisconsin"/>
    <x v="0"/>
    <x v="76"/>
    <x v="6"/>
    <n v="2022"/>
    <s v="Purple"/>
    <s v="No"/>
    <x v="0"/>
    <n v="2"/>
    <x v="0"/>
    <x v="0"/>
    <x v="2"/>
    <s v="Elected"/>
    <s v="Homeland Security"/>
    <s v="Budget"/>
    <s v="Foreign Relations"/>
    <s v="None"/>
    <s v="Yes"/>
  </r>
  <r>
    <x v="83"/>
    <n v="71"/>
    <s v="Moderate"/>
    <s v="New Hampshire"/>
    <x v="1"/>
    <x v="77"/>
    <x v="6"/>
    <n v="2020"/>
    <s v="Purple"/>
    <s v="No"/>
    <x v="9"/>
    <n v="2"/>
    <x v="0"/>
    <x v="1"/>
    <x v="0"/>
    <s v="Elected"/>
    <s v="Small Business"/>
    <s v="Appropriations"/>
    <s v="Armed Forces"/>
    <s v="None"/>
    <s v="Yes "/>
  </r>
  <r>
    <x v="84"/>
    <n v="71"/>
    <s v="Moderate"/>
    <s v="West Virginia"/>
    <x v="1"/>
    <x v="78"/>
    <x v="1"/>
    <n v="2024"/>
    <s v="Red"/>
    <s v="No"/>
    <x v="21"/>
    <n v="2"/>
    <x v="0"/>
    <x v="0"/>
    <x v="0"/>
    <s v="Elected"/>
    <s v="Appropriations"/>
    <s v="Energy"/>
    <s v="Veterans Affairs"/>
    <s v="Intelligence"/>
    <s v="No"/>
  </r>
  <r>
    <x v="85"/>
    <n v="62"/>
    <s v="Moderate"/>
    <s v="Montana"/>
    <x v="1"/>
    <x v="78"/>
    <x v="1"/>
    <n v="2024"/>
    <s v="Purple"/>
    <s v="No"/>
    <x v="7"/>
    <n v="3"/>
    <x v="0"/>
    <x v="0"/>
    <x v="18"/>
    <s v="Elected"/>
    <s v="Veterans Affairs"/>
    <s v="Appropriations"/>
    <s v="Banking"/>
    <s v="None"/>
    <s v="Yes"/>
  </r>
  <r>
    <x v="86"/>
    <n v="47"/>
    <s v="Conservative"/>
    <s v="Texas"/>
    <x v="0"/>
    <x v="79"/>
    <x v="1"/>
    <n v="2024"/>
    <s v="Red"/>
    <s v="No"/>
    <x v="6"/>
    <n v="2"/>
    <x v="3"/>
    <x v="0"/>
    <x v="12"/>
    <s v="Elected"/>
    <s v="Judiciary"/>
    <s v="Armed Services"/>
    <s v="CST"/>
    <s v="Aging"/>
    <s v="No"/>
  </r>
  <r>
    <x v="87"/>
    <n v="54"/>
    <s v="Establishment"/>
    <s v="Nevada"/>
    <x v="1"/>
    <x v="80"/>
    <x v="0"/>
    <n v="2022"/>
    <s v="Blue"/>
    <s v="No"/>
    <x v="15"/>
    <n v="1"/>
    <x v="3"/>
    <x v="1"/>
    <x v="10"/>
    <s v="Elected"/>
    <s v="Banking"/>
    <s v="CST"/>
    <s v="Energy"/>
    <s v="Aging"/>
    <s v="No"/>
  </r>
  <r>
    <x v="88"/>
    <n v="53"/>
    <s v="Moderate"/>
    <s v="Alaska"/>
    <x v="0"/>
    <x v="81"/>
    <x v="0"/>
    <n v="2020"/>
    <s v="Red"/>
    <s v="No"/>
    <x v="5"/>
    <n v="1"/>
    <x v="0"/>
    <x v="0"/>
    <x v="10"/>
    <s v="Elected"/>
    <s v="Armed Services"/>
    <s v="CST"/>
    <s v="Environment"/>
    <s v="None"/>
    <s v="No"/>
  </r>
  <r>
    <x v="89"/>
    <n v="44"/>
    <s v="Religious"/>
    <s v="Colorado"/>
    <x v="0"/>
    <x v="82"/>
    <x v="4"/>
    <n v="2020"/>
    <s v="Blue"/>
    <s v="Sixth"/>
    <x v="5"/>
    <n v="1"/>
    <x v="0"/>
    <x v="0"/>
    <x v="3"/>
    <s v="Elected"/>
    <s v="Foreign Relations"/>
    <s v="CST"/>
    <s v="Energy"/>
    <s v="None"/>
    <s v="No"/>
  </r>
  <r>
    <x v="90"/>
    <n v="64"/>
    <s v="Establishment"/>
    <s v="Alabama"/>
    <x v="1"/>
    <x v="83"/>
    <x v="8"/>
    <n v="2020"/>
    <s v="Red"/>
    <s v="No"/>
    <x v="22"/>
    <n v="1"/>
    <x v="0"/>
    <x v="0"/>
    <x v="19"/>
    <s v="Elected"/>
    <s v="Banking"/>
    <s v="Homeland Security"/>
    <s v="HELP"/>
    <s v="None"/>
    <s v="No"/>
  </r>
  <r>
    <x v="91"/>
    <n v="42"/>
    <s v="Moderate"/>
    <s v="Arizona"/>
    <x v="1"/>
    <x v="84"/>
    <x v="5"/>
    <n v="2024"/>
    <s v="Red"/>
    <s v="No"/>
    <x v="10"/>
    <n v="1"/>
    <x v="0"/>
    <x v="1"/>
    <x v="3"/>
    <s v="Elected"/>
    <s v="Unassigned"/>
    <s v="Unassigned"/>
    <s v="Unassigned"/>
    <s v="None"/>
    <s v="No"/>
  </r>
  <r>
    <x v="92"/>
    <n v="58"/>
    <s v="Religious"/>
    <s v="North Carolina"/>
    <x v="0"/>
    <x v="85"/>
    <x v="6"/>
    <n v="2020"/>
    <s v="Purple"/>
    <s v="No"/>
    <x v="5"/>
    <n v="1"/>
    <x v="0"/>
    <x v="0"/>
    <x v="15"/>
    <s v="Elected"/>
    <s v="Judiciary"/>
    <s v="Armed Services"/>
    <s v="Agriculture"/>
    <s v="Aging"/>
    <s v="No"/>
  </r>
  <r>
    <x v="93"/>
    <n v="56"/>
    <s v="Conservative"/>
    <s v="Pennsylvania"/>
    <x v="0"/>
    <x v="86"/>
    <x v="6"/>
    <n v="2022"/>
    <s v="Purple"/>
    <s v="No"/>
    <x v="0"/>
    <n v="1"/>
    <x v="0"/>
    <x v="0"/>
    <x v="3"/>
    <s v="Elected"/>
    <s v="Finance"/>
    <s v="Budget"/>
    <s v="Banking"/>
    <s v="None"/>
    <s v="No"/>
  </r>
  <r>
    <x v="94"/>
    <n v="63"/>
    <s v="Moderate"/>
    <s v="Virginia"/>
    <x v="1"/>
    <x v="87"/>
    <x v="0"/>
    <n v="2020"/>
    <s v="Blue"/>
    <s v="No"/>
    <x v="9"/>
    <n v="2"/>
    <x v="0"/>
    <x v="0"/>
    <x v="0"/>
    <s v="Elected"/>
    <s v="Intelligence"/>
    <s v="Finance"/>
    <s v="Budget"/>
    <s v="None"/>
    <s v="Yes"/>
  </r>
  <r>
    <x v="95"/>
    <n v="65"/>
    <s v="Conservative"/>
    <s v="Florida"/>
    <x v="0"/>
    <x v="88"/>
    <x v="5"/>
    <n v="2024"/>
    <s v="Red"/>
    <s v="No"/>
    <x v="10"/>
    <n v="1"/>
    <x v="0"/>
    <x v="0"/>
    <x v="0"/>
    <s v="Elected"/>
    <s v="Unassigned"/>
    <s v="Unassigned"/>
    <s v="Unassigned"/>
    <s v="None"/>
    <s v="No"/>
  </r>
  <r>
    <x v="96"/>
    <n v="60"/>
    <s v="Moderate"/>
    <s v="New Hampshire"/>
    <x v="1"/>
    <x v="89"/>
    <x v="6"/>
    <n v="2022"/>
    <s v="Purple"/>
    <s v="No"/>
    <x v="15"/>
    <n v="1"/>
    <x v="0"/>
    <x v="1"/>
    <x v="0"/>
    <s v="Elected"/>
    <s v="CST"/>
    <s v="Homeland Security"/>
    <s v="HELP"/>
    <s v="None"/>
    <s v="No"/>
  </r>
  <r>
    <x v="97"/>
    <n v="59"/>
    <s v="Conservative"/>
    <s v="Mississippi"/>
    <x v="0"/>
    <x v="90"/>
    <x v="1"/>
    <n v="2024"/>
    <s v="Red"/>
    <s v="No"/>
    <x v="15"/>
    <n v="1"/>
    <x v="0"/>
    <x v="1"/>
    <x v="20"/>
    <s v="Appointed"/>
    <s v="Appropriations"/>
    <s v="Rules"/>
    <s v="Agriculture"/>
    <s v="None"/>
    <s v="No"/>
  </r>
  <r>
    <x v="98"/>
    <n v="76"/>
    <s v="Moderate"/>
    <s v="Arizona"/>
    <x v="0"/>
    <x v="90"/>
    <x v="7"/>
    <n v="2020"/>
    <s v="Red"/>
    <s v="No"/>
    <x v="22"/>
    <n v="1"/>
    <x v="0"/>
    <x v="0"/>
    <x v="21"/>
    <s v="Appointed"/>
    <s v="Armed Services"/>
    <s v="Homeland Security"/>
    <s v="Indian Affairs"/>
    <s v="None"/>
    <s v="No"/>
  </r>
  <r>
    <x v="99"/>
    <n v="61"/>
    <s v="Moderate"/>
    <s v="Alaska"/>
    <x v="0"/>
    <x v="91"/>
    <x v="0"/>
    <n v="2022"/>
    <s v="Red"/>
    <s v="No"/>
    <x v="14"/>
    <n v="3"/>
    <x v="0"/>
    <x v="1"/>
    <x v="18"/>
    <s v="Appointed"/>
    <s v="Energy"/>
    <s v="Appropriations"/>
    <s v="HELP"/>
    <s v="None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801B0B-3C9F-C940-BA3B-D089604148D8}" name="PivotTable3" cacheId="1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B24" firstHeaderRow="1" firstDataRow="1" firstDataCol="1"/>
  <pivotFields count="21"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>
      <items count="93"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showAll="0" sortType="descending">
      <items count="10">
        <item x="4"/>
        <item x="8"/>
        <item x="0"/>
        <item x="2"/>
        <item x="7"/>
        <item x="3"/>
        <item x="1"/>
        <item x="5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axis="axisRow" showAll="0">
      <items count="23">
        <item x="4"/>
        <item x="2"/>
        <item x="17"/>
        <item x="11"/>
        <item x="19"/>
        <item x="0"/>
        <item x="1"/>
        <item x="16"/>
        <item x="8"/>
        <item x="12"/>
        <item x="21"/>
        <item x="15"/>
        <item x="20"/>
        <item x="10"/>
        <item x="14"/>
        <item x="18"/>
        <item x="6"/>
        <item x="13"/>
        <item x="5"/>
        <item x="7"/>
        <item x="3"/>
        <item x="9"/>
        <item t="default"/>
      </items>
    </pivotField>
    <pivotField showAll="0"/>
    <pivotField showAll="0"/>
    <pivotField showAll="0"/>
    <pivotField showAll="0"/>
    <pivotField showAll="0"/>
    <pivotField showAll="0"/>
  </pivotFields>
  <rowFields count="1">
    <field x="14"/>
  </rowFields>
  <rowItems count="2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 t="grand">
      <x/>
    </i>
  </rowItems>
  <colItems count="1">
    <i/>
  </colItems>
  <dataFields count="1">
    <dataField name="Count of Senator" fld="0" subtotal="count" baseField="0" baseItem="0"/>
  </dataFields>
  <chartFormats count="1">
    <chartFormat chart="0" format="1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9A8B67-80CF-E046-BCDF-B47B008F4683}" name="PivotTable1" cacheId="10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K18" firstHeaderRow="1" firstDataRow="3" firstDataCol="1" rowPageCount="1" colPageCount="1"/>
  <pivotFields count="21">
    <pivotField dataField="1" showAll="0"/>
    <pivotField showAll="0"/>
    <pivotField showAll="0"/>
    <pivotField showAll="0"/>
    <pivotField axis="axisCol" showAll="0">
      <items count="4"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axis="axisRow" showAll="0">
      <items count="26">
        <item x="13"/>
        <item x="16"/>
        <item x="20"/>
        <item x="12"/>
        <item x="24"/>
        <item x="19"/>
        <item x="8"/>
        <item x="18"/>
        <item x="2"/>
        <item x="4"/>
        <item x="17"/>
        <item x="14"/>
        <item x="11"/>
        <item x="3"/>
        <item x="23"/>
        <item x="7"/>
        <item x="9"/>
        <item x="21"/>
        <item x="0"/>
        <item x="1"/>
        <item x="6"/>
        <item x="5"/>
        <item x="15"/>
        <item x="22"/>
        <item x="10"/>
        <item t="default"/>
      </items>
    </pivotField>
    <pivotField showAll="0"/>
    <pivotField axis="axisCol" showAll="0">
      <items count="5">
        <item x="2"/>
        <item x="3"/>
        <item x="1"/>
        <item x="0"/>
        <item t="default"/>
      </items>
    </pivotField>
    <pivotField axis="axisPage" multipleItemSelectionAllowed="1" showAll="0">
      <items count="3">
        <item x="1"/>
        <item h="1"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13">
    <i>
      <x v="4"/>
    </i>
    <i>
      <x v="5"/>
    </i>
    <i>
      <x v="8"/>
    </i>
    <i>
      <x v="10"/>
    </i>
    <i>
      <x v="11"/>
    </i>
    <i>
      <x v="15"/>
    </i>
    <i>
      <x v="16"/>
    </i>
    <i>
      <x v="20"/>
    </i>
    <i>
      <x v="21"/>
    </i>
    <i>
      <x v="22"/>
    </i>
    <i>
      <x v="23"/>
    </i>
    <i>
      <x v="24"/>
    </i>
    <i t="grand">
      <x/>
    </i>
  </rowItems>
  <colFields count="2">
    <field x="12"/>
    <field x="4"/>
  </colFields>
  <colItems count="10">
    <i>
      <x/>
      <x/>
    </i>
    <i t="default">
      <x/>
    </i>
    <i>
      <x v="1"/>
      <x/>
    </i>
    <i t="default">
      <x v="1"/>
    </i>
    <i>
      <x v="2"/>
      <x/>
    </i>
    <i t="default">
      <x v="2"/>
    </i>
    <i>
      <x v="3"/>
      <x/>
    </i>
    <i r="1">
      <x v="2"/>
    </i>
    <i t="default">
      <x v="3"/>
    </i>
    <i t="grand">
      <x/>
    </i>
  </colItems>
  <pageFields count="1">
    <pageField fld="13" hier="-1"/>
  </pageFields>
  <dataFields count="1">
    <dataField name="Count of Senator" fld="0" subtotal="count" baseField="0" baseItem="0"/>
  </dataFields>
  <chartFormats count="20">
    <chartFormat chart="0" format="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0"/>
          </reference>
          <reference field="13" count="1" selected="0">
            <x v="0"/>
          </reference>
        </references>
      </pivotArea>
    </chartFormat>
    <chartFormat chart="0" format="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0" format="2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0"/>
          </reference>
          <reference field="13" count="1" selected="0">
            <x v="1"/>
          </reference>
        </references>
      </pivotArea>
    </chartFormat>
    <chartFormat chart="0" format="3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1"/>
          </reference>
          <reference field="13" count="1" selected="0">
            <x v="0"/>
          </reference>
        </references>
      </pivotArea>
    </chartFormat>
    <chartFormat chart="0" format="4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5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1"/>
          </reference>
          <reference field="13" count="1" selected="0">
            <x v="1"/>
          </reference>
        </references>
      </pivotArea>
    </chartFormat>
    <chartFormat chart="0" format="6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2"/>
          </reference>
          <reference field="13" count="1" selected="0">
            <x v="0"/>
          </reference>
        </references>
      </pivotArea>
    </chartFormat>
    <chartFormat chart="0" format="7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0" format="8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9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1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10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3"/>
          </reference>
          <reference field="13" count="1" selected="0">
            <x v="0"/>
          </reference>
        </references>
      </pivotArea>
    </chartFormat>
    <chartFormat chart="0" format="11" series="1">
      <pivotArea type="data" outline="0" fieldPosition="0">
        <references count="4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3"/>
          </reference>
          <reference field="13" count="1" selected="0">
            <x v="1"/>
          </reference>
        </references>
      </pivotArea>
    </chartFormat>
    <chartFormat chart="0" format="12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0"/>
          </reference>
        </references>
      </pivotArea>
    </chartFormat>
    <chartFormat chart="0" format="13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0"/>
          </reference>
        </references>
      </pivotArea>
    </chartFormat>
    <chartFormat chart="0" format="14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1"/>
          </reference>
        </references>
      </pivotArea>
    </chartFormat>
    <chartFormat chart="0" format="15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1"/>
          </reference>
        </references>
      </pivotArea>
    </chartFormat>
    <chartFormat chart="0" format="16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2"/>
          </reference>
        </references>
      </pivotArea>
    </chartFormat>
    <chartFormat chart="0" format="17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0"/>
          </reference>
          <reference field="12" count="1" selected="0">
            <x v="3"/>
          </reference>
        </references>
      </pivotArea>
    </chartFormat>
    <chartFormat chart="0" format="18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1"/>
          </reference>
          <reference field="12" count="1" selected="0">
            <x v="3"/>
          </reference>
        </references>
      </pivotArea>
    </chartFormat>
    <chartFormat chart="0" format="19" series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2"/>
          </reference>
          <reference field="12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F621-522D-ED48-9E09-637FF988ADCB}">
  <dimension ref="A1:Z101"/>
  <sheetViews>
    <sheetView tabSelected="1" workbookViewId="0">
      <pane xSplit="1" topLeftCell="B1" activePane="topRight" state="frozen"/>
      <selection pane="topRight" activeCell="I13" sqref="I13"/>
    </sheetView>
  </sheetViews>
  <sheetFormatPr baseColWidth="10" defaultRowHeight="16" x14ac:dyDescent="0.2"/>
  <cols>
    <col min="1" max="1" width="22.33203125" style="6" customWidth="1"/>
    <col min="2" max="2" width="10.83203125" style="8"/>
    <col min="3" max="3" width="17.5" style="3" customWidth="1"/>
    <col min="4" max="4" width="14.83203125" style="3" customWidth="1"/>
    <col min="5" max="5" width="25.83203125" style="3" customWidth="1"/>
    <col min="6" max="6" width="14.6640625" style="3" customWidth="1"/>
    <col min="7" max="7" width="30" style="3" customWidth="1"/>
    <col min="8" max="8" width="10.83203125" style="3"/>
    <col min="9" max="9" width="27.1640625" style="18" customWidth="1"/>
    <col min="10" max="10" width="30.5" style="3" customWidth="1"/>
    <col min="11" max="11" width="16.83203125" style="3" customWidth="1"/>
    <col min="12" max="12" width="23.6640625" style="18" customWidth="1"/>
    <col min="13" max="13" width="45.5" style="18" customWidth="1"/>
    <col min="14" max="14" width="32.33203125" style="11" customWidth="1"/>
    <col min="15" max="17" width="10.83203125" style="3"/>
    <col min="18" max="18" width="27.6640625" style="3" customWidth="1"/>
    <col min="19" max="24" width="16.83203125" style="3" customWidth="1"/>
    <col min="25" max="25" width="18.33203125" style="3" customWidth="1"/>
    <col min="26" max="26" width="14.83203125" style="3" bestFit="1" customWidth="1"/>
    <col min="27" max="27" width="10.33203125" style="3" bestFit="1" customWidth="1"/>
    <col min="28" max="28" width="10" style="3" bestFit="1" customWidth="1"/>
    <col min="29" max="29" width="9.5" style="3" bestFit="1" customWidth="1"/>
    <col min="30" max="30" width="13.5" style="3" bestFit="1" customWidth="1"/>
    <col min="31" max="31" width="10.5" style="3" bestFit="1" customWidth="1"/>
    <col min="32" max="32" width="12.5" style="3" bestFit="1" customWidth="1"/>
    <col min="33" max="33" width="13.33203125" style="3" bestFit="1" customWidth="1"/>
    <col min="34" max="34" width="11.33203125" style="3" bestFit="1" customWidth="1"/>
    <col min="35" max="35" width="20.5" style="3" bestFit="1" customWidth="1"/>
    <col min="36" max="36" width="10.5" style="3" bestFit="1" customWidth="1"/>
    <col min="37" max="37" width="12" style="3" bestFit="1" customWidth="1"/>
    <col min="38" max="38" width="14.5" style="3" bestFit="1" customWidth="1"/>
    <col min="39" max="40" width="13.6640625" style="3" bestFit="1" customWidth="1"/>
    <col min="41" max="41" width="16" style="3" bestFit="1" customWidth="1"/>
    <col min="42" max="42" width="11.1640625" style="3" bestFit="1" customWidth="1"/>
    <col min="43" max="43" width="12" style="3" bestFit="1" customWidth="1"/>
    <col min="44" max="44" width="11.5" style="3" bestFit="1" customWidth="1"/>
    <col min="45" max="45" width="12.1640625" style="3" bestFit="1" customWidth="1"/>
    <col min="46" max="46" width="10.83203125" style="3" bestFit="1" customWidth="1"/>
    <col min="47" max="47" width="15.6640625" style="3" bestFit="1" customWidth="1"/>
    <col min="48" max="48" width="15" style="3" bestFit="1" customWidth="1"/>
    <col min="49" max="49" width="11.33203125" style="3" bestFit="1" customWidth="1"/>
    <col min="50" max="51" width="10.5" style="3" bestFit="1" customWidth="1"/>
    <col min="52" max="52" width="15.33203125" style="3" bestFit="1" customWidth="1"/>
    <col min="53" max="53" width="10.83203125" style="3" bestFit="1" customWidth="1"/>
    <col min="54" max="54" width="9.33203125" style="3" bestFit="1" customWidth="1"/>
    <col min="55" max="55" width="11.1640625" style="3" bestFit="1" customWidth="1"/>
    <col min="56" max="56" width="14" style="3" bestFit="1" customWidth="1"/>
    <col min="57" max="57" width="14.33203125" style="3" bestFit="1" customWidth="1"/>
    <col min="58" max="58" width="11.5" style="3" bestFit="1" customWidth="1"/>
    <col min="59" max="59" width="11" style="3" bestFit="1" customWidth="1"/>
    <col min="60" max="60" width="9.6640625" style="3" bestFit="1" customWidth="1"/>
    <col min="61" max="61" width="8.83203125" style="3" bestFit="1" customWidth="1"/>
    <col min="62" max="62" width="11.33203125" style="3" bestFit="1" customWidth="1"/>
    <col min="63" max="63" width="11.83203125" style="3" bestFit="1" customWidth="1"/>
    <col min="64" max="64" width="13" style="3" bestFit="1" customWidth="1"/>
    <col min="65" max="65" width="11" style="3" bestFit="1" customWidth="1"/>
    <col min="66" max="66" width="11.6640625" style="3" bestFit="1" customWidth="1"/>
    <col min="67" max="67" width="12.5" style="3" bestFit="1" customWidth="1"/>
    <col min="68" max="68" width="10.33203125" style="3" bestFit="1" customWidth="1"/>
    <col min="69" max="69" width="13.5" style="3" bestFit="1" customWidth="1"/>
    <col min="70" max="70" width="7" style="3" bestFit="1" customWidth="1"/>
    <col min="71" max="71" width="9.5" style="3" bestFit="1" customWidth="1"/>
    <col min="72" max="72" width="9" style="3" bestFit="1" customWidth="1"/>
    <col min="73" max="73" width="11.5" style="3" bestFit="1" customWidth="1"/>
    <col min="74" max="74" width="13" style="3" bestFit="1" customWidth="1"/>
    <col min="75" max="75" width="12.33203125" style="3" bestFit="1" customWidth="1"/>
    <col min="76" max="76" width="15.5" style="3" bestFit="1" customWidth="1"/>
    <col min="77" max="77" width="14.1640625" style="3" bestFit="1" customWidth="1"/>
    <col min="78" max="78" width="15.1640625" style="3" bestFit="1" customWidth="1"/>
    <col min="79" max="79" width="14.5" style="3" bestFit="1" customWidth="1"/>
    <col min="80" max="80" width="14" style="3" bestFit="1" customWidth="1"/>
    <col min="81" max="81" width="13.83203125" style="3" bestFit="1" customWidth="1"/>
    <col min="82" max="82" width="11.5" style="3" bestFit="1" customWidth="1"/>
    <col min="83" max="83" width="13.6640625" style="3" bestFit="1" customWidth="1"/>
    <col min="84" max="84" width="12.1640625" style="3" bestFit="1" customWidth="1"/>
    <col min="85" max="85" width="16" style="3" bestFit="1" customWidth="1"/>
    <col min="86" max="86" width="14" style="3" bestFit="1" customWidth="1"/>
    <col min="87" max="87" width="12.1640625" style="3" bestFit="1" customWidth="1"/>
    <col min="88" max="88" width="14" style="3" bestFit="1" customWidth="1"/>
    <col min="89" max="89" width="10.6640625" style="3" bestFit="1" customWidth="1"/>
    <col min="90" max="90" width="10.5" style="3" bestFit="1" customWidth="1"/>
    <col min="91" max="91" width="9.1640625" style="3" bestFit="1" customWidth="1"/>
    <col min="92" max="92" width="8.6640625" style="3" bestFit="1" customWidth="1"/>
    <col min="93" max="93" width="11.83203125" style="3" bestFit="1" customWidth="1"/>
    <col min="94" max="94" width="14.83203125" style="3" bestFit="1" customWidth="1"/>
    <col min="95" max="95" width="12" style="3" bestFit="1" customWidth="1"/>
    <col min="96" max="96" width="10.6640625" style="3" bestFit="1" customWidth="1"/>
    <col min="97" max="97" width="11" style="3" bestFit="1" customWidth="1"/>
    <col min="98" max="98" width="12.1640625" style="3" bestFit="1" customWidth="1"/>
    <col min="99" max="99" width="12" style="3" bestFit="1" customWidth="1"/>
    <col min="100" max="100" width="9.33203125" style="3" bestFit="1" customWidth="1"/>
    <col min="101" max="101" width="17.5" style="3" bestFit="1" customWidth="1"/>
    <col min="102" max="102" width="11.33203125" style="3" bestFit="1" customWidth="1"/>
    <col min="103" max="103" width="13.33203125" style="3" bestFit="1" customWidth="1"/>
    <col min="104" max="104" width="9.33203125" style="3" bestFit="1" customWidth="1"/>
    <col min="105" max="105" width="11.83203125" style="3" bestFit="1" customWidth="1"/>
    <col min="106" max="106" width="12.33203125" style="3" bestFit="1" customWidth="1"/>
    <col min="107" max="107" width="11.33203125" style="3" bestFit="1" customWidth="1"/>
    <col min="108" max="108" width="10.6640625" style="3" bestFit="1" customWidth="1"/>
    <col min="109" max="109" width="9.1640625" style="3" bestFit="1" customWidth="1"/>
    <col min="110" max="110" width="18.1640625" style="3" bestFit="1" customWidth="1"/>
    <col min="111" max="111" width="18.83203125" style="3" bestFit="1" customWidth="1"/>
    <col min="112" max="112" width="13.33203125" style="3" bestFit="1" customWidth="1"/>
    <col min="113" max="113" width="12" style="3" bestFit="1" customWidth="1"/>
    <col min="114" max="114" width="11.83203125" style="3" bestFit="1" customWidth="1"/>
    <col min="115" max="115" width="14.6640625" style="3" bestFit="1" customWidth="1"/>
    <col min="116" max="116" width="17.1640625" style="3" bestFit="1" customWidth="1"/>
    <col min="117" max="117" width="8.1640625" style="3" bestFit="1" customWidth="1"/>
    <col min="118" max="118" width="10.1640625" style="3" bestFit="1" customWidth="1"/>
    <col min="119" max="119" width="9.5" style="3" bestFit="1" customWidth="1"/>
    <col min="120" max="120" width="9" style="3" bestFit="1" customWidth="1"/>
    <col min="121" max="121" width="10" style="3" bestFit="1" customWidth="1"/>
    <col min="122" max="124" width="10.6640625" style="3" bestFit="1" customWidth="1"/>
    <col min="125" max="125" width="9.6640625" style="3" bestFit="1" customWidth="1"/>
    <col min="126" max="126" width="7" style="3" bestFit="1" customWidth="1"/>
    <col min="127" max="16384" width="10.83203125" style="3"/>
  </cols>
  <sheetData>
    <row r="1" spans="1:26" s="2" customFormat="1" x14ac:dyDescent="0.2">
      <c r="A1" s="5" t="s">
        <v>0</v>
      </c>
      <c r="B1" s="7" t="s">
        <v>1</v>
      </c>
      <c r="C1" s="2" t="s">
        <v>2</v>
      </c>
      <c r="D1" s="2" t="s">
        <v>3</v>
      </c>
      <c r="E1" s="2" t="s">
        <v>195</v>
      </c>
      <c r="F1" s="2" t="s">
        <v>4</v>
      </c>
      <c r="G1" s="2" t="s">
        <v>191</v>
      </c>
      <c r="H1" s="2" t="s">
        <v>9</v>
      </c>
      <c r="I1" s="2" t="s">
        <v>307</v>
      </c>
      <c r="J1" s="2" t="s">
        <v>300</v>
      </c>
      <c r="K1" s="2" t="s">
        <v>162</v>
      </c>
      <c r="L1" s="2" t="s">
        <v>10</v>
      </c>
      <c r="M1" s="2" t="s">
        <v>315</v>
      </c>
      <c r="N1" s="2" t="s">
        <v>286</v>
      </c>
      <c r="O1" s="2" t="s">
        <v>144</v>
      </c>
      <c r="P1" s="2" t="s">
        <v>145</v>
      </c>
      <c r="Q1" s="2" t="s">
        <v>148</v>
      </c>
      <c r="R1" s="2" t="s">
        <v>153</v>
      </c>
      <c r="S1" s="2" t="s">
        <v>157</v>
      </c>
      <c r="T1" s="2" t="s">
        <v>159</v>
      </c>
      <c r="U1" s="2" t="s">
        <v>160</v>
      </c>
      <c r="V1" s="2" t="s">
        <v>169</v>
      </c>
      <c r="W1" s="2" t="s">
        <v>163</v>
      </c>
      <c r="X1" s="2" t="s">
        <v>165</v>
      </c>
    </row>
    <row r="2" spans="1:26" x14ac:dyDescent="0.2">
      <c r="A2" s="6" t="s">
        <v>14</v>
      </c>
      <c r="B2" s="8">
        <v>64</v>
      </c>
      <c r="C2" s="18" t="s">
        <v>230</v>
      </c>
      <c r="D2" s="18" t="s">
        <v>251</v>
      </c>
      <c r="E2" s="18" t="s">
        <v>198</v>
      </c>
      <c r="F2" s="18" t="s">
        <v>15</v>
      </c>
      <c r="G2" s="18">
        <f>50-48.3</f>
        <v>1.7000000000000028</v>
      </c>
      <c r="H2" s="18">
        <v>2020</v>
      </c>
      <c r="I2" s="18" t="s">
        <v>20</v>
      </c>
      <c r="J2" s="18" t="s">
        <v>20</v>
      </c>
      <c r="K2" s="18">
        <v>2018</v>
      </c>
      <c r="L2" s="18" t="s">
        <v>304</v>
      </c>
      <c r="M2" s="18" t="s">
        <v>20</v>
      </c>
      <c r="N2" s="18" t="s">
        <v>293</v>
      </c>
      <c r="O2" s="18">
        <v>1</v>
      </c>
      <c r="P2" s="18" t="s">
        <v>151</v>
      </c>
      <c r="Q2" s="18" t="s">
        <v>150</v>
      </c>
      <c r="R2" s="18" t="s">
        <v>222</v>
      </c>
      <c r="S2" s="18" t="s">
        <v>158</v>
      </c>
      <c r="T2" s="18" t="s">
        <v>179</v>
      </c>
      <c r="U2" s="18" t="s">
        <v>166</v>
      </c>
      <c r="V2" s="18" t="s">
        <v>186</v>
      </c>
      <c r="W2" s="18" t="s">
        <v>187</v>
      </c>
      <c r="X2" s="18" t="s">
        <v>20</v>
      </c>
      <c r="Y2" s="17"/>
      <c r="Z2" s="17"/>
    </row>
    <row r="3" spans="1:26" x14ac:dyDescent="0.2">
      <c r="A3" s="6" t="s">
        <v>120</v>
      </c>
      <c r="B3" s="8">
        <v>84</v>
      </c>
      <c r="C3" s="18" t="s">
        <v>6</v>
      </c>
      <c r="D3" s="18" t="s">
        <v>251</v>
      </c>
      <c r="E3" s="18" t="s">
        <v>198</v>
      </c>
      <c r="F3" s="18" t="s">
        <v>7</v>
      </c>
      <c r="G3" s="18">
        <f>63.9-35.8</f>
        <v>28.1</v>
      </c>
      <c r="H3" s="18">
        <v>2022</v>
      </c>
      <c r="I3" s="18" t="s">
        <v>309</v>
      </c>
      <c r="J3" s="18" t="s">
        <v>20</v>
      </c>
      <c r="K3" s="18">
        <v>1987</v>
      </c>
      <c r="L3" s="18" t="s">
        <v>305</v>
      </c>
      <c r="M3" s="18" t="s">
        <v>20</v>
      </c>
      <c r="N3" s="18" t="s">
        <v>294</v>
      </c>
      <c r="O3" s="18">
        <v>6</v>
      </c>
      <c r="P3" s="18" t="s">
        <v>151</v>
      </c>
      <c r="Q3" s="18" t="s">
        <v>150</v>
      </c>
      <c r="R3" s="18" t="s">
        <v>205</v>
      </c>
      <c r="S3" s="18" t="s">
        <v>158</v>
      </c>
      <c r="T3" s="18" t="s">
        <v>172</v>
      </c>
      <c r="U3" s="18" t="s">
        <v>179</v>
      </c>
      <c r="V3" s="18" t="s">
        <v>188</v>
      </c>
      <c r="W3" s="18" t="s">
        <v>187</v>
      </c>
      <c r="X3" s="18" t="s">
        <v>192</v>
      </c>
      <c r="Y3" s="17"/>
      <c r="Z3" s="17"/>
    </row>
    <row r="4" spans="1:26" x14ac:dyDescent="0.2">
      <c r="A4" s="6" t="s">
        <v>41</v>
      </c>
      <c r="B4" s="8">
        <v>61</v>
      </c>
      <c r="C4" s="18" t="s">
        <v>13</v>
      </c>
      <c r="D4" s="18" t="s">
        <v>284</v>
      </c>
      <c r="E4" s="18" t="s">
        <v>198</v>
      </c>
      <c r="F4" s="18" t="s">
        <v>7</v>
      </c>
      <c r="G4" s="18">
        <f>44.4-29.2-13.2-11.6</f>
        <v>-9.6</v>
      </c>
      <c r="H4" s="18">
        <v>2022</v>
      </c>
      <c r="I4" s="18" t="s">
        <v>309</v>
      </c>
      <c r="J4" s="18" t="s">
        <v>20</v>
      </c>
      <c r="K4" s="18">
        <v>2002</v>
      </c>
      <c r="L4" s="18" t="s">
        <v>305</v>
      </c>
      <c r="M4" s="18" t="s">
        <v>20</v>
      </c>
      <c r="N4" s="18" t="s">
        <v>321</v>
      </c>
      <c r="O4" s="18">
        <v>3</v>
      </c>
      <c r="P4" s="18" t="s">
        <v>151</v>
      </c>
      <c r="Q4" s="18" t="s">
        <v>149</v>
      </c>
      <c r="R4" s="18" t="s">
        <v>224</v>
      </c>
      <c r="S4" s="18" t="s">
        <v>203</v>
      </c>
      <c r="T4" s="18" t="s">
        <v>185</v>
      </c>
      <c r="U4" s="18" t="s">
        <v>172</v>
      </c>
      <c r="V4" s="18" t="s">
        <v>186</v>
      </c>
      <c r="W4" s="18" t="s">
        <v>187</v>
      </c>
      <c r="X4" s="18" t="s">
        <v>192</v>
      </c>
    </row>
    <row r="5" spans="1:26" x14ac:dyDescent="0.2">
      <c r="A5" s="12" t="s">
        <v>95</v>
      </c>
      <c r="B5" s="13">
        <v>53</v>
      </c>
      <c r="C5" s="14" t="s">
        <v>13</v>
      </c>
      <c r="D5" s="14" t="s">
        <v>284</v>
      </c>
      <c r="E5" s="14" t="s">
        <v>198</v>
      </c>
      <c r="F5" s="14" t="s">
        <v>7</v>
      </c>
      <c r="G5" s="14">
        <f>48-45.8</f>
        <v>2.2000000000000028</v>
      </c>
      <c r="H5" s="14">
        <v>2020</v>
      </c>
      <c r="I5" s="14" t="s">
        <v>20</v>
      </c>
      <c r="J5" s="14" t="s">
        <v>20</v>
      </c>
      <c r="K5" s="14">
        <v>2015</v>
      </c>
      <c r="L5" s="18" t="s">
        <v>304</v>
      </c>
      <c r="M5" s="18" t="s">
        <v>20</v>
      </c>
      <c r="N5" s="14" t="s">
        <v>294</v>
      </c>
      <c r="O5" s="14">
        <v>1</v>
      </c>
      <c r="P5" s="14" t="s">
        <v>151</v>
      </c>
      <c r="Q5" s="14" t="s">
        <v>150</v>
      </c>
      <c r="R5" s="14" t="s">
        <v>306</v>
      </c>
      <c r="S5" s="14" t="s">
        <v>158</v>
      </c>
      <c r="T5" s="14" t="s">
        <v>175</v>
      </c>
      <c r="U5" s="14" t="s">
        <v>178</v>
      </c>
      <c r="V5" s="14" t="s">
        <v>206</v>
      </c>
      <c r="W5" s="14" t="s">
        <v>187</v>
      </c>
      <c r="X5" s="14" t="s">
        <v>20</v>
      </c>
      <c r="Y5" s="18"/>
      <c r="Z5" s="18"/>
    </row>
    <row r="6" spans="1:26" x14ac:dyDescent="0.2">
      <c r="A6" s="6" t="s">
        <v>287</v>
      </c>
      <c r="B6" s="8">
        <v>52</v>
      </c>
      <c r="C6" s="3" t="s">
        <v>13</v>
      </c>
      <c r="D6" s="3" t="s">
        <v>285</v>
      </c>
      <c r="E6" s="3" t="s">
        <v>197</v>
      </c>
      <c r="F6" s="3" t="s">
        <v>7</v>
      </c>
      <c r="G6" s="3">
        <v>0</v>
      </c>
      <c r="H6" s="3">
        <v>2020</v>
      </c>
      <c r="I6" s="18" t="s">
        <v>308</v>
      </c>
      <c r="J6" s="3" t="s">
        <v>20</v>
      </c>
      <c r="K6" s="3">
        <v>2019</v>
      </c>
      <c r="L6" s="18" t="s">
        <v>304</v>
      </c>
      <c r="M6" s="18" t="s">
        <v>317</v>
      </c>
      <c r="N6" s="11" t="s">
        <v>295</v>
      </c>
      <c r="O6" s="3">
        <v>1</v>
      </c>
      <c r="P6" s="3" t="s">
        <v>151</v>
      </c>
      <c r="Q6" s="3" t="s">
        <v>149</v>
      </c>
      <c r="R6" s="3" t="s">
        <v>205</v>
      </c>
      <c r="S6" s="3" t="s">
        <v>203</v>
      </c>
      <c r="T6" s="3" t="s">
        <v>175</v>
      </c>
      <c r="U6" s="3" t="s">
        <v>179</v>
      </c>
      <c r="V6" s="3" t="s">
        <v>185</v>
      </c>
      <c r="W6" s="3" t="s">
        <v>189</v>
      </c>
      <c r="X6" s="3" t="s">
        <v>20</v>
      </c>
    </row>
    <row r="7" spans="1:26" x14ac:dyDescent="0.2">
      <c r="A7" s="6" t="s">
        <v>29</v>
      </c>
      <c r="B7" s="8">
        <v>42</v>
      </c>
      <c r="C7" s="18" t="s">
        <v>13</v>
      </c>
      <c r="D7" s="18" t="s">
        <v>285</v>
      </c>
      <c r="E7" s="18" t="s">
        <v>197</v>
      </c>
      <c r="F7" s="18" t="s">
        <v>15</v>
      </c>
      <c r="G7" s="18">
        <v>1.7</v>
      </c>
      <c r="H7" s="18">
        <v>2024</v>
      </c>
      <c r="I7" s="18" t="s">
        <v>309</v>
      </c>
      <c r="J7" s="18" t="s">
        <v>20</v>
      </c>
      <c r="K7" s="18">
        <v>2019</v>
      </c>
      <c r="L7" s="14" t="s">
        <v>305</v>
      </c>
      <c r="M7" s="14" t="s">
        <v>20</v>
      </c>
      <c r="N7" s="18" t="s">
        <v>293</v>
      </c>
      <c r="O7" s="18">
        <v>1</v>
      </c>
      <c r="P7" s="18" t="s">
        <v>151</v>
      </c>
      <c r="Q7" s="18" t="s">
        <v>149</v>
      </c>
      <c r="R7" s="18" t="s">
        <v>205</v>
      </c>
      <c r="S7" s="18" t="s">
        <v>158</v>
      </c>
      <c r="T7" s="18" t="s">
        <v>219</v>
      </c>
      <c r="U7" s="18" t="s">
        <v>219</v>
      </c>
      <c r="V7" s="18" t="s">
        <v>219</v>
      </c>
      <c r="W7" s="18" t="s">
        <v>187</v>
      </c>
      <c r="X7" s="18" t="s">
        <v>20</v>
      </c>
    </row>
    <row r="8" spans="1:26" x14ac:dyDescent="0.2">
      <c r="A8" s="6" t="s">
        <v>121</v>
      </c>
      <c r="B8" s="8">
        <v>67</v>
      </c>
      <c r="C8" s="11" t="s">
        <v>199</v>
      </c>
      <c r="D8" s="11" t="s">
        <v>259</v>
      </c>
      <c r="E8" s="11" t="s">
        <v>198</v>
      </c>
      <c r="F8" s="11" t="s">
        <v>7</v>
      </c>
      <c r="G8" s="11">
        <f>59.8-36.2</f>
        <v>23.599999999999994</v>
      </c>
      <c r="H8" s="11">
        <v>2022</v>
      </c>
      <c r="I8" s="18" t="s">
        <v>309</v>
      </c>
      <c r="J8" s="11" t="s">
        <v>20</v>
      </c>
      <c r="K8" s="11">
        <v>2011</v>
      </c>
      <c r="L8" s="18" t="s">
        <v>305</v>
      </c>
      <c r="M8" s="18" t="s">
        <v>20</v>
      </c>
      <c r="N8" s="11" t="s">
        <v>294</v>
      </c>
      <c r="O8" s="11">
        <v>2</v>
      </c>
      <c r="P8" s="11" t="s">
        <v>151</v>
      </c>
      <c r="Q8" s="11" t="s">
        <v>150</v>
      </c>
      <c r="R8" s="11" t="s">
        <v>205</v>
      </c>
      <c r="S8" s="11" t="s">
        <v>158</v>
      </c>
      <c r="T8" s="11" t="s">
        <v>172</v>
      </c>
      <c r="U8" s="11" t="s">
        <v>170</v>
      </c>
      <c r="V8" s="11" t="s">
        <v>206</v>
      </c>
      <c r="W8" s="11" t="s">
        <v>187</v>
      </c>
      <c r="X8" s="11" t="s">
        <v>20</v>
      </c>
      <c r="Y8" s="18"/>
      <c r="Z8" s="18"/>
    </row>
    <row r="9" spans="1:26" x14ac:dyDescent="0.2">
      <c r="A9" s="6" t="s">
        <v>49</v>
      </c>
      <c r="B9" s="8">
        <v>44</v>
      </c>
      <c r="C9" s="18" t="s">
        <v>199</v>
      </c>
      <c r="D9" s="18" t="s">
        <v>259</v>
      </c>
      <c r="E9" s="18" t="s">
        <v>198</v>
      </c>
      <c r="F9" s="18" t="s">
        <v>7</v>
      </c>
      <c r="G9" s="18">
        <f>56.5-39.4</f>
        <v>17.100000000000001</v>
      </c>
      <c r="H9" s="18">
        <v>2020</v>
      </c>
      <c r="I9" s="18" t="s">
        <v>20</v>
      </c>
      <c r="J9" s="18" t="s">
        <v>301</v>
      </c>
      <c r="K9" s="18">
        <v>2015</v>
      </c>
      <c r="L9" s="18" t="s">
        <v>304</v>
      </c>
      <c r="M9" s="18" t="s">
        <v>20</v>
      </c>
      <c r="N9" s="18" t="s">
        <v>294</v>
      </c>
      <c r="O9" s="18">
        <v>1</v>
      </c>
      <c r="P9" s="18" t="s">
        <v>151</v>
      </c>
      <c r="Q9" s="18" t="s">
        <v>150</v>
      </c>
      <c r="R9" s="18" t="s">
        <v>205</v>
      </c>
      <c r="S9" s="18" t="s">
        <v>158</v>
      </c>
      <c r="T9" s="18" t="s">
        <v>175</v>
      </c>
      <c r="U9" s="18" t="s">
        <v>179</v>
      </c>
      <c r="V9" s="18" t="s">
        <v>189</v>
      </c>
      <c r="W9" s="18" t="s">
        <v>164</v>
      </c>
      <c r="X9" s="18" t="s">
        <v>20</v>
      </c>
      <c r="Y9"/>
      <c r="Z9"/>
    </row>
    <row r="10" spans="1:26" x14ac:dyDescent="0.2">
      <c r="A10" s="6" t="s">
        <v>25</v>
      </c>
      <c r="B10" s="8">
        <v>54</v>
      </c>
      <c r="C10" s="18" t="s">
        <v>229</v>
      </c>
      <c r="D10" s="18" t="s">
        <v>260</v>
      </c>
      <c r="E10" s="18" t="s">
        <v>196</v>
      </c>
      <c r="F10" s="18" t="s">
        <v>15</v>
      </c>
      <c r="G10" s="18">
        <f>61.6-38.4</f>
        <v>23.200000000000003</v>
      </c>
      <c r="H10" s="18">
        <v>2022</v>
      </c>
      <c r="I10" s="18" t="s">
        <v>309</v>
      </c>
      <c r="J10" s="18" t="s">
        <v>20</v>
      </c>
      <c r="K10" s="18">
        <v>2017</v>
      </c>
      <c r="L10" s="18" t="s">
        <v>296</v>
      </c>
      <c r="M10" s="18" t="s">
        <v>20</v>
      </c>
      <c r="N10" s="18" t="s">
        <v>293</v>
      </c>
      <c r="O10" s="18">
        <v>1</v>
      </c>
      <c r="P10" s="18" t="s">
        <v>146</v>
      </c>
      <c r="Q10" s="18" t="s">
        <v>149</v>
      </c>
      <c r="R10" s="18" t="s">
        <v>154</v>
      </c>
      <c r="S10" s="18" t="s">
        <v>158</v>
      </c>
      <c r="T10" s="18" t="s">
        <v>161</v>
      </c>
      <c r="U10" s="18" t="s">
        <v>170</v>
      </c>
      <c r="V10" s="18" t="s">
        <v>166</v>
      </c>
      <c r="W10" s="18" t="s">
        <v>164</v>
      </c>
      <c r="X10" s="18" t="s">
        <v>20</v>
      </c>
    </row>
    <row r="11" spans="1:26" x14ac:dyDescent="0.2">
      <c r="A11" s="6" t="s">
        <v>37</v>
      </c>
      <c r="B11" s="8">
        <v>85</v>
      </c>
      <c r="C11" s="16" t="s">
        <v>230</v>
      </c>
      <c r="D11" s="16" t="s">
        <v>260</v>
      </c>
      <c r="E11" s="16" t="s">
        <v>196</v>
      </c>
      <c r="F11" s="16" t="s">
        <v>15</v>
      </c>
      <c r="G11" s="16">
        <f>54.4-45.6</f>
        <v>8.7999999999999972</v>
      </c>
      <c r="H11" s="16">
        <v>2024</v>
      </c>
      <c r="I11" s="18" t="s">
        <v>309</v>
      </c>
      <c r="J11" s="16" t="s">
        <v>302</v>
      </c>
      <c r="K11" s="16">
        <v>1992</v>
      </c>
      <c r="L11" s="14" t="s">
        <v>305</v>
      </c>
      <c r="M11" s="14" t="s">
        <v>20</v>
      </c>
      <c r="N11" s="16" t="s">
        <v>294</v>
      </c>
      <c r="O11" s="16">
        <v>6</v>
      </c>
      <c r="P11" s="16" t="s">
        <v>151</v>
      </c>
      <c r="Q11" s="16" t="s">
        <v>149</v>
      </c>
      <c r="R11" s="16" t="s">
        <v>167</v>
      </c>
      <c r="S11" s="16" t="s">
        <v>158</v>
      </c>
      <c r="T11" s="16" t="s">
        <v>161</v>
      </c>
      <c r="U11" s="16" t="s">
        <v>172</v>
      </c>
      <c r="V11" s="16" t="s">
        <v>188</v>
      </c>
      <c r="W11" s="16" t="s">
        <v>164</v>
      </c>
      <c r="X11" s="16" t="s">
        <v>192</v>
      </c>
      <c r="Y11" s="17"/>
      <c r="Z11" s="17"/>
    </row>
    <row r="12" spans="1:26" x14ac:dyDescent="0.2">
      <c r="A12" s="6" t="s">
        <v>122</v>
      </c>
      <c r="B12" s="8">
        <v>53</v>
      </c>
      <c r="C12" s="18" t="s">
        <v>230</v>
      </c>
      <c r="D12" s="18" t="s">
        <v>281</v>
      </c>
      <c r="E12" s="18" t="s">
        <v>196</v>
      </c>
      <c r="F12" s="18" t="s">
        <v>15</v>
      </c>
      <c r="G12" s="18">
        <f>50-44.3</f>
        <v>5.7000000000000028</v>
      </c>
      <c r="H12" s="18">
        <v>2022</v>
      </c>
      <c r="I12" s="18" t="s">
        <v>309</v>
      </c>
      <c r="J12" s="18" t="s">
        <v>20</v>
      </c>
      <c r="K12" s="18">
        <v>2009</v>
      </c>
      <c r="L12" s="18" t="s">
        <v>296</v>
      </c>
      <c r="M12" s="18" t="s">
        <v>20</v>
      </c>
      <c r="N12" s="18" t="s">
        <v>295</v>
      </c>
      <c r="O12" s="18">
        <v>2</v>
      </c>
      <c r="P12" s="18" t="s">
        <v>151</v>
      </c>
      <c r="Q12" s="18" t="s">
        <v>150</v>
      </c>
      <c r="R12" s="18" t="s">
        <v>202</v>
      </c>
      <c r="S12" s="18" t="s">
        <v>203</v>
      </c>
      <c r="T12" s="18" t="s">
        <v>173</v>
      </c>
      <c r="U12" s="18" t="s">
        <v>186</v>
      </c>
      <c r="V12" s="18" t="s">
        <v>194</v>
      </c>
      <c r="W12" s="18" t="s">
        <v>187</v>
      </c>
      <c r="X12" s="18" t="s">
        <v>20</v>
      </c>
      <c r="Y12" s="17"/>
      <c r="Z12" s="17"/>
    </row>
    <row r="13" spans="1:26" x14ac:dyDescent="0.2">
      <c r="A13" s="6" t="s">
        <v>18</v>
      </c>
      <c r="B13" s="8">
        <v>44</v>
      </c>
      <c r="C13" s="17" t="s">
        <v>6</v>
      </c>
      <c r="D13" s="17" t="s">
        <v>281</v>
      </c>
      <c r="E13" s="17" t="s">
        <v>196</v>
      </c>
      <c r="F13" s="17" t="s">
        <v>7</v>
      </c>
      <c r="G13" s="17">
        <f>48.2-46.3</f>
        <v>1.9000000000000057</v>
      </c>
      <c r="H13" s="17">
        <v>2020</v>
      </c>
      <c r="I13" s="18" t="s">
        <v>20</v>
      </c>
      <c r="J13" s="17" t="s">
        <v>214</v>
      </c>
      <c r="K13" s="17">
        <v>2015</v>
      </c>
      <c r="L13" s="18" t="s">
        <v>304</v>
      </c>
      <c r="M13" s="18" t="s">
        <v>20</v>
      </c>
      <c r="N13" s="17" t="s">
        <v>294</v>
      </c>
      <c r="O13" s="17">
        <v>1</v>
      </c>
      <c r="P13" s="17" t="s">
        <v>151</v>
      </c>
      <c r="Q13" s="17" t="s">
        <v>150</v>
      </c>
      <c r="R13" s="17" t="s">
        <v>205</v>
      </c>
      <c r="S13" s="17" t="s">
        <v>158</v>
      </c>
      <c r="T13" s="17" t="s">
        <v>168</v>
      </c>
      <c r="U13" s="17" t="s">
        <v>178</v>
      </c>
      <c r="V13" s="17" t="s">
        <v>185</v>
      </c>
      <c r="W13" s="17" t="s">
        <v>187</v>
      </c>
      <c r="X13" s="17" t="s">
        <v>20</v>
      </c>
      <c r="Y13" s="18"/>
      <c r="Z13" s="18"/>
    </row>
    <row r="14" spans="1:26" x14ac:dyDescent="0.2">
      <c r="A14" s="12" t="s">
        <v>93</v>
      </c>
      <c r="B14" s="13">
        <v>45</v>
      </c>
      <c r="C14" s="14" t="s">
        <v>230</v>
      </c>
      <c r="D14" s="14" t="s">
        <v>250</v>
      </c>
      <c r="E14" s="14" t="s">
        <v>196</v>
      </c>
      <c r="F14" s="14" t="s">
        <v>15</v>
      </c>
      <c r="G14" s="14">
        <f>59.5-39.4</f>
        <v>20.100000000000001</v>
      </c>
      <c r="H14" s="14">
        <v>2024</v>
      </c>
      <c r="I14" s="18" t="s">
        <v>309</v>
      </c>
      <c r="J14" s="14" t="s">
        <v>20</v>
      </c>
      <c r="K14" s="14">
        <v>2013</v>
      </c>
      <c r="L14" s="14" t="s">
        <v>305</v>
      </c>
      <c r="M14" s="14" t="s">
        <v>20</v>
      </c>
      <c r="N14" s="14" t="s">
        <v>293</v>
      </c>
      <c r="O14" s="14">
        <v>2</v>
      </c>
      <c r="P14" s="14" t="s">
        <v>151</v>
      </c>
      <c r="Q14" s="14" t="s">
        <v>150</v>
      </c>
      <c r="R14" s="14" t="s">
        <v>205</v>
      </c>
      <c r="S14" s="14" t="s">
        <v>158</v>
      </c>
      <c r="T14" s="14" t="s">
        <v>172</v>
      </c>
      <c r="U14" s="14" t="s">
        <v>168</v>
      </c>
      <c r="V14" s="14" t="s">
        <v>186</v>
      </c>
      <c r="W14" s="14" t="s">
        <v>187</v>
      </c>
      <c r="X14" s="14" t="s">
        <v>20</v>
      </c>
      <c r="Y14" s="18"/>
      <c r="Z14" s="18"/>
    </row>
    <row r="15" spans="1:26" x14ac:dyDescent="0.2">
      <c r="A15" s="12" t="s">
        <v>94</v>
      </c>
      <c r="B15" s="13">
        <v>72</v>
      </c>
      <c r="C15" s="14" t="s">
        <v>13</v>
      </c>
      <c r="D15" s="14" t="s">
        <v>250</v>
      </c>
      <c r="E15" s="14" t="s">
        <v>196</v>
      </c>
      <c r="F15" s="14" t="s">
        <v>15</v>
      </c>
      <c r="G15" s="14">
        <f>63.2-34.6</f>
        <v>28.6</v>
      </c>
      <c r="H15" s="14">
        <v>2022</v>
      </c>
      <c r="I15" s="18" t="s">
        <v>309</v>
      </c>
      <c r="J15" s="14" t="s">
        <v>20</v>
      </c>
      <c r="K15" s="14">
        <v>2011</v>
      </c>
      <c r="L15" s="14" t="s">
        <v>305</v>
      </c>
      <c r="M15" s="14" t="s">
        <v>20</v>
      </c>
      <c r="N15" s="14" t="s">
        <v>293</v>
      </c>
      <c r="O15" s="14">
        <v>2</v>
      </c>
      <c r="P15" s="14" t="s">
        <v>151</v>
      </c>
      <c r="Q15" s="14" t="s">
        <v>150</v>
      </c>
      <c r="R15" s="14" t="s">
        <v>154</v>
      </c>
      <c r="S15" s="14" t="s">
        <v>158</v>
      </c>
      <c r="T15" s="14" t="s">
        <v>161</v>
      </c>
      <c r="U15" s="14" t="s">
        <v>175</v>
      </c>
      <c r="V15" s="14" t="s">
        <v>178</v>
      </c>
      <c r="W15" s="14" t="s">
        <v>189</v>
      </c>
      <c r="X15" s="14" t="s">
        <v>20</v>
      </c>
      <c r="Y15" s="18"/>
      <c r="Z15" s="18"/>
    </row>
    <row r="16" spans="1:26" x14ac:dyDescent="0.2">
      <c r="A16" s="6" t="s">
        <v>51</v>
      </c>
      <c r="B16" s="8">
        <v>71</v>
      </c>
      <c r="C16" s="11" t="s">
        <v>13</v>
      </c>
      <c r="D16" s="11" t="s">
        <v>261</v>
      </c>
      <c r="E16" s="11" t="s">
        <v>196</v>
      </c>
      <c r="F16" s="11" t="s">
        <v>15</v>
      </c>
      <c r="G16" s="11">
        <f>60-37.8</f>
        <v>22.200000000000003</v>
      </c>
      <c r="H16" s="11">
        <v>2024</v>
      </c>
      <c r="I16" s="18" t="s">
        <v>309</v>
      </c>
      <c r="J16" s="11" t="s">
        <v>20</v>
      </c>
      <c r="K16" s="11">
        <v>2001</v>
      </c>
      <c r="L16" s="14" t="s">
        <v>305</v>
      </c>
      <c r="M16" s="14" t="s">
        <v>20</v>
      </c>
      <c r="N16" s="11" t="s">
        <v>294</v>
      </c>
      <c r="O16" s="11">
        <v>4</v>
      </c>
      <c r="P16" s="11" t="s">
        <v>151</v>
      </c>
      <c r="Q16" s="11" t="s">
        <v>150</v>
      </c>
      <c r="R16" s="11" t="s">
        <v>190</v>
      </c>
      <c r="S16" s="11" t="s">
        <v>158</v>
      </c>
      <c r="T16" s="11" t="s">
        <v>206</v>
      </c>
      <c r="U16" s="11" t="s">
        <v>173</v>
      </c>
      <c r="V16" s="11" t="s">
        <v>166</v>
      </c>
      <c r="W16" s="11" t="s">
        <v>187</v>
      </c>
      <c r="X16" s="11" t="s">
        <v>192</v>
      </c>
      <c r="Y16" s="18"/>
      <c r="Z16" s="18"/>
    </row>
    <row r="17" spans="1:26" x14ac:dyDescent="0.2">
      <c r="A17" s="6" t="s">
        <v>100</v>
      </c>
      <c r="B17" s="8">
        <v>55</v>
      </c>
      <c r="C17" s="3" t="s">
        <v>13</v>
      </c>
      <c r="D17" s="3" t="s">
        <v>261</v>
      </c>
      <c r="E17" s="3" t="s">
        <v>196</v>
      </c>
      <c r="F17" s="3" t="s">
        <v>15</v>
      </c>
      <c r="G17" s="3">
        <f>55.8-42.2</f>
        <v>13.599999999999994</v>
      </c>
      <c r="H17" s="3">
        <v>2020</v>
      </c>
      <c r="I17" s="18" t="s">
        <v>20</v>
      </c>
      <c r="J17" s="3" t="s">
        <v>20</v>
      </c>
      <c r="K17" s="3">
        <v>2010</v>
      </c>
      <c r="L17" s="18" t="s">
        <v>304</v>
      </c>
      <c r="M17" s="18" t="s">
        <v>20</v>
      </c>
      <c r="N17" s="11" t="s">
        <v>293</v>
      </c>
      <c r="O17" s="3">
        <v>1</v>
      </c>
      <c r="P17" s="3" t="s">
        <v>151</v>
      </c>
      <c r="Q17" s="3" t="s">
        <v>150</v>
      </c>
      <c r="R17" s="3" t="s">
        <v>167</v>
      </c>
      <c r="S17" s="3" t="s">
        <v>158</v>
      </c>
      <c r="T17" s="3" t="s">
        <v>208</v>
      </c>
      <c r="U17" s="3" t="s">
        <v>161</v>
      </c>
      <c r="V17" s="3" t="s">
        <v>168</v>
      </c>
      <c r="W17" s="3" t="s">
        <v>187</v>
      </c>
      <c r="X17" s="3" t="s">
        <v>192</v>
      </c>
    </row>
    <row r="18" spans="1:26" x14ac:dyDescent="0.2">
      <c r="A18" s="6" t="s">
        <v>140</v>
      </c>
      <c r="B18" s="8">
        <v>65</v>
      </c>
      <c r="C18" s="18" t="s">
        <v>199</v>
      </c>
      <c r="D18" s="18" t="s">
        <v>279</v>
      </c>
      <c r="E18" s="18" t="s">
        <v>198</v>
      </c>
      <c r="F18" s="18" t="s">
        <v>7</v>
      </c>
      <c r="G18" s="18">
        <v>0.6</v>
      </c>
      <c r="H18" s="18">
        <v>2024</v>
      </c>
      <c r="I18" s="18" t="s">
        <v>309</v>
      </c>
      <c r="J18" s="18" t="s">
        <v>20</v>
      </c>
      <c r="K18" s="18">
        <v>2019</v>
      </c>
      <c r="L18" s="14" t="s">
        <v>305</v>
      </c>
      <c r="M18" s="14" t="s">
        <v>20</v>
      </c>
      <c r="N18" s="18" t="s">
        <v>294</v>
      </c>
      <c r="O18" s="18">
        <v>1</v>
      </c>
      <c r="P18" s="18" t="s">
        <v>151</v>
      </c>
      <c r="Q18" s="18" t="s">
        <v>150</v>
      </c>
      <c r="R18" s="18" t="s">
        <v>190</v>
      </c>
      <c r="S18" s="18" t="s">
        <v>158</v>
      </c>
      <c r="T18" s="18" t="s">
        <v>219</v>
      </c>
      <c r="U18" s="18" t="s">
        <v>219</v>
      </c>
      <c r="V18" s="18" t="s">
        <v>219</v>
      </c>
      <c r="W18" s="18" t="s">
        <v>187</v>
      </c>
      <c r="X18" s="18" t="s">
        <v>20</v>
      </c>
      <c r="Y18" s="18"/>
      <c r="Z18" s="18"/>
    </row>
    <row r="19" spans="1:26" s="14" customFormat="1" x14ac:dyDescent="0.2">
      <c r="A19" s="6" t="s">
        <v>74</v>
      </c>
      <c r="B19" s="8">
        <v>47</v>
      </c>
      <c r="C19" s="11" t="s">
        <v>13</v>
      </c>
      <c r="D19" s="11" t="s">
        <v>279</v>
      </c>
      <c r="E19" s="11" t="s">
        <v>198</v>
      </c>
      <c r="F19" s="11" t="s">
        <v>7</v>
      </c>
      <c r="G19" s="11">
        <f>52-44.3</f>
        <v>7.7000000000000028</v>
      </c>
      <c r="H19" s="11">
        <v>2022</v>
      </c>
      <c r="I19" s="18" t="s">
        <v>309</v>
      </c>
      <c r="J19" s="11" t="s">
        <v>20</v>
      </c>
      <c r="K19" s="11">
        <v>2011</v>
      </c>
      <c r="L19" s="14" t="s">
        <v>305</v>
      </c>
      <c r="M19" s="14" t="s">
        <v>20</v>
      </c>
      <c r="N19" s="11" t="s">
        <v>293</v>
      </c>
      <c r="O19" s="11">
        <v>2</v>
      </c>
      <c r="P19" s="11" t="s">
        <v>147</v>
      </c>
      <c r="Q19" s="11" t="s">
        <v>150</v>
      </c>
      <c r="R19" s="11" t="s">
        <v>217</v>
      </c>
      <c r="S19" s="11" t="s">
        <v>158</v>
      </c>
      <c r="T19" s="11" t="s">
        <v>168</v>
      </c>
      <c r="U19" s="11" t="s">
        <v>178</v>
      </c>
      <c r="V19" s="11" t="s">
        <v>200</v>
      </c>
      <c r="W19" s="11" t="s">
        <v>164</v>
      </c>
      <c r="X19" s="11" t="s">
        <v>20</v>
      </c>
    </row>
    <row r="20" spans="1:26" s="14" customFormat="1" x14ac:dyDescent="0.2">
      <c r="A20" s="20" t="s">
        <v>123</v>
      </c>
      <c r="B20" s="21">
        <v>73</v>
      </c>
      <c r="C20" s="22" t="s">
        <v>199</v>
      </c>
      <c r="D20" s="22" t="s">
        <v>271</v>
      </c>
      <c r="E20" s="22" t="s">
        <v>198</v>
      </c>
      <c r="F20" s="22" t="s">
        <v>7</v>
      </c>
      <c r="G20" s="22">
        <f>54.8-41</f>
        <v>13.799999999999997</v>
      </c>
      <c r="H20" s="23">
        <v>2020</v>
      </c>
      <c r="I20" s="22" t="s">
        <v>20</v>
      </c>
      <c r="J20" s="22" t="s">
        <v>20</v>
      </c>
      <c r="K20" s="22">
        <v>2005</v>
      </c>
      <c r="L20" s="22" t="s">
        <v>297</v>
      </c>
      <c r="M20" s="22" t="s">
        <v>20</v>
      </c>
      <c r="N20" s="22" t="s">
        <v>293</v>
      </c>
      <c r="O20" s="22">
        <v>3</v>
      </c>
      <c r="P20" s="22" t="s">
        <v>151</v>
      </c>
      <c r="Q20" s="22" t="s">
        <v>150</v>
      </c>
      <c r="R20" s="22" t="s">
        <v>205</v>
      </c>
      <c r="S20" s="22" t="s">
        <v>158</v>
      </c>
      <c r="T20" s="22" t="s">
        <v>225</v>
      </c>
      <c r="U20" s="22" t="s">
        <v>173</v>
      </c>
      <c r="V20" s="22" t="s">
        <v>186</v>
      </c>
      <c r="W20" s="22" t="s">
        <v>208</v>
      </c>
      <c r="X20" s="22" t="s">
        <v>192</v>
      </c>
      <c r="Y20" s="22"/>
      <c r="Z20" s="22"/>
    </row>
    <row r="21" spans="1:26" s="22" customFormat="1" x14ac:dyDescent="0.2">
      <c r="A21" s="6" t="s">
        <v>101</v>
      </c>
      <c r="B21" s="8">
        <v>68</v>
      </c>
      <c r="C21" s="18" t="s">
        <v>199</v>
      </c>
      <c r="D21" s="18" t="s">
        <v>271</v>
      </c>
      <c r="E21" s="18" t="s">
        <v>198</v>
      </c>
      <c r="F21" s="18" t="s">
        <v>7</v>
      </c>
      <c r="G21" s="18">
        <f>52.9-45.2</f>
        <v>7.6999999999999957</v>
      </c>
      <c r="H21" s="18">
        <v>2020</v>
      </c>
      <c r="I21" s="18" t="s">
        <v>20</v>
      </c>
      <c r="J21" s="18" t="s">
        <v>20</v>
      </c>
      <c r="K21" s="18">
        <v>2015</v>
      </c>
      <c r="L21" s="18" t="s">
        <v>304</v>
      </c>
      <c r="M21" s="18" t="s">
        <v>20</v>
      </c>
      <c r="N21" s="18" t="s">
        <v>293</v>
      </c>
      <c r="O21" s="18">
        <v>1</v>
      </c>
      <c r="P21" s="18" t="s">
        <v>151</v>
      </c>
      <c r="Q21" s="18" t="s">
        <v>150</v>
      </c>
      <c r="R21" s="18" t="s">
        <v>205</v>
      </c>
      <c r="S21" s="18" t="s">
        <v>158</v>
      </c>
      <c r="T21" s="18" t="s">
        <v>170</v>
      </c>
      <c r="U21" s="18" t="s">
        <v>168</v>
      </c>
      <c r="V21" s="18" t="s">
        <v>194</v>
      </c>
      <c r="W21" s="18" t="s">
        <v>189</v>
      </c>
      <c r="X21" s="18" t="s">
        <v>20</v>
      </c>
      <c r="Y21" s="14"/>
      <c r="Z21" s="14"/>
    </row>
    <row r="22" spans="1:26" x14ac:dyDescent="0.2">
      <c r="A22" s="6" t="s">
        <v>91</v>
      </c>
      <c r="B22" s="8">
        <v>71</v>
      </c>
      <c r="C22" s="18" t="s">
        <v>229</v>
      </c>
      <c r="D22" s="18" t="s">
        <v>237</v>
      </c>
      <c r="E22" s="18" t="s">
        <v>196</v>
      </c>
      <c r="F22" s="18" t="s">
        <v>15</v>
      </c>
      <c r="G22" s="18">
        <f>71.1-28.9</f>
        <v>42.199999999999996</v>
      </c>
      <c r="H22" s="18">
        <v>2024</v>
      </c>
      <c r="I22" s="18" t="s">
        <v>309</v>
      </c>
      <c r="J22" s="18" t="s">
        <v>20</v>
      </c>
      <c r="K22" s="18">
        <v>2013</v>
      </c>
      <c r="L22" s="14" t="s">
        <v>305</v>
      </c>
      <c r="M22" s="14" t="s">
        <v>20</v>
      </c>
      <c r="N22" s="18" t="s">
        <v>293</v>
      </c>
      <c r="O22" s="18">
        <v>1</v>
      </c>
      <c r="P22" s="18" t="s">
        <v>152</v>
      </c>
      <c r="Q22" s="18" t="s">
        <v>149</v>
      </c>
      <c r="R22" s="18" t="s">
        <v>205</v>
      </c>
      <c r="S22" s="18" t="s">
        <v>158</v>
      </c>
      <c r="T22" s="18" t="s">
        <v>161</v>
      </c>
      <c r="U22" s="18" t="s">
        <v>175</v>
      </c>
      <c r="V22" s="18" t="s">
        <v>185</v>
      </c>
      <c r="W22" s="18" t="s">
        <v>187</v>
      </c>
      <c r="X22" s="18" t="s">
        <v>20</v>
      </c>
      <c r="Y22" s="18"/>
      <c r="Z22" s="18"/>
    </row>
    <row r="23" spans="1:26" x14ac:dyDescent="0.2">
      <c r="A23" s="12" t="s">
        <v>92</v>
      </c>
      <c r="B23" s="13">
        <v>46</v>
      </c>
      <c r="C23" s="14" t="s">
        <v>229</v>
      </c>
      <c r="D23" s="14" t="s">
        <v>237</v>
      </c>
      <c r="E23" s="14" t="s">
        <v>196</v>
      </c>
      <c r="F23" s="14" t="s">
        <v>15</v>
      </c>
      <c r="G23" s="14">
        <f>70-21.2</f>
        <v>48.8</v>
      </c>
      <c r="H23" s="14">
        <v>2022</v>
      </c>
      <c r="I23" s="18" t="s">
        <v>309</v>
      </c>
      <c r="J23" s="14" t="s">
        <v>20</v>
      </c>
      <c r="K23" s="14">
        <v>2012</v>
      </c>
      <c r="L23" s="14" t="s">
        <v>305</v>
      </c>
      <c r="M23" s="14" t="s">
        <v>20</v>
      </c>
      <c r="N23" s="14" t="s">
        <v>295</v>
      </c>
      <c r="O23" s="14">
        <v>2</v>
      </c>
      <c r="P23" s="14" t="s">
        <v>151</v>
      </c>
      <c r="Q23" s="14" t="s">
        <v>150</v>
      </c>
      <c r="R23" s="14" t="s">
        <v>215</v>
      </c>
      <c r="S23" s="14" t="s">
        <v>203</v>
      </c>
      <c r="T23" s="14" t="s">
        <v>172</v>
      </c>
      <c r="U23" s="14" t="s">
        <v>179</v>
      </c>
      <c r="V23" s="14" t="s">
        <v>178</v>
      </c>
      <c r="W23" s="14" t="s">
        <v>208</v>
      </c>
      <c r="X23" s="14" t="s">
        <v>20</v>
      </c>
      <c r="Y23" s="18"/>
      <c r="Z23" s="18"/>
    </row>
    <row r="24" spans="1:26" x14ac:dyDescent="0.2">
      <c r="A24" s="6" t="s">
        <v>103</v>
      </c>
      <c r="B24" s="8">
        <v>75</v>
      </c>
      <c r="C24" s="18" t="s">
        <v>199</v>
      </c>
      <c r="D24" s="18" t="s">
        <v>248</v>
      </c>
      <c r="E24" s="18" t="s">
        <v>198</v>
      </c>
      <c r="F24" s="18" t="s">
        <v>7</v>
      </c>
      <c r="G24" s="18">
        <f>65.3-34.7</f>
        <v>30.599999999999994</v>
      </c>
      <c r="H24" s="18">
        <v>2020</v>
      </c>
      <c r="I24" s="18" t="s">
        <v>20</v>
      </c>
      <c r="J24" s="18" t="s">
        <v>20</v>
      </c>
      <c r="K24" s="18">
        <v>2009</v>
      </c>
      <c r="L24" s="18" t="s">
        <v>304</v>
      </c>
      <c r="M24" s="18" t="s">
        <v>20</v>
      </c>
      <c r="N24" s="18" t="s">
        <v>293</v>
      </c>
      <c r="O24" s="18">
        <v>2</v>
      </c>
      <c r="P24" s="18" t="s">
        <v>151</v>
      </c>
      <c r="Q24" s="18" t="s">
        <v>150</v>
      </c>
      <c r="R24" s="18" t="s">
        <v>215</v>
      </c>
      <c r="S24" s="18" t="s">
        <v>158</v>
      </c>
      <c r="T24" s="18" t="s">
        <v>200</v>
      </c>
      <c r="U24" s="18" t="s">
        <v>168</v>
      </c>
      <c r="V24" s="18" t="s">
        <v>185</v>
      </c>
      <c r="W24" s="18" t="s">
        <v>164</v>
      </c>
      <c r="X24" s="18" t="s">
        <v>192</v>
      </c>
      <c r="Y24" s="17"/>
      <c r="Z24" s="17"/>
    </row>
    <row r="25" spans="1:26" x14ac:dyDescent="0.2">
      <c r="A25" s="6" t="s">
        <v>124</v>
      </c>
      <c r="B25" s="8">
        <v>67</v>
      </c>
      <c r="C25" s="18" t="s">
        <v>199</v>
      </c>
      <c r="D25" s="18" t="s">
        <v>248</v>
      </c>
      <c r="E25" s="18" t="s">
        <v>198</v>
      </c>
      <c r="F25" s="18" t="s">
        <v>7</v>
      </c>
      <c r="G25" s="18">
        <f>66.1-27.7-9</f>
        <v>29.399999999999991</v>
      </c>
      <c r="H25" s="18">
        <v>2022</v>
      </c>
      <c r="I25" s="18" t="s">
        <v>309</v>
      </c>
      <c r="J25" s="18" t="s">
        <v>20</v>
      </c>
      <c r="K25" s="18">
        <v>1999</v>
      </c>
      <c r="L25" s="14" t="s">
        <v>305</v>
      </c>
      <c r="M25" s="14" t="s">
        <v>20</v>
      </c>
      <c r="N25" s="18" t="s">
        <v>293</v>
      </c>
      <c r="O25" s="18">
        <v>4</v>
      </c>
      <c r="P25" s="18" t="s">
        <v>151</v>
      </c>
      <c r="Q25" s="18" t="s">
        <v>150</v>
      </c>
      <c r="R25" s="18" t="s">
        <v>205</v>
      </c>
      <c r="S25" s="18" t="s">
        <v>158</v>
      </c>
      <c r="T25" s="18" t="s">
        <v>179</v>
      </c>
      <c r="U25" s="18" t="s">
        <v>161</v>
      </c>
      <c r="V25" s="18" t="s">
        <v>173</v>
      </c>
      <c r="W25" s="18" t="s">
        <v>187</v>
      </c>
      <c r="X25" s="18" t="s">
        <v>192</v>
      </c>
    </row>
    <row r="26" spans="1:26" x14ac:dyDescent="0.2">
      <c r="A26" s="6" t="s">
        <v>58</v>
      </c>
      <c r="B26" s="8">
        <v>50</v>
      </c>
      <c r="C26" s="3" t="s">
        <v>230</v>
      </c>
      <c r="D26" s="3" t="s">
        <v>270</v>
      </c>
      <c r="E26" s="3" t="s">
        <v>196</v>
      </c>
      <c r="F26" s="3" t="s">
        <v>15</v>
      </c>
      <c r="G26" s="3">
        <f>54.9-39.8</f>
        <v>15.100000000000001</v>
      </c>
      <c r="H26" s="3">
        <v>2022</v>
      </c>
      <c r="I26" s="18" t="s">
        <v>309</v>
      </c>
      <c r="J26" s="3" t="s">
        <v>20</v>
      </c>
      <c r="K26" s="3">
        <v>2017</v>
      </c>
      <c r="L26" s="14" t="s">
        <v>305</v>
      </c>
      <c r="M26" s="14" t="s">
        <v>20</v>
      </c>
      <c r="N26" s="11" t="s">
        <v>294</v>
      </c>
      <c r="O26" s="3">
        <v>1</v>
      </c>
      <c r="P26" s="3" t="s">
        <v>152</v>
      </c>
      <c r="Q26" s="3" t="s">
        <v>149</v>
      </c>
      <c r="R26" s="3" t="s">
        <v>205</v>
      </c>
      <c r="S26" s="3" t="s">
        <v>158</v>
      </c>
      <c r="T26" s="3" t="s">
        <v>178</v>
      </c>
      <c r="U26" s="3" t="s">
        <v>185</v>
      </c>
      <c r="V26" s="3" t="s">
        <v>206</v>
      </c>
      <c r="W26" s="3" t="s">
        <v>187</v>
      </c>
      <c r="X26" s="3" t="s">
        <v>20</v>
      </c>
    </row>
    <row r="27" spans="1:26" x14ac:dyDescent="0.2">
      <c r="A27" s="6" t="s">
        <v>34</v>
      </c>
      <c r="B27" s="8">
        <v>73</v>
      </c>
      <c r="C27" s="11" t="s">
        <v>19</v>
      </c>
      <c r="D27" s="11" t="s">
        <v>270</v>
      </c>
      <c r="E27" s="11" t="s">
        <v>196</v>
      </c>
      <c r="F27" s="11" t="s">
        <v>15</v>
      </c>
      <c r="G27" s="11">
        <f>53.5-42.9</f>
        <v>10.600000000000001</v>
      </c>
      <c r="H27" s="11">
        <v>2020</v>
      </c>
      <c r="I27" s="18" t="s">
        <v>20</v>
      </c>
      <c r="J27" s="11" t="s">
        <v>211</v>
      </c>
      <c r="K27" s="11">
        <v>1997</v>
      </c>
      <c r="L27" s="18" t="s">
        <v>304</v>
      </c>
      <c r="M27" s="18" t="s">
        <v>20</v>
      </c>
      <c r="N27" s="11" t="s">
        <v>293</v>
      </c>
      <c r="O27" s="11">
        <v>4</v>
      </c>
      <c r="P27" s="11" t="s">
        <v>151</v>
      </c>
      <c r="Q27" s="11" t="s">
        <v>150</v>
      </c>
      <c r="R27" s="11" t="s">
        <v>205</v>
      </c>
      <c r="S27" s="11" t="s">
        <v>158</v>
      </c>
      <c r="T27" s="11" t="s">
        <v>172</v>
      </c>
      <c r="U27" s="11" t="s">
        <v>161</v>
      </c>
      <c r="V27" s="11" t="s">
        <v>188</v>
      </c>
      <c r="W27" s="11" t="s">
        <v>187</v>
      </c>
      <c r="X27" s="11" t="s">
        <v>20</v>
      </c>
      <c r="Y27" s="18"/>
      <c r="Z27" s="18"/>
    </row>
    <row r="28" spans="1:26" x14ac:dyDescent="0.2">
      <c r="A28" s="6" t="s">
        <v>67</v>
      </c>
      <c r="B28" s="8">
        <v>64</v>
      </c>
      <c r="C28" s="16" t="s">
        <v>199</v>
      </c>
      <c r="D28" s="16" t="s">
        <v>278</v>
      </c>
      <c r="E28" s="16" t="s">
        <v>198</v>
      </c>
      <c r="F28" s="16" t="s">
        <v>7</v>
      </c>
      <c r="G28" s="16">
        <v>8</v>
      </c>
      <c r="H28" s="16">
        <v>2024</v>
      </c>
      <c r="I28" s="18" t="s">
        <v>309</v>
      </c>
      <c r="J28" s="16" t="s">
        <v>20</v>
      </c>
      <c r="K28" s="16">
        <v>2019</v>
      </c>
      <c r="L28" s="14" t="s">
        <v>305</v>
      </c>
      <c r="M28" s="14" t="s">
        <v>20</v>
      </c>
      <c r="N28" s="16" t="s">
        <v>294</v>
      </c>
      <c r="O28" s="16">
        <v>1</v>
      </c>
      <c r="P28" s="16" t="s">
        <v>151</v>
      </c>
      <c r="Q28" s="16" t="s">
        <v>150</v>
      </c>
      <c r="R28" s="16" t="s">
        <v>220</v>
      </c>
      <c r="S28" s="16" t="s">
        <v>158</v>
      </c>
      <c r="T28" s="16" t="s">
        <v>219</v>
      </c>
      <c r="U28" s="16" t="s">
        <v>219</v>
      </c>
      <c r="V28" s="16" t="s">
        <v>219</v>
      </c>
      <c r="W28" s="16" t="s">
        <v>187</v>
      </c>
      <c r="X28" s="16" t="s">
        <v>20</v>
      </c>
    </row>
    <row r="29" spans="1:26" x14ac:dyDescent="0.2">
      <c r="A29" s="6" t="s">
        <v>125</v>
      </c>
      <c r="B29" s="8">
        <v>46</v>
      </c>
      <c r="C29" s="18" t="s">
        <v>13</v>
      </c>
      <c r="D29" s="18" t="s">
        <v>278</v>
      </c>
      <c r="E29" s="18" t="s">
        <v>198</v>
      </c>
      <c r="F29" s="18" t="s">
        <v>7</v>
      </c>
      <c r="G29" s="18">
        <f>52.1-42.4</f>
        <v>9.7000000000000028</v>
      </c>
      <c r="H29" s="18">
        <v>2022</v>
      </c>
      <c r="I29" s="18" t="s">
        <v>309</v>
      </c>
      <c r="J29" s="18" t="s">
        <v>20</v>
      </c>
      <c r="K29" s="18">
        <v>2017</v>
      </c>
      <c r="L29" s="14" t="s">
        <v>305</v>
      </c>
      <c r="M29" s="14" t="s">
        <v>20</v>
      </c>
      <c r="N29" s="18" t="s">
        <v>293</v>
      </c>
      <c r="O29" s="18">
        <v>1</v>
      </c>
      <c r="P29" s="18" t="s">
        <v>151</v>
      </c>
      <c r="Q29" s="18" t="s">
        <v>150</v>
      </c>
      <c r="R29" s="18" t="s">
        <v>205</v>
      </c>
      <c r="S29" s="18" t="s">
        <v>158</v>
      </c>
      <c r="T29" s="18" t="s">
        <v>168</v>
      </c>
      <c r="U29" s="18" t="s">
        <v>178</v>
      </c>
      <c r="V29" s="18" t="s">
        <v>186</v>
      </c>
      <c r="W29" s="18" t="s">
        <v>187</v>
      </c>
      <c r="X29" s="18" t="s">
        <v>20</v>
      </c>
      <c r="Y29"/>
      <c r="Z29"/>
    </row>
    <row r="30" spans="1:26" x14ac:dyDescent="0.2">
      <c r="A30" s="12" t="s">
        <v>96</v>
      </c>
      <c r="B30" s="13">
        <v>48</v>
      </c>
      <c r="C30" s="14" t="s">
        <v>19</v>
      </c>
      <c r="D30" s="14" t="s">
        <v>255</v>
      </c>
      <c r="E30" s="14" t="s">
        <v>198</v>
      </c>
      <c r="F30" s="14" t="s">
        <v>7</v>
      </c>
      <c r="G30" s="14">
        <f>52.1-43.8</f>
        <v>8.3000000000000043</v>
      </c>
      <c r="H30" s="14">
        <v>2020</v>
      </c>
      <c r="I30" s="14" t="s">
        <v>20</v>
      </c>
      <c r="J30" s="14" t="s">
        <v>212</v>
      </c>
      <c r="K30" s="14">
        <v>2015</v>
      </c>
      <c r="L30" s="14" t="s">
        <v>304</v>
      </c>
      <c r="M30" s="14" t="s">
        <v>20</v>
      </c>
      <c r="N30" s="14" t="s">
        <v>293</v>
      </c>
      <c r="O30" s="14">
        <v>1</v>
      </c>
      <c r="P30" s="14" t="s">
        <v>151</v>
      </c>
      <c r="Q30" s="14" t="s">
        <v>149</v>
      </c>
      <c r="R30" s="14" t="s">
        <v>220</v>
      </c>
      <c r="S30" s="14" t="s">
        <v>158</v>
      </c>
      <c r="T30" s="14" t="s">
        <v>175</v>
      </c>
      <c r="U30" s="14" t="s">
        <v>166</v>
      </c>
      <c r="V30" s="14" t="s">
        <v>194</v>
      </c>
      <c r="W30" s="14" t="s">
        <v>187</v>
      </c>
      <c r="X30" s="14" t="s">
        <v>20</v>
      </c>
      <c r="Y30" s="18"/>
      <c r="Z30" s="18"/>
    </row>
    <row r="31" spans="1:26" x14ac:dyDescent="0.2">
      <c r="A31" s="12" t="s">
        <v>126</v>
      </c>
      <c r="B31" s="13">
        <v>85</v>
      </c>
      <c r="C31" s="14" t="s">
        <v>6</v>
      </c>
      <c r="D31" s="14" t="s">
        <v>255</v>
      </c>
      <c r="E31" s="14" t="s">
        <v>198</v>
      </c>
      <c r="F31" s="14" t="s">
        <v>7</v>
      </c>
      <c r="G31" s="14">
        <f>60.1-35.7</f>
        <v>24.4</v>
      </c>
      <c r="H31" s="14">
        <v>2022</v>
      </c>
      <c r="I31" s="18" t="s">
        <v>309</v>
      </c>
      <c r="J31" s="14" t="s">
        <v>20</v>
      </c>
      <c r="K31" s="14">
        <v>1981</v>
      </c>
      <c r="L31" s="14" t="s">
        <v>305</v>
      </c>
      <c r="M31" s="14" t="s">
        <v>20</v>
      </c>
      <c r="N31" s="14" t="s">
        <v>294</v>
      </c>
      <c r="O31" s="14">
        <v>7</v>
      </c>
      <c r="P31" s="14" t="s">
        <v>151</v>
      </c>
      <c r="Q31" s="14" t="s">
        <v>150</v>
      </c>
      <c r="R31" s="14" t="s">
        <v>205</v>
      </c>
      <c r="S31" s="14" t="s">
        <v>158</v>
      </c>
      <c r="T31" s="14" t="s">
        <v>173</v>
      </c>
      <c r="U31" s="14" t="s">
        <v>161</v>
      </c>
      <c r="V31" s="14" t="s">
        <v>170</v>
      </c>
      <c r="W31" s="14" t="s">
        <v>187</v>
      </c>
      <c r="X31" s="14" t="s">
        <v>192</v>
      </c>
    </row>
    <row r="32" spans="1:26" x14ac:dyDescent="0.2">
      <c r="A32" s="6" t="s">
        <v>105</v>
      </c>
      <c r="B32" s="8">
        <v>82</v>
      </c>
      <c r="C32" s="17" t="s">
        <v>199</v>
      </c>
      <c r="D32" s="17" t="s">
        <v>254</v>
      </c>
      <c r="E32" s="17" t="s">
        <v>198</v>
      </c>
      <c r="F32" s="17" t="s">
        <v>7</v>
      </c>
      <c r="G32" s="17">
        <f>53.1-42.5</f>
        <v>10.600000000000001</v>
      </c>
      <c r="H32" s="17">
        <v>2020</v>
      </c>
      <c r="I32" s="18" t="s">
        <v>313</v>
      </c>
      <c r="J32" s="17" t="s">
        <v>20</v>
      </c>
      <c r="K32" s="17">
        <v>1997</v>
      </c>
      <c r="L32" s="18" t="s">
        <v>298</v>
      </c>
      <c r="M32" s="18" t="s">
        <v>20</v>
      </c>
      <c r="N32" s="17" t="s">
        <v>293</v>
      </c>
      <c r="O32" s="17">
        <v>4</v>
      </c>
      <c r="P32" s="17" t="s">
        <v>151</v>
      </c>
      <c r="Q32" s="17" t="s">
        <v>150</v>
      </c>
      <c r="R32" s="17" t="s">
        <v>205</v>
      </c>
      <c r="S32" s="17" t="s">
        <v>158</v>
      </c>
      <c r="T32" s="17" t="s">
        <v>194</v>
      </c>
      <c r="U32" s="17" t="s">
        <v>173</v>
      </c>
      <c r="V32" s="17" t="s">
        <v>186</v>
      </c>
      <c r="W32" s="17" t="s">
        <v>208</v>
      </c>
      <c r="X32" s="17" t="s">
        <v>192</v>
      </c>
      <c r="Y32" s="18"/>
      <c r="Z32" s="18"/>
    </row>
    <row r="33" spans="1:26" x14ac:dyDescent="0.2">
      <c r="A33" s="12" t="s">
        <v>127</v>
      </c>
      <c r="B33" s="13">
        <v>64</v>
      </c>
      <c r="C33" s="14" t="s">
        <v>199</v>
      </c>
      <c r="D33" s="14" t="s">
        <v>254</v>
      </c>
      <c r="E33" s="14" t="s">
        <v>198</v>
      </c>
      <c r="F33" s="14" t="s">
        <v>7</v>
      </c>
      <c r="G33" s="14">
        <f>62.2-37.8</f>
        <v>24.400000000000006</v>
      </c>
      <c r="H33" s="14">
        <v>2022</v>
      </c>
      <c r="I33" s="18" t="s">
        <v>309</v>
      </c>
      <c r="J33" s="14" t="s">
        <v>20</v>
      </c>
      <c r="K33" s="14">
        <v>2011</v>
      </c>
      <c r="L33" s="14" t="s">
        <v>305</v>
      </c>
      <c r="M33" s="14" t="s">
        <v>20</v>
      </c>
      <c r="N33" s="14" t="s">
        <v>293</v>
      </c>
      <c r="O33" s="14">
        <v>2</v>
      </c>
      <c r="P33" s="14" t="s">
        <v>151</v>
      </c>
      <c r="Q33" s="14" t="s">
        <v>150</v>
      </c>
      <c r="R33" s="14" t="s">
        <v>205</v>
      </c>
      <c r="S33" s="14" t="s">
        <v>158</v>
      </c>
      <c r="T33" s="14" t="s">
        <v>172</v>
      </c>
      <c r="U33" s="14" t="s">
        <v>178</v>
      </c>
      <c r="V33" s="14" t="s">
        <v>206</v>
      </c>
      <c r="W33" s="14" t="s">
        <v>187</v>
      </c>
      <c r="X33" s="14" t="s">
        <v>20</v>
      </c>
      <c r="Y33" s="18"/>
      <c r="Z33" s="18"/>
    </row>
    <row r="34" spans="1:26" x14ac:dyDescent="0.2">
      <c r="A34" s="6" t="s">
        <v>23</v>
      </c>
      <c r="B34" s="8">
        <v>76</v>
      </c>
      <c r="C34" s="11" t="s">
        <v>19</v>
      </c>
      <c r="D34" s="11" t="s">
        <v>269</v>
      </c>
      <c r="E34" s="11" t="s">
        <v>198</v>
      </c>
      <c r="F34" s="11" t="s">
        <v>7</v>
      </c>
      <c r="G34" s="11">
        <f>56.2-40.7</f>
        <v>15.5</v>
      </c>
      <c r="H34" s="11">
        <v>2020</v>
      </c>
      <c r="I34" s="18" t="s">
        <v>20</v>
      </c>
      <c r="J34" s="11" t="s">
        <v>209</v>
      </c>
      <c r="K34" s="11">
        <v>1985</v>
      </c>
      <c r="L34" s="18" t="s">
        <v>304</v>
      </c>
      <c r="M34" s="18" t="s">
        <v>20</v>
      </c>
      <c r="N34" s="11" t="s">
        <v>294</v>
      </c>
      <c r="O34" s="11">
        <v>6</v>
      </c>
      <c r="P34" s="11" t="s">
        <v>151</v>
      </c>
      <c r="Q34" s="11" t="s">
        <v>150</v>
      </c>
      <c r="R34" s="11" t="s">
        <v>167</v>
      </c>
      <c r="S34" s="11" t="s">
        <v>158</v>
      </c>
      <c r="T34" s="11" t="s">
        <v>172</v>
      </c>
      <c r="U34" s="11" t="s">
        <v>188</v>
      </c>
      <c r="V34" s="11" t="s">
        <v>194</v>
      </c>
      <c r="W34" s="11" t="s">
        <v>187</v>
      </c>
      <c r="X34" s="11" t="s">
        <v>20</v>
      </c>
      <c r="Y34" s="18"/>
      <c r="Z34" s="18"/>
    </row>
    <row r="35" spans="1:26" x14ac:dyDescent="0.2">
      <c r="A35" s="6" t="s">
        <v>60</v>
      </c>
      <c r="B35" s="8">
        <v>55</v>
      </c>
      <c r="C35" s="11" t="s">
        <v>61</v>
      </c>
      <c r="D35" s="11" t="s">
        <v>269</v>
      </c>
      <c r="E35" s="11" t="s">
        <v>198</v>
      </c>
      <c r="F35" s="11" t="s">
        <v>7</v>
      </c>
      <c r="G35" s="11">
        <f>57.3-42.7</f>
        <v>14.599999999999994</v>
      </c>
      <c r="H35" s="11">
        <v>2022</v>
      </c>
      <c r="I35" s="18" t="s">
        <v>309</v>
      </c>
      <c r="J35" s="11" t="s">
        <v>20</v>
      </c>
      <c r="K35" s="11">
        <v>2011</v>
      </c>
      <c r="L35" s="14" t="s">
        <v>305</v>
      </c>
      <c r="M35" s="14" t="s">
        <v>20</v>
      </c>
      <c r="N35" s="11" t="s">
        <v>293</v>
      </c>
      <c r="O35" s="11">
        <v>2</v>
      </c>
      <c r="P35" s="11" t="s">
        <v>151</v>
      </c>
      <c r="Q35" s="11" t="s">
        <v>150</v>
      </c>
      <c r="R35" s="11" t="s">
        <v>223</v>
      </c>
      <c r="S35" s="11" t="s">
        <v>158</v>
      </c>
      <c r="T35" s="11" t="s">
        <v>168</v>
      </c>
      <c r="U35" s="11" t="s">
        <v>166</v>
      </c>
      <c r="V35" s="11" t="s">
        <v>186</v>
      </c>
      <c r="W35" s="11" t="s">
        <v>187</v>
      </c>
      <c r="X35" s="11" t="s">
        <v>20</v>
      </c>
      <c r="Y35" s="18"/>
      <c r="Z35" s="18"/>
    </row>
    <row r="36" spans="1:26" s="14" customFormat="1" x14ac:dyDescent="0.2">
      <c r="A36" s="12" t="s">
        <v>128</v>
      </c>
      <c r="B36" s="13">
        <v>66</v>
      </c>
      <c r="C36" s="14" t="s">
        <v>13</v>
      </c>
      <c r="D36" s="14" t="s">
        <v>263</v>
      </c>
      <c r="E36" s="14" t="s">
        <v>197</v>
      </c>
      <c r="F36" s="14" t="s">
        <v>7</v>
      </c>
      <c r="G36" s="14">
        <f>60.7-39.3</f>
        <v>21.400000000000006</v>
      </c>
      <c r="H36" s="14">
        <v>2022</v>
      </c>
      <c r="I36" s="18" t="s">
        <v>309</v>
      </c>
      <c r="J36" s="14" t="s">
        <v>20</v>
      </c>
      <c r="K36" s="14">
        <v>2017</v>
      </c>
      <c r="L36" s="14" t="s">
        <v>305</v>
      </c>
      <c r="M36" s="14" t="s">
        <v>320</v>
      </c>
      <c r="N36" s="14" t="s">
        <v>293</v>
      </c>
      <c r="O36" s="14">
        <v>1</v>
      </c>
      <c r="P36" s="14" t="s">
        <v>151</v>
      </c>
      <c r="Q36" s="14" t="s">
        <v>150</v>
      </c>
      <c r="R36" s="14" t="s">
        <v>218</v>
      </c>
      <c r="S36" s="14" t="s">
        <v>158</v>
      </c>
      <c r="T36" s="14" t="s">
        <v>172</v>
      </c>
      <c r="U36" s="14" t="s">
        <v>161</v>
      </c>
      <c r="V36" s="14" t="s">
        <v>170</v>
      </c>
      <c r="W36" s="14" t="s">
        <v>187</v>
      </c>
      <c r="X36" s="14" t="s">
        <v>20</v>
      </c>
    </row>
    <row r="37" spans="1:26" s="14" customFormat="1" x14ac:dyDescent="0.2">
      <c r="A37" s="6" t="s">
        <v>107</v>
      </c>
      <c r="B37" s="8">
        <v>61</v>
      </c>
      <c r="C37" s="18" t="s">
        <v>13</v>
      </c>
      <c r="D37" s="18" t="s">
        <v>263</v>
      </c>
      <c r="E37" s="18" t="s">
        <v>197</v>
      </c>
      <c r="F37" s="18" t="s">
        <v>7</v>
      </c>
      <c r="G37" s="18">
        <f>55.9-44.1</f>
        <v>11.799999999999997</v>
      </c>
      <c r="H37" s="18">
        <v>2020</v>
      </c>
      <c r="I37" s="18" t="s">
        <v>20</v>
      </c>
      <c r="J37" s="18" t="s">
        <v>20</v>
      </c>
      <c r="K37" s="18">
        <v>2015</v>
      </c>
      <c r="L37" s="18" t="s">
        <v>304</v>
      </c>
      <c r="M37" s="18" t="s">
        <v>20</v>
      </c>
      <c r="N37" s="18" t="s">
        <v>294</v>
      </c>
      <c r="O37" s="18">
        <v>1</v>
      </c>
      <c r="P37" s="18" t="s">
        <v>151</v>
      </c>
      <c r="Q37" s="18" t="s">
        <v>150</v>
      </c>
      <c r="R37" s="18" t="s">
        <v>205</v>
      </c>
      <c r="S37" s="18" t="s">
        <v>158</v>
      </c>
      <c r="T37" s="18" t="s">
        <v>173</v>
      </c>
      <c r="U37" s="18" t="s">
        <v>185</v>
      </c>
      <c r="V37" s="18" t="s">
        <v>186</v>
      </c>
      <c r="W37" s="18" t="s">
        <v>187</v>
      </c>
      <c r="X37" s="18" t="s">
        <v>20</v>
      </c>
    </row>
    <row r="38" spans="1:26" s="14" customFormat="1" x14ac:dyDescent="0.2">
      <c r="A38" s="6" t="s">
        <v>66</v>
      </c>
      <c r="B38" s="8">
        <v>74</v>
      </c>
      <c r="C38" s="18" t="s">
        <v>13</v>
      </c>
      <c r="D38" s="18" t="s">
        <v>245</v>
      </c>
      <c r="E38" s="18" t="s">
        <v>197</v>
      </c>
      <c r="F38" s="18" t="s">
        <v>45</v>
      </c>
      <c r="G38" s="18">
        <f>54.5-35.2-10.3</f>
        <v>8.9999999999999964</v>
      </c>
      <c r="H38" s="18">
        <v>2024</v>
      </c>
      <c r="I38" s="18" t="s">
        <v>309</v>
      </c>
      <c r="J38" s="18" t="s">
        <v>20</v>
      </c>
      <c r="K38" s="18">
        <v>2013</v>
      </c>
      <c r="L38" s="14" t="s">
        <v>305</v>
      </c>
      <c r="M38" s="14" t="s">
        <v>20</v>
      </c>
      <c r="N38" s="18" t="s">
        <v>293</v>
      </c>
      <c r="O38" s="18">
        <v>2</v>
      </c>
      <c r="P38" s="18" t="s">
        <v>151</v>
      </c>
      <c r="Q38" s="18" t="s">
        <v>150</v>
      </c>
      <c r="R38" s="18" t="s">
        <v>190</v>
      </c>
      <c r="S38" s="18" t="s">
        <v>158</v>
      </c>
      <c r="T38" s="18" t="s">
        <v>170</v>
      </c>
      <c r="U38" s="18" t="s">
        <v>175</v>
      </c>
      <c r="V38" s="18" t="s">
        <v>185</v>
      </c>
      <c r="W38" s="18" t="s">
        <v>164</v>
      </c>
      <c r="X38" s="18" t="s">
        <v>20</v>
      </c>
    </row>
    <row r="39" spans="1:26" s="14" customFormat="1" x14ac:dyDescent="0.2">
      <c r="A39" s="6" t="s">
        <v>12</v>
      </c>
      <c r="B39" s="8">
        <v>65</v>
      </c>
      <c r="C39" s="17" t="s">
        <v>13</v>
      </c>
      <c r="D39" s="17" t="s">
        <v>245</v>
      </c>
      <c r="E39" s="17" t="s">
        <v>197</v>
      </c>
      <c r="F39" s="17" t="s">
        <v>7</v>
      </c>
      <c r="G39" s="17">
        <f>68.5-31.5</f>
        <v>37</v>
      </c>
      <c r="H39" s="17">
        <v>2020</v>
      </c>
      <c r="I39" s="18" t="s">
        <v>20</v>
      </c>
      <c r="J39" s="17" t="s">
        <v>20</v>
      </c>
      <c r="K39" s="17">
        <v>1997</v>
      </c>
      <c r="L39" s="18" t="s">
        <v>304</v>
      </c>
      <c r="M39" s="18" t="s">
        <v>20</v>
      </c>
      <c r="N39" s="17" t="s">
        <v>293</v>
      </c>
      <c r="O39" s="17">
        <v>3</v>
      </c>
      <c r="P39" s="17" t="s">
        <v>151</v>
      </c>
      <c r="Q39" s="17" t="s">
        <v>149</v>
      </c>
      <c r="R39" s="17" t="s">
        <v>223</v>
      </c>
      <c r="S39" s="17" t="s">
        <v>158</v>
      </c>
      <c r="T39" s="17" t="s">
        <v>189</v>
      </c>
      <c r="U39" s="17" t="s">
        <v>172</v>
      </c>
      <c r="V39" s="17" t="s">
        <v>186</v>
      </c>
      <c r="W39" s="17" t="s">
        <v>164</v>
      </c>
      <c r="X39" s="17" t="s">
        <v>192</v>
      </c>
    </row>
    <row r="40" spans="1:26" s="14" customFormat="1" x14ac:dyDescent="0.2">
      <c r="A40" s="12" t="s">
        <v>69</v>
      </c>
      <c r="B40" s="13">
        <v>75</v>
      </c>
      <c r="C40" s="14" t="s">
        <v>230</v>
      </c>
      <c r="D40" s="14" t="s">
        <v>247</v>
      </c>
      <c r="E40" s="14" t="s">
        <v>196</v>
      </c>
      <c r="F40" s="14" t="s">
        <v>15</v>
      </c>
      <c r="G40" s="14">
        <f>64.2-31.1</f>
        <v>33.1</v>
      </c>
      <c r="H40" s="14">
        <v>2024</v>
      </c>
      <c r="I40" s="18" t="s">
        <v>309</v>
      </c>
      <c r="J40" s="14" t="s">
        <v>20</v>
      </c>
      <c r="K40" s="14">
        <v>2007</v>
      </c>
      <c r="L40" s="14" t="s">
        <v>305</v>
      </c>
      <c r="M40" s="14" t="s">
        <v>20</v>
      </c>
      <c r="N40" s="14" t="s">
        <v>293</v>
      </c>
      <c r="O40" s="14">
        <v>3</v>
      </c>
      <c r="P40" s="14" t="s">
        <v>151</v>
      </c>
      <c r="Q40" s="14" t="s">
        <v>150</v>
      </c>
      <c r="R40" s="14" t="s">
        <v>205</v>
      </c>
      <c r="S40" s="14" t="s">
        <v>158</v>
      </c>
      <c r="T40" s="14" t="s">
        <v>200</v>
      </c>
      <c r="U40" s="14" t="s">
        <v>173</v>
      </c>
      <c r="V40" s="14" t="s">
        <v>168</v>
      </c>
      <c r="W40" s="14" t="s">
        <v>187</v>
      </c>
      <c r="X40" s="14" t="s">
        <v>192</v>
      </c>
      <c r="Y40" s="18"/>
      <c r="Z40" s="18"/>
    </row>
    <row r="41" spans="1:26" x14ac:dyDescent="0.2">
      <c r="A41" s="12" t="s">
        <v>129</v>
      </c>
      <c r="B41" s="13">
        <v>59</v>
      </c>
      <c r="C41" s="14" t="s">
        <v>230</v>
      </c>
      <c r="D41" s="14" t="s">
        <v>247</v>
      </c>
      <c r="E41" s="14" t="s">
        <v>196</v>
      </c>
      <c r="F41" s="14" t="s">
        <v>15</v>
      </c>
      <c r="G41" s="14">
        <f>60.9-35.7</f>
        <v>25.199999999999996</v>
      </c>
      <c r="H41" s="14">
        <v>2022</v>
      </c>
      <c r="I41" s="18" t="s">
        <v>309</v>
      </c>
      <c r="J41" s="14" t="s">
        <v>20</v>
      </c>
      <c r="K41" s="14">
        <v>2017</v>
      </c>
      <c r="L41" s="14" t="s">
        <v>305</v>
      </c>
      <c r="M41" s="14" t="s">
        <v>20</v>
      </c>
      <c r="N41" s="14" t="s">
        <v>293</v>
      </c>
      <c r="O41" s="14">
        <v>1</v>
      </c>
      <c r="P41" s="14" t="s">
        <v>151</v>
      </c>
      <c r="Q41" s="14" t="s">
        <v>150</v>
      </c>
      <c r="R41" s="14" t="s">
        <v>205</v>
      </c>
      <c r="S41" s="14" t="s">
        <v>158</v>
      </c>
      <c r="T41" s="14" t="s">
        <v>172</v>
      </c>
      <c r="U41" s="14" t="s">
        <v>170</v>
      </c>
      <c r="V41" s="14" t="s">
        <v>179</v>
      </c>
      <c r="W41" s="14" t="s">
        <v>187</v>
      </c>
      <c r="X41" s="14" t="s">
        <v>20</v>
      </c>
      <c r="Y41" s="14"/>
      <c r="Z41" s="14"/>
    </row>
    <row r="42" spans="1:26" x14ac:dyDescent="0.2">
      <c r="A42" s="6" t="s">
        <v>42</v>
      </c>
      <c r="B42" s="8">
        <v>69</v>
      </c>
      <c r="C42" s="18" t="s">
        <v>229</v>
      </c>
      <c r="D42" s="18" t="s">
        <v>257</v>
      </c>
      <c r="E42" s="18" t="s">
        <v>196</v>
      </c>
      <c r="F42" s="18" t="s">
        <v>15</v>
      </c>
      <c r="G42" s="18">
        <f>60.3-36.3</f>
        <v>24</v>
      </c>
      <c r="H42" s="18">
        <v>2024</v>
      </c>
      <c r="I42" s="18" t="s">
        <v>309</v>
      </c>
      <c r="J42" s="18" t="s">
        <v>213</v>
      </c>
      <c r="K42" s="18">
        <v>2013</v>
      </c>
      <c r="L42" s="18" t="s">
        <v>296</v>
      </c>
      <c r="M42" s="18" t="s">
        <v>20</v>
      </c>
      <c r="N42" s="18" t="s">
        <v>294</v>
      </c>
      <c r="O42" s="18">
        <v>2</v>
      </c>
      <c r="P42" s="18" t="s">
        <v>151</v>
      </c>
      <c r="Q42" s="18" t="s">
        <v>149</v>
      </c>
      <c r="R42" s="18" t="s">
        <v>155</v>
      </c>
      <c r="S42" s="18" t="s">
        <v>158</v>
      </c>
      <c r="T42" s="18" t="s">
        <v>179</v>
      </c>
      <c r="U42" s="18" t="s">
        <v>175</v>
      </c>
      <c r="V42" s="18" t="s">
        <v>186</v>
      </c>
      <c r="W42" s="18" t="s">
        <v>189</v>
      </c>
      <c r="X42" s="18" t="s">
        <v>20</v>
      </c>
      <c r="Y42" s="18"/>
      <c r="Z42" s="18"/>
    </row>
    <row r="43" spans="1:26" x14ac:dyDescent="0.2">
      <c r="A43" s="6" t="s">
        <v>108</v>
      </c>
      <c r="B43" s="8">
        <v>72</v>
      </c>
      <c r="C43" s="3" t="s">
        <v>230</v>
      </c>
      <c r="D43" s="3" t="s">
        <v>257</v>
      </c>
      <c r="E43" s="3" t="s">
        <v>196</v>
      </c>
      <c r="F43" s="3" t="s">
        <v>15</v>
      </c>
      <c r="G43" s="3">
        <f>61.9-38</f>
        <v>23.9</v>
      </c>
      <c r="H43" s="3">
        <v>2020</v>
      </c>
      <c r="I43" s="18" t="s">
        <v>310</v>
      </c>
      <c r="J43" s="3" t="s">
        <v>20</v>
      </c>
      <c r="K43" s="3">
        <v>2013</v>
      </c>
      <c r="L43" s="18" t="s">
        <v>304</v>
      </c>
      <c r="M43" s="18" t="s">
        <v>20</v>
      </c>
      <c r="N43" s="11" t="s">
        <v>293</v>
      </c>
      <c r="O43" s="3">
        <v>1</v>
      </c>
      <c r="P43" s="3" t="s">
        <v>151</v>
      </c>
      <c r="Q43" s="3" t="s">
        <v>150</v>
      </c>
      <c r="R43" s="3" t="s">
        <v>205</v>
      </c>
      <c r="S43" s="3" t="s">
        <v>203</v>
      </c>
      <c r="T43" s="3" t="s">
        <v>168</v>
      </c>
      <c r="U43" s="3" t="s">
        <v>178</v>
      </c>
      <c r="V43" s="3" t="s">
        <v>206</v>
      </c>
      <c r="W43" s="3" t="s">
        <v>187</v>
      </c>
      <c r="X43" s="3" t="s">
        <v>20</v>
      </c>
    </row>
    <row r="44" spans="1:26" x14ac:dyDescent="0.2">
      <c r="A44" s="6" t="s">
        <v>52</v>
      </c>
      <c r="B44" s="8">
        <v>68</v>
      </c>
      <c r="C44" s="17" t="s">
        <v>19</v>
      </c>
      <c r="D44" s="17" t="s">
        <v>274</v>
      </c>
      <c r="E44" s="17" t="s">
        <v>196</v>
      </c>
      <c r="F44" s="17" t="s">
        <v>15</v>
      </c>
      <c r="G44" s="17">
        <f>52.2-45.8</f>
        <v>6.4000000000000057</v>
      </c>
      <c r="H44" s="17">
        <v>2024</v>
      </c>
      <c r="I44" s="18" t="s">
        <v>309</v>
      </c>
      <c r="J44" s="17" t="s">
        <v>212</v>
      </c>
      <c r="K44" s="17">
        <v>2001</v>
      </c>
      <c r="L44" s="18" t="s">
        <v>305</v>
      </c>
      <c r="M44" s="18" t="s">
        <v>20</v>
      </c>
      <c r="N44" s="17" t="s">
        <v>294</v>
      </c>
      <c r="O44" s="17">
        <v>4</v>
      </c>
      <c r="P44" s="17" t="s">
        <v>151</v>
      </c>
      <c r="Q44" s="17" t="s">
        <v>149</v>
      </c>
      <c r="R44" s="17" t="s">
        <v>205</v>
      </c>
      <c r="S44" s="17" t="s">
        <v>158</v>
      </c>
      <c r="T44" s="17" t="s">
        <v>194</v>
      </c>
      <c r="U44" s="17" t="s">
        <v>173</v>
      </c>
      <c r="V44" s="17" t="s">
        <v>170</v>
      </c>
      <c r="W44" s="17" t="s">
        <v>187</v>
      </c>
      <c r="X44" s="17" t="s">
        <v>192</v>
      </c>
      <c r="Y44" s="18"/>
      <c r="Z44" s="18"/>
    </row>
    <row r="45" spans="1:26" x14ac:dyDescent="0.2">
      <c r="A45" s="6" t="s">
        <v>109</v>
      </c>
      <c r="B45" s="8">
        <v>59</v>
      </c>
      <c r="C45" s="18" t="s">
        <v>13</v>
      </c>
      <c r="D45" s="18" t="s">
        <v>274</v>
      </c>
      <c r="E45" s="18" t="s">
        <v>196</v>
      </c>
      <c r="F45" s="18" t="s">
        <v>15</v>
      </c>
      <c r="G45" s="18">
        <f>54.6-41.3</f>
        <v>13.300000000000004</v>
      </c>
      <c r="H45" s="18">
        <v>2020</v>
      </c>
      <c r="I45" s="18" t="s">
        <v>20</v>
      </c>
      <c r="J45" s="18" t="s">
        <v>20</v>
      </c>
      <c r="K45" s="18">
        <v>2015</v>
      </c>
      <c r="L45" s="18" t="s">
        <v>304</v>
      </c>
      <c r="M45" s="18" t="s">
        <v>20</v>
      </c>
      <c r="N45" s="18" t="s">
        <v>293</v>
      </c>
      <c r="O45" s="18">
        <v>1</v>
      </c>
      <c r="P45" s="18" t="s">
        <v>151</v>
      </c>
      <c r="Q45" s="18" t="s">
        <v>150</v>
      </c>
      <c r="R45" s="18" t="s">
        <v>205</v>
      </c>
      <c r="S45" s="18" t="s">
        <v>158</v>
      </c>
      <c r="T45" s="18" t="s">
        <v>178</v>
      </c>
      <c r="U45" s="18" t="s">
        <v>166</v>
      </c>
      <c r="V45" s="18" t="s">
        <v>219</v>
      </c>
      <c r="W45" s="18" t="s">
        <v>187</v>
      </c>
      <c r="X45" s="18" t="s">
        <v>20</v>
      </c>
      <c r="Y45"/>
      <c r="Z45"/>
    </row>
    <row r="46" spans="1:26" x14ac:dyDescent="0.2">
      <c r="A46" s="6" t="s">
        <v>81</v>
      </c>
      <c r="B46" s="8">
        <v>60</v>
      </c>
      <c r="C46" s="18" t="s">
        <v>230</v>
      </c>
      <c r="D46" s="18" t="s">
        <v>256</v>
      </c>
      <c r="E46" s="18" t="s">
        <v>196</v>
      </c>
      <c r="F46" s="18" t="s">
        <v>15</v>
      </c>
      <c r="G46" s="18">
        <f>53-42.4</f>
        <v>10.600000000000001</v>
      </c>
      <c r="H46" s="18">
        <v>2024</v>
      </c>
      <c r="I46" s="18" t="s">
        <v>309</v>
      </c>
      <c r="J46" s="18" t="s">
        <v>20</v>
      </c>
      <c r="K46" s="18">
        <v>2018</v>
      </c>
      <c r="L46" s="18" t="s">
        <v>305</v>
      </c>
      <c r="M46" s="18" t="s">
        <v>20</v>
      </c>
      <c r="N46" s="18" t="s">
        <v>295</v>
      </c>
      <c r="O46" s="18">
        <v>1</v>
      </c>
      <c r="P46" s="18" t="s">
        <v>151</v>
      </c>
      <c r="Q46" s="18" t="s">
        <v>149</v>
      </c>
      <c r="R46" s="18" t="s">
        <v>215</v>
      </c>
      <c r="S46" s="18" t="s">
        <v>203</v>
      </c>
      <c r="T46" s="18" t="s">
        <v>185</v>
      </c>
      <c r="U46" s="18" t="s">
        <v>186</v>
      </c>
      <c r="V46" s="18" t="s">
        <v>194</v>
      </c>
      <c r="W46" s="18" t="s">
        <v>187</v>
      </c>
      <c r="X46" s="18" t="s">
        <v>20</v>
      </c>
      <c r="Y46" s="14"/>
      <c r="Z46" s="14"/>
    </row>
    <row r="47" spans="1:26" s="14" customFormat="1" x14ac:dyDescent="0.2">
      <c r="A47" s="6" t="s">
        <v>31</v>
      </c>
      <c r="B47" s="8">
        <v>58</v>
      </c>
      <c r="C47" s="18" t="s">
        <v>230</v>
      </c>
      <c r="D47" s="18" t="s">
        <v>256</v>
      </c>
      <c r="E47" s="18" t="s">
        <v>196</v>
      </c>
      <c r="F47" s="18" t="s">
        <v>15</v>
      </c>
      <c r="G47" s="18">
        <f>60.3-36.2</f>
        <v>24.099999999999994</v>
      </c>
      <c r="H47" s="18">
        <v>2024</v>
      </c>
      <c r="I47" s="18" t="s">
        <v>309</v>
      </c>
      <c r="J47" s="18" t="s">
        <v>20</v>
      </c>
      <c r="K47" s="18">
        <v>2007</v>
      </c>
      <c r="L47" s="18" t="s">
        <v>296</v>
      </c>
      <c r="M47" s="18" t="s">
        <v>20</v>
      </c>
      <c r="N47" s="18" t="s">
        <v>293</v>
      </c>
      <c r="O47" s="18">
        <v>3</v>
      </c>
      <c r="P47" s="18" t="s">
        <v>151</v>
      </c>
      <c r="Q47" s="18" t="s">
        <v>149</v>
      </c>
      <c r="R47" s="18" t="s">
        <v>204</v>
      </c>
      <c r="S47" s="18" t="s">
        <v>158</v>
      </c>
      <c r="T47" s="18" t="s">
        <v>188</v>
      </c>
      <c r="U47" s="18" t="s">
        <v>161</v>
      </c>
      <c r="V47" s="18" t="s">
        <v>178</v>
      </c>
      <c r="W47" s="18" t="s">
        <v>187</v>
      </c>
      <c r="X47" s="18" t="s">
        <v>192</v>
      </c>
      <c r="Y47" s="18"/>
      <c r="Z47" s="18"/>
    </row>
    <row r="48" spans="1:26" x14ac:dyDescent="0.2">
      <c r="A48" s="6" t="s">
        <v>82</v>
      </c>
      <c r="B48" s="8">
        <v>67</v>
      </c>
      <c r="C48" s="17" t="s">
        <v>199</v>
      </c>
      <c r="D48" s="17" t="s">
        <v>265</v>
      </c>
      <c r="E48" s="17" t="s">
        <v>198</v>
      </c>
      <c r="F48" s="17" t="s">
        <v>7</v>
      </c>
      <c r="G48" s="17">
        <f>58.8-39.1</f>
        <v>19.699999999999996</v>
      </c>
      <c r="H48" s="17">
        <v>2024</v>
      </c>
      <c r="I48" s="18" t="s">
        <v>309</v>
      </c>
      <c r="J48" s="17" t="s">
        <v>20</v>
      </c>
      <c r="K48" s="17">
        <v>2007</v>
      </c>
      <c r="L48" s="18" t="s">
        <v>305</v>
      </c>
      <c r="M48" s="18" t="s">
        <v>20</v>
      </c>
      <c r="N48" s="17" t="s">
        <v>295</v>
      </c>
      <c r="O48" s="17">
        <v>2</v>
      </c>
      <c r="P48" s="17" t="s">
        <v>151</v>
      </c>
      <c r="Q48" s="17" t="s">
        <v>150</v>
      </c>
      <c r="R48" s="17" t="s">
        <v>205</v>
      </c>
      <c r="S48" s="17" t="s">
        <v>203</v>
      </c>
      <c r="T48" s="17" t="s">
        <v>175</v>
      </c>
      <c r="U48" s="17" t="s">
        <v>178</v>
      </c>
      <c r="V48" s="17" t="s">
        <v>206</v>
      </c>
      <c r="W48" s="17" t="s">
        <v>187</v>
      </c>
      <c r="X48" s="17" t="s">
        <v>20</v>
      </c>
      <c r="Y48"/>
      <c r="Z48"/>
    </row>
    <row r="49" spans="1:26" x14ac:dyDescent="0.2">
      <c r="A49" s="6" t="s">
        <v>141</v>
      </c>
      <c r="B49" s="8">
        <v>59</v>
      </c>
      <c r="C49" s="18" t="s">
        <v>199</v>
      </c>
      <c r="D49" s="18" t="s">
        <v>265</v>
      </c>
      <c r="E49" s="18" t="s">
        <v>198</v>
      </c>
      <c r="F49" s="18" t="s">
        <v>7</v>
      </c>
      <c r="G49" s="18">
        <v>0</v>
      </c>
      <c r="H49" s="18">
        <v>2024</v>
      </c>
      <c r="I49" s="18" t="s">
        <v>309</v>
      </c>
      <c r="J49" s="18" t="s">
        <v>20</v>
      </c>
      <c r="K49" s="18">
        <v>2017</v>
      </c>
      <c r="L49" s="18" t="s">
        <v>305</v>
      </c>
      <c r="M49" s="18" t="s">
        <v>20</v>
      </c>
      <c r="N49" s="18" t="s">
        <v>295</v>
      </c>
      <c r="O49" s="18">
        <v>1</v>
      </c>
      <c r="P49" s="18" t="s">
        <v>151</v>
      </c>
      <c r="Q49" s="18" t="s">
        <v>149</v>
      </c>
      <c r="R49" s="18" t="s">
        <v>156</v>
      </c>
      <c r="S49" s="18" t="s">
        <v>203</v>
      </c>
      <c r="T49" s="18" t="s">
        <v>172</v>
      </c>
      <c r="U49" s="18" t="s">
        <v>188</v>
      </c>
      <c r="V49" s="18" t="s">
        <v>194</v>
      </c>
      <c r="W49" s="18" t="s">
        <v>187</v>
      </c>
      <c r="X49" s="18" t="s">
        <v>20</v>
      </c>
      <c r="Y49" s="18"/>
      <c r="Z49" s="18"/>
    </row>
    <row r="50" spans="1:26" x14ac:dyDescent="0.2">
      <c r="A50" s="6" t="s">
        <v>131</v>
      </c>
      <c r="B50" s="8">
        <v>68</v>
      </c>
      <c r="C50" s="18" t="s">
        <v>199</v>
      </c>
      <c r="D50" s="18" t="s">
        <v>272</v>
      </c>
      <c r="E50" s="18" t="s">
        <v>198</v>
      </c>
      <c r="F50" s="18" t="s">
        <v>7</v>
      </c>
      <c r="G50" s="18">
        <f>54.2-40.6</f>
        <v>13.600000000000001</v>
      </c>
      <c r="H50" s="18">
        <v>2022</v>
      </c>
      <c r="I50" s="18" t="s">
        <v>309</v>
      </c>
      <c r="J50" s="18" t="s">
        <v>20</v>
      </c>
      <c r="K50" s="18">
        <v>2011</v>
      </c>
      <c r="L50" s="14" t="s">
        <v>305</v>
      </c>
      <c r="M50" s="14" t="s">
        <v>20</v>
      </c>
      <c r="N50" s="18" t="s">
        <v>293</v>
      </c>
      <c r="O50" s="18">
        <v>2</v>
      </c>
      <c r="P50" s="18" t="s">
        <v>151</v>
      </c>
      <c r="Q50" s="18" t="s">
        <v>150</v>
      </c>
      <c r="R50" s="18" t="s">
        <v>205</v>
      </c>
      <c r="S50" s="18" t="s">
        <v>158</v>
      </c>
      <c r="T50" s="18" t="s">
        <v>188</v>
      </c>
      <c r="U50" s="18" t="s">
        <v>172</v>
      </c>
      <c r="V50" s="18" t="s">
        <v>178</v>
      </c>
      <c r="W50" s="18" t="s">
        <v>164</v>
      </c>
      <c r="X50" s="18" t="s">
        <v>192</v>
      </c>
      <c r="Y50" s="18"/>
      <c r="Z50" s="18"/>
    </row>
    <row r="51" spans="1:26" x14ac:dyDescent="0.2">
      <c r="A51" s="6" t="s">
        <v>84</v>
      </c>
      <c r="B51" s="8">
        <v>38</v>
      </c>
      <c r="C51" s="11" t="s">
        <v>199</v>
      </c>
      <c r="D51" s="11" t="s">
        <v>272</v>
      </c>
      <c r="E51" s="11" t="s">
        <v>198</v>
      </c>
      <c r="F51" s="11" t="s">
        <v>7</v>
      </c>
      <c r="G51" s="11">
        <v>6</v>
      </c>
      <c r="H51" s="11">
        <v>2024</v>
      </c>
      <c r="I51" s="18" t="s">
        <v>309</v>
      </c>
      <c r="J51" s="11" t="s">
        <v>20</v>
      </c>
      <c r="K51" s="11">
        <v>2019</v>
      </c>
      <c r="L51" s="18" t="s">
        <v>305</v>
      </c>
      <c r="M51" s="18" t="s">
        <v>20</v>
      </c>
      <c r="N51" s="11" t="s">
        <v>294</v>
      </c>
      <c r="O51" s="11">
        <v>1</v>
      </c>
      <c r="P51" s="11" t="s">
        <v>151</v>
      </c>
      <c r="Q51" s="11" t="s">
        <v>150</v>
      </c>
      <c r="R51" s="11" t="s">
        <v>154</v>
      </c>
      <c r="S51" s="11" t="s">
        <v>158</v>
      </c>
      <c r="T51" s="11" t="s">
        <v>219</v>
      </c>
      <c r="U51" s="11" t="s">
        <v>219</v>
      </c>
      <c r="V51" s="11" t="s">
        <v>219</v>
      </c>
      <c r="W51" s="11" t="s">
        <v>187</v>
      </c>
      <c r="X51" s="11" t="s">
        <v>20</v>
      </c>
      <c r="Y51" s="18"/>
      <c r="Z51" s="18"/>
    </row>
    <row r="52" spans="1:26" x14ac:dyDescent="0.2">
      <c r="A52" s="6" t="s">
        <v>110</v>
      </c>
      <c r="B52" s="8">
        <v>56</v>
      </c>
      <c r="C52" s="11" t="s">
        <v>199</v>
      </c>
      <c r="D52" s="11" t="s">
        <v>267</v>
      </c>
      <c r="E52" s="11" t="s">
        <v>197</v>
      </c>
      <c r="F52" s="11" t="s">
        <v>7</v>
      </c>
      <c r="G52" s="11">
        <f>57.9-40</f>
        <v>17.899999999999999</v>
      </c>
      <c r="H52" s="11">
        <v>2020</v>
      </c>
      <c r="I52" s="18" t="s">
        <v>20</v>
      </c>
      <c r="J52" s="11" t="s">
        <v>20</v>
      </c>
      <c r="K52" s="11">
        <v>2015</v>
      </c>
      <c r="L52" s="18" t="s">
        <v>304</v>
      </c>
      <c r="M52" s="18" t="s">
        <v>20</v>
      </c>
      <c r="N52" s="11" t="s">
        <v>293</v>
      </c>
      <c r="O52" s="11">
        <v>1</v>
      </c>
      <c r="P52" s="11" t="s">
        <v>151</v>
      </c>
      <c r="Q52" s="11" t="s">
        <v>150</v>
      </c>
      <c r="R52" s="11" t="s">
        <v>205</v>
      </c>
      <c r="S52" s="11" t="s">
        <v>158</v>
      </c>
      <c r="T52" s="11" t="s">
        <v>172</v>
      </c>
      <c r="U52" s="11" t="s">
        <v>166</v>
      </c>
      <c r="V52" s="11" t="s">
        <v>185</v>
      </c>
      <c r="W52" s="11" t="s">
        <v>187</v>
      </c>
      <c r="X52" s="11" t="s">
        <v>20</v>
      </c>
      <c r="Y52" s="18"/>
      <c r="Z52" s="18"/>
    </row>
    <row r="53" spans="1:26" x14ac:dyDescent="0.2">
      <c r="A53" s="6" t="s">
        <v>54</v>
      </c>
      <c r="B53" s="8">
        <v>62</v>
      </c>
      <c r="C53" s="18" t="s">
        <v>13</v>
      </c>
      <c r="D53" s="18" t="s">
        <v>267</v>
      </c>
      <c r="E53" s="18" t="s">
        <v>197</v>
      </c>
      <c r="F53" s="18" t="s">
        <v>15</v>
      </c>
      <c r="G53" s="18">
        <f>50.2-47</f>
        <v>3.2000000000000028</v>
      </c>
      <c r="H53" s="18">
        <v>2024</v>
      </c>
      <c r="I53" s="18" t="s">
        <v>309</v>
      </c>
      <c r="J53" s="18" t="s">
        <v>20</v>
      </c>
      <c r="K53" s="18">
        <v>2007</v>
      </c>
      <c r="L53" s="18" t="s">
        <v>305</v>
      </c>
      <c r="M53" s="18" t="s">
        <v>20</v>
      </c>
      <c r="N53" s="18" t="s">
        <v>294</v>
      </c>
      <c r="O53" s="18">
        <v>3</v>
      </c>
      <c r="P53" s="18" t="s">
        <v>151</v>
      </c>
      <c r="Q53" s="18" t="s">
        <v>150</v>
      </c>
      <c r="R53" s="18" t="s">
        <v>224</v>
      </c>
      <c r="S53" s="18" t="s">
        <v>158</v>
      </c>
      <c r="T53" s="18" t="s">
        <v>225</v>
      </c>
      <c r="U53" s="18" t="s">
        <v>172</v>
      </c>
      <c r="V53" s="18" t="s">
        <v>179</v>
      </c>
      <c r="W53" s="18" t="s">
        <v>187</v>
      </c>
      <c r="X53" s="18" t="s">
        <v>192</v>
      </c>
    </row>
    <row r="54" spans="1:26" x14ac:dyDescent="0.2">
      <c r="A54" s="12" t="s">
        <v>85</v>
      </c>
      <c r="B54" s="13">
        <v>67</v>
      </c>
      <c r="C54" s="14" t="s">
        <v>199</v>
      </c>
      <c r="D54" s="14" t="s">
        <v>246</v>
      </c>
      <c r="E54" s="14" t="s">
        <v>198</v>
      </c>
      <c r="F54" s="14" t="s">
        <v>7</v>
      </c>
      <c r="G54" s="14">
        <f>58.1-38.3</f>
        <v>19.800000000000004</v>
      </c>
      <c r="H54" s="14">
        <v>2024</v>
      </c>
      <c r="I54" s="18" t="s">
        <v>309</v>
      </c>
      <c r="J54" s="14" t="s">
        <v>20</v>
      </c>
      <c r="K54" s="14">
        <v>2013</v>
      </c>
      <c r="L54" s="18" t="s">
        <v>305</v>
      </c>
      <c r="M54" s="18" t="s">
        <v>20</v>
      </c>
      <c r="N54" s="14" t="s">
        <v>293</v>
      </c>
      <c r="O54" s="14">
        <v>2</v>
      </c>
      <c r="P54" s="14" t="s">
        <v>151</v>
      </c>
      <c r="Q54" s="14" t="s">
        <v>149</v>
      </c>
      <c r="R54" s="14" t="s">
        <v>220</v>
      </c>
      <c r="S54" s="14" t="s">
        <v>158</v>
      </c>
      <c r="T54" s="14" t="s">
        <v>175</v>
      </c>
      <c r="U54" s="14" t="s">
        <v>178</v>
      </c>
      <c r="V54" s="14" t="s">
        <v>206</v>
      </c>
      <c r="W54" s="14" t="s">
        <v>189</v>
      </c>
      <c r="X54" s="14" t="s">
        <v>20</v>
      </c>
      <c r="Y54" s="18"/>
      <c r="Z54" s="18"/>
    </row>
    <row r="55" spans="1:26" x14ac:dyDescent="0.2">
      <c r="A55" s="6" t="s">
        <v>111</v>
      </c>
      <c r="B55" s="8">
        <v>46</v>
      </c>
      <c r="C55" s="17" t="s">
        <v>13</v>
      </c>
      <c r="D55" s="17" t="s">
        <v>246</v>
      </c>
      <c r="E55" s="17" t="s">
        <v>198</v>
      </c>
      <c r="F55" s="17" t="s">
        <v>7</v>
      </c>
      <c r="G55" s="17">
        <f>65-31</f>
        <v>34</v>
      </c>
      <c r="H55" s="17">
        <v>2020</v>
      </c>
      <c r="I55" s="18" t="s">
        <v>20</v>
      </c>
      <c r="J55" s="17" t="s">
        <v>20</v>
      </c>
      <c r="K55" s="17">
        <v>2015</v>
      </c>
      <c r="L55" s="18" t="s">
        <v>304</v>
      </c>
      <c r="M55" s="18" t="s">
        <v>20</v>
      </c>
      <c r="N55" s="17" t="s">
        <v>293</v>
      </c>
      <c r="O55" s="17">
        <v>1</v>
      </c>
      <c r="P55" s="17" t="s">
        <v>151</v>
      </c>
      <c r="Q55" s="17" t="s">
        <v>150</v>
      </c>
      <c r="R55" s="17" t="s">
        <v>227</v>
      </c>
      <c r="S55" s="17" t="s">
        <v>158</v>
      </c>
      <c r="T55" s="17" t="s">
        <v>161</v>
      </c>
      <c r="U55" s="17" t="s">
        <v>175</v>
      </c>
      <c r="V55" s="17" t="s">
        <v>179</v>
      </c>
      <c r="W55" s="17" t="s">
        <v>187</v>
      </c>
      <c r="X55" s="17" t="s">
        <v>20</v>
      </c>
    </row>
    <row r="56" spans="1:26" x14ac:dyDescent="0.2">
      <c r="A56" s="6" t="s">
        <v>59</v>
      </c>
      <c r="B56" s="8">
        <v>61</v>
      </c>
      <c r="C56" s="3" t="s">
        <v>230</v>
      </c>
      <c r="D56" s="3" t="s">
        <v>280</v>
      </c>
      <c r="E56" s="3" t="s">
        <v>197</v>
      </c>
      <c r="F56" s="3" t="s">
        <v>15</v>
      </c>
      <c r="G56" s="3">
        <v>6</v>
      </c>
      <c r="H56" s="3">
        <v>2024</v>
      </c>
      <c r="I56" s="18" t="s">
        <v>309</v>
      </c>
      <c r="J56" s="3" t="s">
        <v>20</v>
      </c>
      <c r="K56" s="3">
        <v>2019</v>
      </c>
      <c r="L56" s="18" t="s">
        <v>305</v>
      </c>
      <c r="M56" s="18" t="s">
        <v>20</v>
      </c>
      <c r="N56" s="11" t="s">
        <v>294</v>
      </c>
      <c r="O56" s="3">
        <v>1</v>
      </c>
      <c r="P56" s="3" t="s">
        <v>151</v>
      </c>
      <c r="Q56" s="3" t="s">
        <v>149</v>
      </c>
      <c r="R56" s="3" t="s">
        <v>205</v>
      </c>
      <c r="S56" s="3" t="s">
        <v>158</v>
      </c>
      <c r="T56" s="3" t="s">
        <v>219</v>
      </c>
      <c r="U56" s="3" t="s">
        <v>219</v>
      </c>
      <c r="V56" s="3" t="s">
        <v>219</v>
      </c>
      <c r="W56" s="3" t="s">
        <v>187</v>
      </c>
      <c r="X56" s="3" t="s">
        <v>20</v>
      </c>
      <c r="Y56" s="18"/>
      <c r="Z56" s="18"/>
    </row>
    <row r="57" spans="1:26" x14ac:dyDescent="0.2">
      <c r="A57" s="6" t="s">
        <v>130</v>
      </c>
      <c r="B57" s="8">
        <v>54</v>
      </c>
      <c r="C57" s="15" t="s">
        <v>230</v>
      </c>
      <c r="D57" s="15" t="s">
        <v>280</v>
      </c>
      <c r="E57" s="15" t="s">
        <v>196</v>
      </c>
      <c r="F57" s="15" t="s">
        <v>15</v>
      </c>
      <c r="G57" s="15">
        <f>47.1-44.7</f>
        <v>2.3999999999999986</v>
      </c>
      <c r="H57" s="15">
        <v>2022</v>
      </c>
      <c r="I57" s="18" t="s">
        <v>309</v>
      </c>
      <c r="J57" s="15" t="s">
        <v>20</v>
      </c>
      <c r="K57" s="15">
        <v>2017</v>
      </c>
      <c r="L57" s="14" t="s">
        <v>305</v>
      </c>
      <c r="M57" s="14" t="s">
        <v>20</v>
      </c>
      <c r="N57" s="15" t="s">
        <v>293</v>
      </c>
      <c r="O57" s="15">
        <v>1</v>
      </c>
      <c r="P57" s="15" t="s">
        <v>147</v>
      </c>
      <c r="Q57" s="15" t="s">
        <v>149</v>
      </c>
      <c r="R57" s="15" t="s">
        <v>154</v>
      </c>
      <c r="S57" s="15" t="s">
        <v>158</v>
      </c>
      <c r="T57" s="15" t="s">
        <v>179</v>
      </c>
      <c r="U57" s="15" t="s">
        <v>178</v>
      </c>
      <c r="V57" s="15" t="s">
        <v>185</v>
      </c>
      <c r="W57" s="15" t="s">
        <v>189</v>
      </c>
      <c r="X57" s="15" t="s">
        <v>20</v>
      </c>
    </row>
    <row r="58" spans="1:26" x14ac:dyDescent="0.2">
      <c r="A58" s="6" t="s">
        <v>24</v>
      </c>
      <c r="B58" s="8">
        <v>71</v>
      </c>
      <c r="C58" s="18" t="s">
        <v>13</v>
      </c>
      <c r="D58" s="18" t="s">
        <v>283</v>
      </c>
      <c r="E58" s="18" t="s">
        <v>197</v>
      </c>
      <c r="F58" s="18" t="s">
        <v>15</v>
      </c>
      <c r="G58" s="18">
        <f>51.5-48.2</f>
        <v>3.2999999999999972</v>
      </c>
      <c r="H58" s="18">
        <v>2020</v>
      </c>
      <c r="I58" s="18" t="s">
        <v>20</v>
      </c>
      <c r="J58" s="18" t="s">
        <v>20</v>
      </c>
      <c r="K58" s="18">
        <v>2009</v>
      </c>
      <c r="L58" s="18" t="s">
        <v>304</v>
      </c>
      <c r="M58" s="18" t="s">
        <v>317</v>
      </c>
      <c r="N58" s="18" t="s">
        <v>294</v>
      </c>
      <c r="O58" s="18">
        <v>2</v>
      </c>
      <c r="P58" s="18" t="s">
        <v>151</v>
      </c>
      <c r="Q58" s="18" t="s">
        <v>149</v>
      </c>
      <c r="R58" s="18" t="s">
        <v>190</v>
      </c>
      <c r="S58" s="18" t="s">
        <v>158</v>
      </c>
      <c r="T58" s="18" t="s">
        <v>200</v>
      </c>
      <c r="U58" s="18" t="s">
        <v>172</v>
      </c>
      <c r="V58" s="18" t="s">
        <v>207</v>
      </c>
      <c r="W58" s="18" t="s">
        <v>187</v>
      </c>
      <c r="X58" s="18" t="s">
        <v>201</v>
      </c>
      <c r="Y58" s="18"/>
      <c r="Z58" s="18"/>
    </row>
    <row r="59" spans="1:26" x14ac:dyDescent="0.2">
      <c r="A59" s="6" t="s">
        <v>132</v>
      </c>
      <c r="B59" s="8">
        <v>60</v>
      </c>
      <c r="C59" s="18" t="s">
        <v>13</v>
      </c>
      <c r="D59" s="18" t="s">
        <v>283</v>
      </c>
      <c r="E59" s="18" t="s">
        <v>197</v>
      </c>
      <c r="F59" s="18" t="s">
        <v>15</v>
      </c>
      <c r="G59" s="18">
        <f>48-47.8</f>
        <v>0.20000000000000284</v>
      </c>
      <c r="H59" s="18">
        <v>2022</v>
      </c>
      <c r="I59" s="18" t="s">
        <v>309</v>
      </c>
      <c r="J59" s="18" t="s">
        <v>20</v>
      </c>
      <c r="K59" s="18">
        <v>2017</v>
      </c>
      <c r="L59" s="14" t="s">
        <v>305</v>
      </c>
      <c r="M59" s="14" t="s">
        <v>20</v>
      </c>
      <c r="N59" s="18" t="s">
        <v>294</v>
      </c>
      <c r="O59" s="18">
        <v>1</v>
      </c>
      <c r="P59" s="18" t="s">
        <v>151</v>
      </c>
      <c r="Q59" s="18" t="s">
        <v>149</v>
      </c>
      <c r="R59" s="18" t="s">
        <v>190</v>
      </c>
      <c r="S59" s="18" t="s">
        <v>158</v>
      </c>
      <c r="T59" s="18" t="s">
        <v>178</v>
      </c>
      <c r="U59" s="18" t="s">
        <v>166</v>
      </c>
      <c r="V59" s="18" t="s">
        <v>186</v>
      </c>
      <c r="W59" s="18" t="s">
        <v>187</v>
      </c>
      <c r="X59" s="18" t="s">
        <v>20</v>
      </c>
    </row>
    <row r="60" spans="1:26" x14ac:dyDescent="0.2">
      <c r="A60" s="6" t="s">
        <v>26</v>
      </c>
      <c r="B60" s="8">
        <v>49</v>
      </c>
      <c r="C60" s="3" t="s">
        <v>229</v>
      </c>
      <c r="D60" s="3" t="s">
        <v>273</v>
      </c>
      <c r="E60" s="3" t="s">
        <v>196</v>
      </c>
      <c r="F60" s="3" t="s">
        <v>15</v>
      </c>
      <c r="G60" s="3">
        <f>55.8-42.3</f>
        <v>13.5</v>
      </c>
      <c r="H60" s="3">
        <v>2020</v>
      </c>
      <c r="I60" s="18" t="s">
        <v>20</v>
      </c>
      <c r="J60" s="3" t="s">
        <v>20</v>
      </c>
      <c r="K60" s="3">
        <v>2013</v>
      </c>
      <c r="L60" s="18" t="s">
        <v>296</v>
      </c>
      <c r="M60" s="18" t="s">
        <v>20</v>
      </c>
      <c r="N60" s="11" t="s">
        <v>293</v>
      </c>
      <c r="O60" s="3">
        <v>1</v>
      </c>
      <c r="P60" s="3" t="s">
        <v>146</v>
      </c>
      <c r="Q60" s="3" t="s">
        <v>150</v>
      </c>
      <c r="R60" s="3" t="s">
        <v>167</v>
      </c>
      <c r="S60" s="3" t="s">
        <v>158</v>
      </c>
      <c r="T60" s="3" t="s">
        <v>161</v>
      </c>
      <c r="U60" s="3" t="s">
        <v>168</v>
      </c>
      <c r="V60" s="3" t="s">
        <v>178</v>
      </c>
      <c r="W60" s="3" t="s">
        <v>187</v>
      </c>
      <c r="X60" s="3" t="s">
        <v>20</v>
      </c>
    </row>
    <row r="61" spans="1:26" x14ac:dyDescent="0.2">
      <c r="A61" s="6" t="s">
        <v>70</v>
      </c>
      <c r="B61" s="8">
        <v>64</v>
      </c>
      <c r="C61" s="18" t="s">
        <v>13</v>
      </c>
      <c r="D61" s="18" t="s">
        <v>273</v>
      </c>
      <c r="E61" s="18" t="s">
        <v>196</v>
      </c>
      <c r="F61" s="18" t="s">
        <v>15</v>
      </c>
      <c r="G61" s="18">
        <f>53.7-43.1</f>
        <v>10.600000000000001</v>
      </c>
      <c r="H61" s="18">
        <v>2024</v>
      </c>
      <c r="I61" s="18" t="s">
        <v>309</v>
      </c>
      <c r="J61" s="18" t="s">
        <v>20</v>
      </c>
      <c r="K61" s="18">
        <v>2006</v>
      </c>
      <c r="L61" s="18" t="s">
        <v>305</v>
      </c>
      <c r="M61" s="18" t="s">
        <v>20</v>
      </c>
      <c r="N61" s="18" t="s">
        <v>295</v>
      </c>
      <c r="O61" s="18">
        <v>3</v>
      </c>
      <c r="P61" s="18" t="s">
        <v>147</v>
      </c>
      <c r="Q61" s="18" t="s">
        <v>150</v>
      </c>
      <c r="R61" s="18" t="s">
        <v>205</v>
      </c>
      <c r="S61" s="18" t="s">
        <v>203</v>
      </c>
      <c r="T61" s="18" t="s">
        <v>168</v>
      </c>
      <c r="U61" s="18" t="s">
        <v>173</v>
      </c>
      <c r="V61" s="18" t="s">
        <v>179</v>
      </c>
      <c r="W61" s="18" t="s">
        <v>187</v>
      </c>
      <c r="X61" s="18" t="s">
        <v>192</v>
      </c>
    </row>
    <row r="62" spans="1:26" x14ac:dyDescent="0.2">
      <c r="A62" s="6" t="s">
        <v>73</v>
      </c>
      <c r="B62" s="8">
        <v>70</v>
      </c>
      <c r="C62" s="17" t="s">
        <v>13</v>
      </c>
      <c r="D62" s="17" t="s">
        <v>276</v>
      </c>
      <c r="E62" s="17" t="s">
        <v>196</v>
      </c>
      <c r="F62" s="17" t="s">
        <v>15</v>
      </c>
      <c r="G62" s="17">
        <f>55.5-44</f>
        <v>11.5</v>
      </c>
      <c r="H62" s="17">
        <v>2020</v>
      </c>
      <c r="I62" s="18" t="s">
        <v>314</v>
      </c>
      <c r="J62" s="17" t="s">
        <v>20</v>
      </c>
      <c r="K62" s="17">
        <v>2009</v>
      </c>
      <c r="L62" s="18" t="s">
        <v>298</v>
      </c>
      <c r="M62" s="18" t="s">
        <v>20</v>
      </c>
      <c r="N62" s="17" t="s">
        <v>293</v>
      </c>
      <c r="O62" s="17">
        <v>2</v>
      </c>
      <c r="P62" s="17" t="s">
        <v>151</v>
      </c>
      <c r="Q62" s="17" t="s">
        <v>150</v>
      </c>
      <c r="R62" s="17" t="s">
        <v>205</v>
      </c>
      <c r="S62" s="17" t="s">
        <v>158</v>
      </c>
      <c r="T62" s="17" t="s">
        <v>193</v>
      </c>
      <c r="U62" s="17" t="s">
        <v>172</v>
      </c>
      <c r="V62" s="17" t="s">
        <v>168</v>
      </c>
      <c r="W62" s="17" t="s">
        <v>187</v>
      </c>
      <c r="X62" s="17" t="s">
        <v>192</v>
      </c>
      <c r="Y62" s="4"/>
      <c r="Z62" s="4"/>
    </row>
    <row r="63" spans="1:26" x14ac:dyDescent="0.2">
      <c r="A63" s="12" t="s">
        <v>86</v>
      </c>
      <c r="B63" s="13">
        <v>47</v>
      </c>
      <c r="C63" s="14" t="s">
        <v>13</v>
      </c>
      <c r="D63" s="14" t="s">
        <v>276</v>
      </c>
      <c r="E63" s="14" t="s">
        <v>196</v>
      </c>
      <c r="F63" s="14" t="s">
        <v>15</v>
      </c>
      <c r="G63" s="14">
        <f>54-30.6-15.4</f>
        <v>7.9999999999999982</v>
      </c>
      <c r="H63" s="14">
        <v>2024</v>
      </c>
      <c r="I63" s="18" t="s">
        <v>309</v>
      </c>
      <c r="J63" s="14" t="s">
        <v>20</v>
      </c>
      <c r="K63" s="14">
        <v>2013</v>
      </c>
      <c r="L63" s="18" t="s">
        <v>305</v>
      </c>
      <c r="M63" s="18" t="s">
        <v>20</v>
      </c>
      <c r="N63" s="14" t="s">
        <v>293</v>
      </c>
      <c r="O63" s="14">
        <v>2</v>
      </c>
      <c r="P63" s="14" t="s">
        <v>151</v>
      </c>
      <c r="Q63" s="14" t="s">
        <v>150</v>
      </c>
      <c r="R63" s="14" t="s">
        <v>205</v>
      </c>
      <c r="S63" s="14" t="s">
        <v>158</v>
      </c>
      <c r="T63" s="14" t="s">
        <v>175</v>
      </c>
      <c r="U63" s="14" t="s">
        <v>185</v>
      </c>
      <c r="V63" s="14" t="s">
        <v>219</v>
      </c>
      <c r="W63" s="14" t="s">
        <v>164</v>
      </c>
      <c r="X63" s="14" t="s">
        <v>20</v>
      </c>
      <c r="Y63"/>
      <c r="Z63"/>
    </row>
    <row r="64" spans="1:26" x14ac:dyDescent="0.2">
      <c r="A64" s="6" t="s">
        <v>30</v>
      </c>
      <c r="B64" s="8">
        <v>51</v>
      </c>
      <c r="C64" s="3" t="s">
        <v>229</v>
      </c>
      <c r="D64" s="3" t="s">
        <v>240</v>
      </c>
      <c r="E64" s="3" t="s">
        <v>196</v>
      </c>
      <c r="F64" s="3" t="s">
        <v>15</v>
      </c>
      <c r="G64" s="3">
        <f>66.5-33.5</f>
        <v>33</v>
      </c>
      <c r="H64" s="3">
        <v>2024</v>
      </c>
      <c r="I64" s="18" t="s">
        <v>309</v>
      </c>
      <c r="J64" s="3" t="s">
        <v>20</v>
      </c>
      <c r="K64" s="3">
        <v>2009</v>
      </c>
      <c r="L64" s="18" t="s">
        <v>305</v>
      </c>
      <c r="M64" s="18" t="s">
        <v>20</v>
      </c>
      <c r="N64" s="11" t="s">
        <v>295</v>
      </c>
      <c r="O64" s="3">
        <v>2</v>
      </c>
      <c r="P64" s="3" t="s">
        <v>151</v>
      </c>
      <c r="Q64" s="3" t="s">
        <v>149</v>
      </c>
      <c r="R64" s="3" t="s">
        <v>205</v>
      </c>
      <c r="S64" s="3" t="s">
        <v>203</v>
      </c>
      <c r="T64" s="3" t="s">
        <v>175</v>
      </c>
      <c r="U64" s="3" t="s">
        <v>194</v>
      </c>
      <c r="V64" s="3" t="s">
        <v>206</v>
      </c>
      <c r="W64" s="3" t="s">
        <v>189</v>
      </c>
      <c r="X64" s="3" t="s">
        <v>20</v>
      </c>
      <c r="Y64"/>
      <c r="Z64"/>
    </row>
    <row r="65" spans="1:26" x14ac:dyDescent="0.2">
      <c r="A65" s="6" t="s">
        <v>21</v>
      </c>
      <c r="B65" s="8">
        <v>67</v>
      </c>
      <c r="C65" s="18" t="s">
        <v>19</v>
      </c>
      <c r="D65" s="18" t="s">
        <v>240</v>
      </c>
      <c r="E65" s="18" t="s">
        <v>196</v>
      </c>
      <c r="F65" s="18" t="s">
        <v>15</v>
      </c>
      <c r="G65" s="18">
        <f>70.6-27.2</f>
        <v>43.399999999999991</v>
      </c>
      <c r="H65" s="18">
        <v>2022</v>
      </c>
      <c r="I65" s="18" t="s">
        <v>309</v>
      </c>
      <c r="J65" s="18" t="s">
        <v>209</v>
      </c>
      <c r="K65" s="18">
        <v>1999</v>
      </c>
      <c r="L65" s="14" t="s">
        <v>305</v>
      </c>
      <c r="M65" s="14" t="s">
        <v>20</v>
      </c>
      <c r="N65" s="18" t="s">
        <v>294</v>
      </c>
      <c r="O65" s="18">
        <v>4</v>
      </c>
      <c r="P65" s="18" t="s">
        <v>151</v>
      </c>
      <c r="Q65" s="18" t="s">
        <v>150</v>
      </c>
      <c r="R65" s="18" t="s">
        <v>205</v>
      </c>
      <c r="S65" s="18" t="s">
        <v>158</v>
      </c>
      <c r="T65" s="18" t="s">
        <v>188</v>
      </c>
      <c r="U65" s="18" t="s">
        <v>219</v>
      </c>
      <c r="V65" s="18" t="s">
        <v>219</v>
      </c>
      <c r="W65" s="18" t="s">
        <v>164</v>
      </c>
      <c r="X65" s="18" t="s">
        <v>20</v>
      </c>
      <c r="Y65"/>
      <c r="Z65"/>
    </row>
    <row r="66" spans="1:26" x14ac:dyDescent="0.2">
      <c r="A66" s="6" t="s">
        <v>39</v>
      </c>
      <c r="B66" s="8">
        <v>62</v>
      </c>
      <c r="C66" s="18" t="s">
        <v>199</v>
      </c>
      <c r="D66" s="18" t="s">
        <v>282</v>
      </c>
      <c r="E66" s="18" t="s">
        <v>197</v>
      </c>
      <c r="F66" s="18" t="s">
        <v>7</v>
      </c>
      <c r="G66" s="18">
        <f>51.1-45.4</f>
        <v>5.7000000000000028</v>
      </c>
      <c r="H66" s="18">
        <v>2022</v>
      </c>
      <c r="I66" s="18" t="s">
        <v>309</v>
      </c>
      <c r="J66" s="18" t="s">
        <v>303</v>
      </c>
      <c r="K66" s="18">
        <v>2005</v>
      </c>
      <c r="L66" s="14" t="s">
        <v>305</v>
      </c>
      <c r="M66" s="14" t="s">
        <v>20</v>
      </c>
      <c r="N66" s="18" t="s">
        <v>293</v>
      </c>
      <c r="O66" s="18">
        <v>3</v>
      </c>
      <c r="P66" s="18" t="s">
        <v>151</v>
      </c>
      <c r="Q66" s="18" t="s">
        <v>150</v>
      </c>
      <c r="R66" s="18" t="s">
        <v>205</v>
      </c>
      <c r="S66" s="18" t="s">
        <v>158</v>
      </c>
      <c r="T66" s="18" t="s">
        <v>164</v>
      </c>
      <c r="U66" s="18" t="s">
        <v>173</v>
      </c>
      <c r="V66" s="18" t="s">
        <v>186</v>
      </c>
      <c r="W66" s="18" t="s">
        <v>189</v>
      </c>
      <c r="X66" s="18" t="s">
        <v>192</v>
      </c>
      <c r="Y66" s="18"/>
      <c r="Z66" s="18"/>
    </row>
    <row r="67" spans="1:26" x14ac:dyDescent="0.2">
      <c r="A67" s="6" t="s">
        <v>5</v>
      </c>
      <c r="B67" s="8">
        <v>58</v>
      </c>
      <c r="C67" s="18" t="s">
        <v>6</v>
      </c>
      <c r="D67" s="18" t="s">
        <v>282</v>
      </c>
      <c r="E67" s="18" t="s">
        <v>197</v>
      </c>
      <c r="F67" s="18" t="s">
        <v>7</v>
      </c>
      <c r="G67" s="18">
        <f>48.8-47.3</f>
        <v>1.5</v>
      </c>
      <c r="H67" s="18">
        <v>2020</v>
      </c>
      <c r="I67" s="18" t="s">
        <v>311</v>
      </c>
      <c r="J67" s="18" t="s">
        <v>20</v>
      </c>
      <c r="K67" s="18">
        <v>2015</v>
      </c>
      <c r="L67" s="18" t="s">
        <v>304</v>
      </c>
      <c r="M67" s="18" t="s">
        <v>20</v>
      </c>
      <c r="N67" s="18" t="s">
        <v>294</v>
      </c>
      <c r="O67" s="18">
        <v>1</v>
      </c>
      <c r="P67" s="18" t="s">
        <v>151</v>
      </c>
      <c r="Q67" s="18" t="s">
        <v>150</v>
      </c>
      <c r="R67" s="18" t="s">
        <v>217</v>
      </c>
      <c r="S67" s="18" t="s">
        <v>158</v>
      </c>
      <c r="T67" s="18" t="s">
        <v>161</v>
      </c>
      <c r="U67" s="18" t="s">
        <v>175</v>
      </c>
      <c r="V67" s="18" t="s">
        <v>194</v>
      </c>
      <c r="W67" s="18" t="s">
        <v>189</v>
      </c>
      <c r="X67" s="18" t="s">
        <v>20</v>
      </c>
      <c r="Y67" s="18"/>
      <c r="Z67" s="18"/>
    </row>
    <row r="68" spans="1:26" x14ac:dyDescent="0.2">
      <c r="A68" s="6" t="s">
        <v>87</v>
      </c>
      <c r="B68" s="8">
        <v>57</v>
      </c>
      <c r="C68" s="15" t="s">
        <v>199</v>
      </c>
      <c r="D68" s="15" t="s">
        <v>236</v>
      </c>
      <c r="E68" s="15" t="s">
        <v>198</v>
      </c>
      <c r="F68" s="15" t="s">
        <v>7</v>
      </c>
      <c r="G68" s="15">
        <v>10</v>
      </c>
      <c r="H68" s="15">
        <v>2024</v>
      </c>
      <c r="I68" s="18" t="s">
        <v>309</v>
      </c>
      <c r="J68" s="15" t="s">
        <v>20</v>
      </c>
      <c r="K68" s="15">
        <v>2019</v>
      </c>
      <c r="L68" s="18" t="s">
        <v>305</v>
      </c>
      <c r="M68" s="18" t="s">
        <v>20</v>
      </c>
      <c r="N68" s="15" t="s">
        <v>294</v>
      </c>
      <c r="O68" s="15">
        <v>1</v>
      </c>
      <c r="P68" s="15" t="s">
        <v>151</v>
      </c>
      <c r="Q68" s="15" t="s">
        <v>150</v>
      </c>
      <c r="R68" s="15" t="s">
        <v>205</v>
      </c>
      <c r="S68" s="15" t="s">
        <v>158</v>
      </c>
      <c r="T68" s="15" t="s">
        <v>219</v>
      </c>
      <c r="U68" s="15" t="s">
        <v>219</v>
      </c>
      <c r="V68" s="15" t="s">
        <v>219</v>
      </c>
      <c r="W68" s="15" t="s">
        <v>187</v>
      </c>
      <c r="X68" s="15" t="s">
        <v>20</v>
      </c>
      <c r="Y68" s="17"/>
      <c r="Z68" s="17"/>
    </row>
    <row r="69" spans="1:26" x14ac:dyDescent="0.2">
      <c r="A69" s="6" t="s">
        <v>133</v>
      </c>
      <c r="B69" s="8">
        <v>61</v>
      </c>
      <c r="C69" s="18" t="s">
        <v>6</v>
      </c>
      <c r="D69" s="18" t="s">
        <v>236</v>
      </c>
      <c r="E69" s="18" t="s">
        <v>198</v>
      </c>
      <c r="F69" s="18" t="s">
        <v>7</v>
      </c>
      <c r="G69" s="18">
        <f>78.5-17</f>
        <v>61.5</v>
      </c>
      <c r="H69" s="18">
        <v>2022</v>
      </c>
      <c r="I69" s="18" t="s">
        <v>309</v>
      </c>
      <c r="J69" s="18" t="s">
        <v>20</v>
      </c>
      <c r="K69" s="18">
        <v>2011</v>
      </c>
      <c r="L69" s="14" t="s">
        <v>305</v>
      </c>
      <c r="M69" s="14" t="s">
        <v>20</v>
      </c>
      <c r="N69" s="18" t="s">
        <v>293</v>
      </c>
      <c r="O69" s="18">
        <v>2</v>
      </c>
      <c r="P69" s="18" t="s">
        <v>151</v>
      </c>
      <c r="Q69" s="18" t="s">
        <v>150</v>
      </c>
      <c r="R69" s="18" t="s">
        <v>190</v>
      </c>
      <c r="S69" s="18" t="s">
        <v>158</v>
      </c>
      <c r="T69" s="18" t="s">
        <v>193</v>
      </c>
      <c r="U69" s="18" t="s">
        <v>172</v>
      </c>
      <c r="V69" s="18" t="s">
        <v>185</v>
      </c>
      <c r="W69" s="18" t="s">
        <v>187</v>
      </c>
      <c r="X69" s="18" t="s">
        <v>192</v>
      </c>
    </row>
    <row r="70" spans="1:26" x14ac:dyDescent="0.2">
      <c r="A70" s="6" t="s">
        <v>79</v>
      </c>
      <c r="B70" s="8">
        <v>66</v>
      </c>
      <c r="C70" s="15" t="s">
        <v>229</v>
      </c>
      <c r="D70" s="15" t="s">
        <v>264</v>
      </c>
      <c r="E70" s="15" t="s">
        <v>197</v>
      </c>
      <c r="F70" s="15" t="s">
        <v>15</v>
      </c>
      <c r="G70" s="15">
        <f>53.2-46.8</f>
        <v>6.4000000000000057</v>
      </c>
      <c r="H70" s="15">
        <v>2024</v>
      </c>
      <c r="I70" s="18" t="s">
        <v>309</v>
      </c>
      <c r="J70" s="15" t="s">
        <v>20</v>
      </c>
      <c r="K70" s="15">
        <v>2007</v>
      </c>
      <c r="L70" s="18" t="s">
        <v>305</v>
      </c>
      <c r="M70" s="18" t="s">
        <v>20</v>
      </c>
      <c r="N70" s="15" t="s">
        <v>294</v>
      </c>
      <c r="O70" s="15">
        <v>3</v>
      </c>
      <c r="P70" s="15" t="s">
        <v>151</v>
      </c>
      <c r="Q70" s="15" t="s">
        <v>150</v>
      </c>
      <c r="R70" s="15" t="s">
        <v>205</v>
      </c>
      <c r="S70" s="15" t="s">
        <v>158</v>
      </c>
      <c r="T70" s="15" t="s">
        <v>179</v>
      </c>
      <c r="U70" s="15" t="s">
        <v>173</v>
      </c>
      <c r="V70" s="15" t="s">
        <v>194</v>
      </c>
      <c r="W70" s="15" t="s">
        <v>187</v>
      </c>
      <c r="X70" s="15" t="s">
        <v>192</v>
      </c>
      <c r="Y70" s="18"/>
      <c r="Z70" s="18"/>
    </row>
    <row r="71" spans="1:26" x14ac:dyDescent="0.2">
      <c r="A71" s="6" t="s">
        <v>40</v>
      </c>
      <c r="B71" s="8">
        <v>62</v>
      </c>
      <c r="C71" s="3" t="s">
        <v>13</v>
      </c>
      <c r="D71" s="3" t="s">
        <v>264</v>
      </c>
      <c r="E71" s="3" t="s">
        <v>197</v>
      </c>
      <c r="F71" s="3" t="s">
        <v>7</v>
      </c>
      <c r="G71" s="3">
        <f>58-37.2</f>
        <v>20.799999999999997</v>
      </c>
      <c r="H71" s="3">
        <v>2022</v>
      </c>
      <c r="I71" s="18" t="s">
        <v>309</v>
      </c>
      <c r="J71" s="3" t="s">
        <v>20</v>
      </c>
      <c r="K71" s="3">
        <v>2011</v>
      </c>
      <c r="L71" s="14" t="s">
        <v>305</v>
      </c>
      <c r="M71" s="14" t="s">
        <v>20</v>
      </c>
      <c r="N71" s="11" t="s">
        <v>293</v>
      </c>
      <c r="O71" s="3">
        <v>2</v>
      </c>
      <c r="P71" s="3" t="s">
        <v>151</v>
      </c>
      <c r="Q71" s="3" t="s">
        <v>150</v>
      </c>
      <c r="R71" s="3" t="s">
        <v>205</v>
      </c>
      <c r="S71" s="3" t="s">
        <v>158</v>
      </c>
      <c r="T71" s="3" t="s">
        <v>173</v>
      </c>
      <c r="U71" s="3" t="s">
        <v>168</v>
      </c>
      <c r="V71" s="3" t="s">
        <v>166</v>
      </c>
      <c r="W71" s="3" t="s">
        <v>187</v>
      </c>
      <c r="X71" s="3" t="s">
        <v>20</v>
      </c>
    </row>
    <row r="72" spans="1:26" x14ac:dyDescent="0.2">
      <c r="A72" s="6" t="s">
        <v>113</v>
      </c>
      <c r="B72" s="8">
        <v>83</v>
      </c>
      <c r="C72" s="18" t="s">
        <v>199</v>
      </c>
      <c r="D72" s="18" t="s">
        <v>241</v>
      </c>
      <c r="E72" s="18" t="s">
        <v>198</v>
      </c>
      <c r="F72" s="18" t="s">
        <v>7</v>
      </c>
      <c r="G72" s="18">
        <f>68-28.5</f>
        <v>39.5</v>
      </c>
      <c r="H72" s="18">
        <v>2020</v>
      </c>
      <c r="I72" s="18" t="s">
        <v>20</v>
      </c>
      <c r="J72" s="18" t="s">
        <v>20</v>
      </c>
      <c r="K72" s="18">
        <v>1994</v>
      </c>
      <c r="L72" s="18" t="s">
        <v>304</v>
      </c>
      <c r="M72" s="18" t="s">
        <v>20</v>
      </c>
      <c r="N72" s="18" t="s">
        <v>293</v>
      </c>
      <c r="O72" s="18">
        <v>4</v>
      </c>
      <c r="P72" s="18" t="s">
        <v>151</v>
      </c>
      <c r="Q72" s="18" t="s">
        <v>150</v>
      </c>
      <c r="R72" s="18" t="s">
        <v>205</v>
      </c>
      <c r="S72" s="18" t="s">
        <v>158</v>
      </c>
      <c r="T72" s="18" t="s">
        <v>175</v>
      </c>
      <c r="U72" s="18" t="s">
        <v>178</v>
      </c>
      <c r="V72" s="18" t="s">
        <v>206</v>
      </c>
      <c r="W72" s="18" t="s">
        <v>187</v>
      </c>
      <c r="X72" s="18" t="s">
        <v>192</v>
      </c>
      <c r="Y72" s="18"/>
      <c r="Z72" s="18"/>
    </row>
    <row r="73" spans="1:26" x14ac:dyDescent="0.2">
      <c r="A73" s="12" t="s">
        <v>134</v>
      </c>
      <c r="B73" s="13">
        <v>50</v>
      </c>
      <c r="C73" s="14" t="s">
        <v>6</v>
      </c>
      <c r="D73" s="14" t="s">
        <v>241</v>
      </c>
      <c r="E73" s="14" t="s">
        <v>198</v>
      </c>
      <c r="F73" s="14" t="s">
        <v>7</v>
      </c>
      <c r="G73" s="14">
        <f>67.7-24.6</f>
        <v>43.1</v>
      </c>
      <c r="H73" s="14">
        <v>2022</v>
      </c>
      <c r="I73" s="18" t="s">
        <v>309</v>
      </c>
      <c r="J73" s="14" t="s">
        <v>20</v>
      </c>
      <c r="K73" s="14">
        <v>2015</v>
      </c>
      <c r="L73" s="14" t="s">
        <v>305</v>
      </c>
      <c r="M73" s="14" t="s">
        <v>20</v>
      </c>
      <c r="N73" s="14" t="s">
        <v>293</v>
      </c>
      <c r="O73" s="14">
        <v>1</v>
      </c>
      <c r="P73" s="14" t="s">
        <v>151</v>
      </c>
      <c r="Q73" s="14" t="s">
        <v>150</v>
      </c>
      <c r="R73" s="14" t="s">
        <v>205</v>
      </c>
      <c r="S73" s="14" t="s">
        <v>158</v>
      </c>
      <c r="T73" s="14" t="s">
        <v>172</v>
      </c>
      <c r="U73" s="14" t="s">
        <v>166</v>
      </c>
      <c r="V73" s="14" t="s">
        <v>193</v>
      </c>
      <c r="W73" s="14" t="s">
        <v>164</v>
      </c>
      <c r="X73" s="14" t="s">
        <v>20</v>
      </c>
      <c r="Y73" s="18"/>
      <c r="Z73" s="18"/>
    </row>
    <row r="74" spans="1:26" x14ac:dyDescent="0.2">
      <c r="A74" s="6" t="s">
        <v>71</v>
      </c>
      <c r="B74" s="8">
        <v>62</v>
      </c>
      <c r="C74" s="17" t="s">
        <v>229</v>
      </c>
      <c r="D74" s="17" t="s">
        <v>262</v>
      </c>
      <c r="E74" s="17" t="s">
        <v>196</v>
      </c>
      <c r="F74" s="17" t="s">
        <v>15</v>
      </c>
      <c r="G74" s="17">
        <f>55.7-36.9</f>
        <v>18.800000000000004</v>
      </c>
      <c r="H74" s="17">
        <v>2020</v>
      </c>
      <c r="I74" s="18" t="s">
        <v>20</v>
      </c>
      <c r="J74" s="17" t="s">
        <v>20</v>
      </c>
      <c r="K74" s="17">
        <v>2009</v>
      </c>
      <c r="L74" s="18" t="s">
        <v>304</v>
      </c>
      <c r="M74" s="18" t="s">
        <v>20</v>
      </c>
      <c r="N74" s="17" t="s">
        <v>294</v>
      </c>
      <c r="O74" s="17">
        <v>2</v>
      </c>
      <c r="P74" s="17" t="s">
        <v>151</v>
      </c>
      <c r="Q74" s="17" t="s">
        <v>150</v>
      </c>
      <c r="R74" s="17" t="s">
        <v>217</v>
      </c>
      <c r="S74" s="17" t="s">
        <v>158</v>
      </c>
      <c r="T74" s="17" t="s">
        <v>172</v>
      </c>
      <c r="U74" s="17" t="s">
        <v>170</v>
      </c>
      <c r="V74" s="17" t="s">
        <v>168</v>
      </c>
      <c r="W74" s="17" t="s">
        <v>187</v>
      </c>
      <c r="X74" s="17" t="s">
        <v>20</v>
      </c>
      <c r="Y74" s="18"/>
      <c r="Z74" s="18"/>
    </row>
    <row r="75" spans="1:26" x14ac:dyDescent="0.2">
      <c r="A75" s="12" t="s">
        <v>135</v>
      </c>
      <c r="B75" s="13">
        <v>69</v>
      </c>
      <c r="C75" s="14" t="s">
        <v>230</v>
      </c>
      <c r="D75" s="14" t="s">
        <v>262</v>
      </c>
      <c r="E75" s="14" t="s">
        <v>196</v>
      </c>
      <c r="F75" s="14" t="s">
        <v>15</v>
      </c>
      <c r="G75" s="14">
        <f>56-34</f>
        <v>22</v>
      </c>
      <c r="H75" s="14">
        <v>2022</v>
      </c>
      <c r="I75" s="18" t="s">
        <v>309</v>
      </c>
      <c r="J75" s="14" t="s">
        <v>20</v>
      </c>
      <c r="K75" s="14">
        <v>1996</v>
      </c>
      <c r="L75" s="14" t="s">
        <v>305</v>
      </c>
      <c r="M75" s="14" t="s">
        <v>20</v>
      </c>
      <c r="N75" s="14" t="s">
        <v>293</v>
      </c>
      <c r="O75" s="14">
        <v>4</v>
      </c>
      <c r="P75" s="14" t="s">
        <v>151</v>
      </c>
      <c r="Q75" s="14" t="s">
        <v>150</v>
      </c>
      <c r="R75" s="14" t="s">
        <v>205</v>
      </c>
      <c r="S75" s="14" t="s">
        <v>158</v>
      </c>
      <c r="T75" s="14" t="s">
        <v>173</v>
      </c>
      <c r="U75" s="14" t="s">
        <v>170</v>
      </c>
      <c r="V75" s="14" t="s">
        <v>219</v>
      </c>
      <c r="W75" s="14" t="s">
        <v>164</v>
      </c>
      <c r="X75" s="14" t="s">
        <v>192</v>
      </c>
      <c r="Y75" s="18"/>
      <c r="Z75" s="18"/>
    </row>
    <row r="76" spans="1:26" x14ac:dyDescent="0.2">
      <c r="A76" s="6" t="s">
        <v>80</v>
      </c>
      <c r="B76" s="8">
        <v>56</v>
      </c>
      <c r="C76" s="18" t="s">
        <v>199</v>
      </c>
      <c r="D76" s="18" t="s">
        <v>275</v>
      </c>
      <c r="E76" s="18" t="s">
        <v>197</v>
      </c>
      <c r="F76" s="18" t="s">
        <v>7</v>
      </c>
      <c r="G76" s="18">
        <f>48.6-47.3</f>
        <v>1.3000000000000043</v>
      </c>
      <c r="H76" s="18">
        <v>2022</v>
      </c>
      <c r="I76" s="18" t="s">
        <v>309</v>
      </c>
      <c r="J76" s="18" t="s">
        <v>20</v>
      </c>
      <c r="K76" s="18">
        <v>2011</v>
      </c>
      <c r="L76" s="14" t="s">
        <v>305</v>
      </c>
      <c r="M76" s="14" t="s">
        <v>317</v>
      </c>
      <c r="N76" s="18" t="s">
        <v>318</v>
      </c>
      <c r="O76" s="18">
        <v>1</v>
      </c>
      <c r="P76" s="18" t="s">
        <v>151</v>
      </c>
      <c r="Q76" s="18" t="s">
        <v>150</v>
      </c>
      <c r="R76" s="18" t="s">
        <v>205</v>
      </c>
      <c r="S76" s="18" t="s">
        <v>158</v>
      </c>
      <c r="T76" s="18" t="s">
        <v>173</v>
      </c>
      <c r="U76" s="18" t="s">
        <v>170</v>
      </c>
      <c r="V76" s="18" t="s">
        <v>179</v>
      </c>
      <c r="W76" s="18" t="s">
        <v>187</v>
      </c>
      <c r="X76" s="18" t="s">
        <v>20</v>
      </c>
      <c r="Y76" s="18"/>
      <c r="Z76" s="18"/>
    </row>
    <row r="77" spans="1:26" x14ac:dyDescent="0.2">
      <c r="A77" s="6" t="s">
        <v>77</v>
      </c>
      <c r="B77" s="8">
        <v>58</v>
      </c>
      <c r="C77" s="15" t="s">
        <v>13</v>
      </c>
      <c r="D77" s="15" t="s">
        <v>275</v>
      </c>
      <c r="E77" s="15" t="s">
        <v>197</v>
      </c>
      <c r="F77" s="15" t="s">
        <v>15</v>
      </c>
      <c r="G77" s="15">
        <f>55.6-42.7</f>
        <v>12.899999999999999</v>
      </c>
      <c r="H77" s="15">
        <v>2024</v>
      </c>
      <c r="I77" s="18" t="s">
        <v>309</v>
      </c>
      <c r="J77" s="15" t="s">
        <v>20</v>
      </c>
      <c r="K77" s="15">
        <v>2007</v>
      </c>
      <c r="L77" s="18" t="s">
        <v>305</v>
      </c>
      <c r="M77" s="18" t="s">
        <v>20</v>
      </c>
      <c r="N77" s="15" t="s">
        <v>294</v>
      </c>
      <c r="O77" s="15">
        <v>3</v>
      </c>
      <c r="P77" s="15" t="s">
        <v>151</v>
      </c>
      <c r="Q77" s="15" t="s">
        <v>150</v>
      </c>
      <c r="R77" s="15" t="s">
        <v>218</v>
      </c>
      <c r="S77" s="15" t="s">
        <v>158</v>
      </c>
      <c r="T77" s="15" t="s">
        <v>189</v>
      </c>
      <c r="U77" s="15" t="s">
        <v>173</v>
      </c>
      <c r="V77" s="15" t="s">
        <v>186</v>
      </c>
      <c r="W77" s="15" t="s">
        <v>187</v>
      </c>
      <c r="X77" s="15" t="s">
        <v>192</v>
      </c>
      <c r="Y77" s="17"/>
      <c r="Z77" s="17"/>
    </row>
    <row r="78" spans="1:26" x14ac:dyDescent="0.2">
      <c r="A78" s="6" t="s">
        <v>112</v>
      </c>
      <c r="B78" s="8">
        <v>68</v>
      </c>
      <c r="C78" s="17" t="s">
        <v>230</v>
      </c>
      <c r="D78" s="17" t="s">
        <v>242</v>
      </c>
      <c r="E78" s="17" t="s">
        <v>196</v>
      </c>
      <c r="F78" s="17" t="s">
        <v>15</v>
      </c>
      <c r="G78" s="17">
        <f>70.6-29.2</f>
        <v>41.399999999999991</v>
      </c>
      <c r="H78" s="17">
        <v>2020</v>
      </c>
      <c r="I78" s="18" t="s">
        <v>20</v>
      </c>
      <c r="J78" s="17" t="s">
        <v>20</v>
      </c>
      <c r="K78" s="17">
        <v>1997</v>
      </c>
      <c r="L78" s="18" t="s">
        <v>304</v>
      </c>
      <c r="M78" s="18" t="s">
        <v>20</v>
      </c>
      <c r="N78" s="17" t="s">
        <v>293</v>
      </c>
      <c r="O78" s="17">
        <v>4</v>
      </c>
      <c r="P78" s="17" t="s">
        <v>151</v>
      </c>
      <c r="Q78" s="17" t="s">
        <v>150</v>
      </c>
      <c r="R78" s="17" t="s">
        <v>205</v>
      </c>
      <c r="S78" s="17" t="s">
        <v>158</v>
      </c>
      <c r="T78" s="17" t="s">
        <v>175</v>
      </c>
      <c r="U78" s="17" t="s">
        <v>172</v>
      </c>
      <c r="V78" s="17" t="s">
        <v>179</v>
      </c>
      <c r="W78" s="17" t="s">
        <v>187</v>
      </c>
      <c r="X78" s="17" t="s">
        <v>192</v>
      </c>
    </row>
    <row r="79" spans="1:26" x14ac:dyDescent="0.2">
      <c r="A79" s="12" t="s">
        <v>89</v>
      </c>
      <c r="B79" s="13">
        <v>63</v>
      </c>
      <c r="C79" s="14" t="s">
        <v>13</v>
      </c>
      <c r="D79" s="14" t="s">
        <v>242</v>
      </c>
      <c r="E79" s="14" t="s">
        <v>196</v>
      </c>
      <c r="F79" s="14" t="s">
        <v>15</v>
      </c>
      <c r="G79" s="14">
        <f>61.5-38.5</f>
        <v>23</v>
      </c>
      <c r="H79" s="14">
        <v>2024</v>
      </c>
      <c r="I79" s="18" t="s">
        <v>309</v>
      </c>
      <c r="J79" s="14" t="s">
        <v>20</v>
      </c>
      <c r="K79" s="14">
        <v>2007</v>
      </c>
      <c r="L79" s="18" t="s">
        <v>305</v>
      </c>
      <c r="M79" s="18" t="s">
        <v>20</v>
      </c>
      <c r="N79" s="14" t="s">
        <v>294</v>
      </c>
      <c r="O79" s="14">
        <v>3</v>
      </c>
      <c r="P79" s="14" t="s">
        <v>151</v>
      </c>
      <c r="Q79" s="14" t="s">
        <v>150</v>
      </c>
      <c r="R79" s="14" t="s">
        <v>154</v>
      </c>
      <c r="S79" s="14" t="s">
        <v>158</v>
      </c>
      <c r="T79" s="14" t="s">
        <v>161</v>
      </c>
      <c r="U79" s="14" t="s">
        <v>173</v>
      </c>
      <c r="V79" s="14" t="s">
        <v>170</v>
      </c>
      <c r="W79" s="14" t="s">
        <v>187</v>
      </c>
      <c r="X79" s="14" t="s">
        <v>20</v>
      </c>
      <c r="Y79" s="18"/>
      <c r="Z79" s="18"/>
    </row>
    <row r="80" spans="1:26" x14ac:dyDescent="0.2">
      <c r="A80" s="6" t="s">
        <v>98</v>
      </c>
      <c r="B80" s="8">
        <v>63</v>
      </c>
      <c r="C80" s="15" t="s">
        <v>199</v>
      </c>
      <c r="D80" s="15" t="s">
        <v>258</v>
      </c>
      <c r="E80" s="15" t="s">
        <v>198</v>
      </c>
      <c r="F80" s="15" t="s">
        <v>7</v>
      </c>
      <c r="G80" s="15">
        <f>55.3-38.8</f>
        <v>16.5</v>
      </c>
      <c r="H80" s="15">
        <v>2020</v>
      </c>
      <c r="I80" s="18" t="s">
        <v>20</v>
      </c>
      <c r="J80" s="15" t="s">
        <v>20</v>
      </c>
      <c r="K80" s="15">
        <v>2003</v>
      </c>
      <c r="L80" s="18" t="s">
        <v>304</v>
      </c>
      <c r="M80" s="18" t="s">
        <v>20</v>
      </c>
      <c r="N80" s="15" t="s">
        <v>293</v>
      </c>
      <c r="O80" s="15">
        <v>3</v>
      </c>
      <c r="P80" s="15" t="s">
        <v>151</v>
      </c>
      <c r="Q80" s="15" t="s">
        <v>150</v>
      </c>
      <c r="R80" s="15" t="s">
        <v>205</v>
      </c>
      <c r="S80" s="15" t="s">
        <v>158</v>
      </c>
      <c r="T80" s="15" t="s">
        <v>161</v>
      </c>
      <c r="U80" s="15" t="s">
        <v>172</v>
      </c>
      <c r="V80" s="15" t="s">
        <v>207</v>
      </c>
      <c r="W80" s="15" t="s">
        <v>187</v>
      </c>
      <c r="X80" s="15" t="s">
        <v>192</v>
      </c>
      <c r="Y80" s="18"/>
      <c r="Z80" s="18"/>
    </row>
    <row r="81" spans="1:26" x14ac:dyDescent="0.2">
      <c r="A81" s="6" t="s">
        <v>136</v>
      </c>
      <c r="B81" s="8">
        <v>53</v>
      </c>
      <c r="C81" s="18" t="s">
        <v>13</v>
      </c>
      <c r="D81" s="18" t="s">
        <v>258</v>
      </c>
      <c r="E81" s="18" t="s">
        <v>198</v>
      </c>
      <c r="F81" s="18" t="s">
        <v>7</v>
      </c>
      <c r="G81" s="18">
        <f>60.6-36.9</f>
        <v>23.700000000000003</v>
      </c>
      <c r="H81" s="18">
        <v>2022</v>
      </c>
      <c r="I81" s="18" t="s">
        <v>309</v>
      </c>
      <c r="J81" s="18" t="s">
        <v>20</v>
      </c>
      <c r="K81" s="18">
        <v>2013</v>
      </c>
      <c r="L81" s="14" t="s">
        <v>305</v>
      </c>
      <c r="M81" s="14" t="s">
        <v>20</v>
      </c>
      <c r="N81" s="18" t="s">
        <v>295</v>
      </c>
      <c r="O81" s="18">
        <v>1</v>
      </c>
      <c r="P81" s="18" t="s">
        <v>146</v>
      </c>
      <c r="Q81" s="18" t="s">
        <v>150</v>
      </c>
      <c r="R81" s="18" t="s">
        <v>205</v>
      </c>
      <c r="S81" s="18" t="s">
        <v>203</v>
      </c>
      <c r="T81" s="18" t="s">
        <v>173</v>
      </c>
      <c r="U81" s="18" t="s">
        <v>175</v>
      </c>
      <c r="V81" s="18" t="s">
        <v>179</v>
      </c>
      <c r="W81" s="18" t="s">
        <v>187</v>
      </c>
      <c r="X81" s="18" t="s">
        <v>20</v>
      </c>
    </row>
    <row r="82" spans="1:26" x14ac:dyDescent="0.2">
      <c r="A82" s="6" t="s">
        <v>62</v>
      </c>
      <c r="B82" s="8">
        <v>57</v>
      </c>
      <c r="C82" s="17" t="s">
        <v>19</v>
      </c>
      <c r="D82" s="17" t="s">
        <v>239</v>
      </c>
      <c r="E82" s="17" t="s">
        <v>198</v>
      </c>
      <c r="F82" s="17" t="s">
        <v>7</v>
      </c>
      <c r="G82" s="17">
        <f>71.8-28.2</f>
        <v>43.599999999999994</v>
      </c>
      <c r="H82" s="17">
        <v>2022</v>
      </c>
      <c r="I82" s="18" t="s">
        <v>309</v>
      </c>
      <c r="J82" s="17" t="s">
        <v>211</v>
      </c>
      <c r="K82" s="17">
        <v>2005</v>
      </c>
      <c r="L82" s="14" t="s">
        <v>305</v>
      </c>
      <c r="M82" s="14" t="s">
        <v>20</v>
      </c>
      <c r="N82" s="17" t="s">
        <v>294</v>
      </c>
      <c r="O82" s="17">
        <v>3</v>
      </c>
      <c r="P82" s="17" t="s">
        <v>151</v>
      </c>
      <c r="Q82" s="17" t="s">
        <v>150</v>
      </c>
      <c r="R82" s="17" t="s">
        <v>205</v>
      </c>
      <c r="S82" s="17" t="s">
        <v>158</v>
      </c>
      <c r="T82" s="17" t="s">
        <v>178</v>
      </c>
      <c r="U82" s="17" t="s">
        <v>173</v>
      </c>
      <c r="V82" s="17" t="s">
        <v>194</v>
      </c>
      <c r="W82" s="17" t="s">
        <v>187</v>
      </c>
      <c r="X82" s="17" t="s">
        <v>192</v>
      </c>
      <c r="Y82" s="18"/>
      <c r="Z82" s="18"/>
    </row>
    <row r="83" spans="1:26" x14ac:dyDescent="0.2">
      <c r="A83" s="12" t="s">
        <v>116</v>
      </c>
      <c r="B83" s="13">
        <v>64</v>
      </c>
      <c r="C83" s="14" t="s">
        <v>6</v>
      </c>
      <c r="D83" s="14" t="s">
        <v>239</v>
      </c>
      <c r="E83" s="14" t="s">
        <v>198</v>
      </c>
      <c r="F83" s="14" t="s">
        <v>7</v>
      </c>
      <c r="G83" s="14">
        <f>50.4-29.5-17.1</f>
        <v>3.7999999999999972</v>
      </c>
      <c r="H83" s="14">
        <v>2020</v>
      </c>
      <c r="I83" s="14" t="s">
        <v>20</v>
      </c>
      <c r="J83" s="14" t="s">
        <v>20</v>
      </c>
      <c r="K83" s="14">
        <v>2015</v>
      </c>
      <c r="L83" s="18" t="s">
        <v>304</v>
      </c>
      <c r="M83" s="18" t="s">
        <v>20</v>
      </c>
      <c r="N83" s="14" t="s">
        <v>293</v>
      </c>
      <c r="O83" s="14">
        <v>1</v>
      </c>
      <c r="P83" s="14" t="s">
        <v>151</v>
      </c>
      <c r="Q83" s="14" t="s">
        <v>150</v>
      </c>
      <c r="R83" s="14" t="s">
        <v>190</v>
      </c>
      <c r="S83" s="14" t="s">
        <v>158</v>
      </c>
      <c r="T83" s="14" t="s">
        <v>175</v>
      </c>
      <c r="U83" s="14" t="s">
        <v>179</v>
      </c>
      <c r="V83" s="14" t="s">
        <v>206</v>
      </c>
      <c r="W83" s="14" t="s">
        <v>187</v>
      </c>
      <c r="X83" s="14" t="s">
        <v>20</v>
      </c>
    </row>
    <row r="84" spans="1:26" x14ac:dyDescent="0.2">
      <c r="A84" s="6" t="s">
        <v>46</v>
      </c>
      <c r="B84" s="8">
        <v>66</v>
      </c>
      <c r="C84" s="18" t="s">
        <v>199</v>
      </c>
      <c r="D84" s="18" t="s">
        <v>249</v>
      </c>
      <c r="E84" s="18" t="s">
        <v>198</v>
      </c>
      <c r="F84" s="18" t="s">
        <v>7</v>
      </c>
      <c r="G84" s="18">
        <f>54.7-43.9</f>
        <v>10.800000000000004</v>
      </c>
      <c r="H84" s="18">
        <v>2024</v>
      </c>
      <c r="I84" s="18" t="s">
        <v>309</v>
      </c>
      <c r="J84" s="18" t="s">
        <v>20</v>
      </c>
      <c r="K84" s="18">
        <v>2019</v>
      </c>
      <c r="L84" s="18" t="s">
        <v>305</v>
      </c>
      <c r="M84" s="18" t="s">
        <v>20</v>
      </c>
      <c r="N84" s="18" t="s">
        <v>293</v>
      </c>
      <c r="O84" s="18">
        <v>1</v>
      </c>
      <c r="P84" s="18" t="s">
        <v>151</v>
      </c>
      <c r="Q84" s="18" t="s">
        <v>149</v>
      </c>
      <c r="R84" s="18" t="s">
        <v>205</v>
      </c>
      <c r="S84" s="18" t="s">
        <v>158</v>
      </c>
      <c r="T84" s="18" t="s">
        <v>219</v>
      </c>
      <c r="U84" s="18" t="s">
        <v>219</v>
      </c>
      <c r="V84" s="18" t="s">
        <v>219</v>
      </c>
      <c r="W84" s="18" t="s">
        <v>187</v>
      </c>
      <c r="X84" s="18" t="s">
        <v>20</v>
      </c>
    </row>
    <row r="85" spans="1:26" x14ac:dyDescent="0.2">
      <c r="A85" s="12" t="s">
        <v>143</v>
      </c>
      <c r="B85" s="13">
        <v>78</v>
      </c>
      <c r="C85" s="14" t="s">
        <v>6</v>
      </c>
      <c r="D85" s="14" t="s">
        <v>249</v>
      </c>
      <c r="E85" s="14" t="s">
        <v>198</v>
      </c>
      <c r="F85" s="14" t="s">
        <v>7</v>
      </c>
      <c r="G85" s="14">
        <f>61.9-31.8</f>
        <v>30.099999999999998</v>
      </c>
      <c r="H85" s="14">
        <v>2020</v>
      </c>
      <c r="I85" s="14" t="s">
        <v>308</v>
      </c>
      <c r="J85" s="14" t="s">
        <v>20</v>
      </c>
      <c r="K85" s="14">
        <v>2003</v>
      </c>
      <c r="L85" s="14" t="s">
        <v>298</v>
      </c>
      <c r="M85" s="14" t="s">
        <v>316</v>
      </c>
      <c r="N85" s="14" t="s">
        <v>293</v>
      </c>
      <c r="O85" s="14">
        <v>3</v>
      </c>
      <c r="P85" s="14" t="s">
        <v>151</v>
      </c>
      <c r="Q85" s="14" t="s">
        <v>150</v>
      </c>
      <c r="R85" s="14" t="s">
        <v>235</v>
      </c>
      <c r="S85" s="14" t="s">
        <v>158</v>
      </c>
      <c r="T85" s="14" t="s">
        <v>186</v>
      </c>
      <c r="U85" s="14" t="s">
        <v>172</v>
      </c>
      <c r="V85" s="14" t="s">
        <v>185</v>
      </c>
      <c r="W85" s="14" t="s">
        <v>187</v>
      </c>
      <c r="X85" s="14" t="s">
        <v>192</v>
      </c>
      <c r="Y85" s="18"/>
      <c r="Z85" s="18"/>
    </row>
    <row r="86" spans="1:26" x14ac:dyDescent="0.2">
      <c r="A86" s="6" t="s">
        <v>76</v>
      </c>
      <c r="B86" s="8">
        <v>47</v>
      </c>
      <c r="C86" s="3" t="s">
        <v>199</v>
      </c>
      <c r="D86" s="3" t="s">
        <v>253</v>
      </c>
      <c r="E86" s="3" t="s">
        <v>198</v>
      </c>
      <c r="F86" s="3" t="s">
        <v>7</v>
      </c>
      <c r="G86" s="3">
        <f>50.9-48.3</f>
        <v>2.6000000000000014</v>
      </c>
      <c r="H86" s="3">
        <v>2024</v>
      </c>
      <c r="I86" s="18" t="s">
        <v>309</v>
      </c>
      <c r="J86" s="3" t="s">
        <v>20</v>
      </c>
      <c r="K86" s="3">
        <v>2013</v>
      </c>
      <c r="L86" s="18" t="s">
        <v>305</v>
      </c>
      <c r="M86" s="18" t="s">
        <v>20</v>
      </c>
      <c r="N86" s="11" t="s">
        <v>293</v>
      </c>
      <c r="O86" s="3">
        <v>2</v>
      </c>
      <c r="P86" s="3" t="s">
        <v>147</v>
      </c>
      <c r="Q86" s="3" t="s">
        <v>150</v>
      </c>
      <c r="R86" s="3" t="s">
        <v>155</v>
      </c>
      <c r="S86" s="3" t="s">
        <v>158</v>
      </c>
      <c r="T86" s="3" t="s">
        <v>161</v>
      </c>
      <c r="U86" s="3" t="s">
        <v>175</v>
      </c>
      <c r="V86" s="3" t="s">
        <v>178</v>
      </c>
      <c r="W86" s="3" t="s">
        <v>189</v>
      </c>
      <c r="X86" s="3" t="s">
        <v>20</v>
      </c>
    </row>
    <row r="87" spans="1:26" x14ac:dyDescent="0.2">
      <c r="A87" s="6" t="s">
        <v>35</v>
      </c>
      <c r="B87" s="8">
        <v>66</v>
      </c>
      <c r="C87" s="18" t="s">
        <v>19</v>
      </c>
      <c r="D87" s="18" t="s">
        <v>253</v>
      </c>
      <c r="E87" s="18" t="s">
        <v>198</v>
      </c>
      <c r="F87" s="18" t="s">
        <v>7</v>
      </c>
      <c r="G87" s="18">
        <f>61.6-34.4</f>
        <v>27.200000000000003</v>
      </c>
      <c r="H87" s="18">
        <v>2020</v>
      </c>
      <c r="I87" s="18" t="s">
        <v>20</v>
      </c>
      <c r="J87" s="18" t="s">
        <v>20</v>
      </c>
      <c r="K87" s="18">
        <v>2002</v>
      </c>
      <c r="L87" s="18" t="s">
        <v>304</v>
      </c>
      <c r="M87" s="18" t="s">
        <v>20</v>
      </c>
      <c r="N87" s="18" t="s">
        <v>293</v>
      </c>
      <c r="O87" s="18">
        <v>3</v>
      </c>
      <c r="P87" s="18" t="s">
        <v>151</v>
      </c>
      <c r="Q87" s="18" t="s">
        <v>150</v>
      </c>
      <c r="R87" s="18" t="s">
        <v>154</v>
      </c>
      <c r="S87" s="18" t="s">
        <v>158</v>
      </c>
      <c r="T87" s="18" t="s">
        <v>161</v>
      </c>
      <c r="U87" s="18" t="s">
        <v>173</v>
      </c>
      <c r="V87" s="18" t="s">
        <v>219</v>
      </c>
      <c r="W87" s="18" t="s">
        <v>164</v>
      </c>
      <c r="X87" s="18" t="s">
        <v>20</v>
      </c>
      <c r="Y87" s="18"/>
      <c r="Z87" s="18"/>
    </row>
    <row r="88" spans="1:26" x14ac:dyDescent="0.2">
      <c r="A88" s="12" t="s">
        <v>139</v>
      </c>
      <c r="B88" s="13">
        <v>47</v>
      </c>
      <c r="C88" s="14" t="s">
        <v>61</v>
      </c>
      <c r="D88" s="14" t="s">
        <v>243</v>
      </c>
      <c r="E88" s="14" t="s">
        <v>198</v>
      </c>
      <c r="F88" s="14" t="s">
        <v>7</v>
      </c>
      <c r="G88" s="14">
        <f>68.2-27.1</f>
        <v>41.1</v>
      </c>
      <c r="H88" s="14">
        <v>2022</v>
      </c>
      <c r="I88" s="18" t="s">
        <v>309</v>
      </c>
      <c r="J88" s="14" t="s">
        <v>20</v>
      </c>
      <c r="K88" s="14">
        <v>2011</v>
      </c>
      <c r="L88" s="14" t="s">
        <v>305</v>
      </c>
      <c r="M88" s="14" t="s">
        <v>20</v>
      </c>
      <c r="N88" s="14" t="s">
        <v>319</v>
      </c>
      <c r="O88" s="14">
        <v>2</v>
      </c>
      <c r="P88" s="14" t="s">
        <v>151</v>
      </c>
      <c r="Q88" s="14" t="s">
        <v>150</v>
      </c>
      <c r="R88" s="14" t="s">
        <v>234</v>
      </c>
      <c r="S88" s="14" t="s">
        <v>158</v>
      </c>
      <c r="T88" s="14" t="s">
        <v>161</v>
      </c>
      <c r="U88" s="14" t="s">
        <v>178</v>
      </c>
      <c r="V88" s="14" t="s">
        <v>185</v>
      </c>
      <c r="W88" s="14" t="s">
        <v>187</v>
      </c>
      <c r="X88" s="14" t="s">
        <v>20</v>
      </c>
      <c r="Y88" s="18"/>
      <c r="Z88" s="18"/>
    </row>
    <row r="89" spans="1:26" x14ac:dyDescent="0.2">
      <c r="A89" s="6" t="s">
        <v>27</v>
      </c>
      <c r="B89" s="8">
        <v>71</v>
      </c>
      <c r="C89" s="18" t="s">
        <v>13</v>
      </c>
      <c r="D89" s="18" t="s">
        <v>243</v>
      </c>
      <c r="E89" s="18" t="s">
        <v>198</v>
      </c>
      <c r="F89" s="18" t="s">
        <v>7</v>
      </c>
      <c r="G89" s="18">
        <f>62.6-31.2</f>
        <v>31.400000000000002</v>
      </c>
      <c r="H89" s="18">
        <v>2024</v>
      </c>
      <c r="I89" s="18" t="s">
        <v>309</v>
      </c>
      <c r="J89" s="18" t="s">
        <v>20</v>
      </c>
      <c r="K89" s="18">
        <v>2019</v>
      </c>
      <c r="L89" s="18" t="s">
        <v>305</v>
      </c>
      <c r="M89" s="18" t="s">
        <v>316</v>
      </c>
      <c r="N89" s="18" t="s">
        <v>293</v>
      </c>
      <c r="O89" s="18">
        <v>1</v>
      </c>
      <c r="P89" s="18" t="s">
        <v>151</v>
      </c>
      <c r="Q89" s="18" t="s">
        <v>150</v>
      </c>
      <c r="R89" s="18" t="s">
        <v>221</v>
      </c>
      <c r="S89" s="18" t="s">
        <v>158</v>
      </c>
      <c r="T89" s="18" t="s">
        <v>219</v>
      </c>
      <c r="U89" s="18" t="s">
        <v>219</v>
      </c>
      <c r="V89" s="18" t="s">
        <v>219</v>
      </c>
      <c r="W89" s="18" t="s">
        <v>187</v>
      </c>
      <c r="X89" s="18" t="s">
        <v>20</v>
      </c>
      <c r="Y89" s="18"/>
      <c r="Z89" s="18"/>
    </row>
    <row r="90" spans="1:26" x14ac:dyDescent="0.2">
      <c r="A90" s="6" t="s">
        <v>44</v>
      </c>
      <c r="B90" s="8">
        <v>77</v>
      </c>
      <c r="C90" s="17" t="s">
        <v>229</v>
      </c>
      <c r="D90" s="17" t="s">
        <v>244</v>
      </c>
      <c r="E90" s="17" t="s">
        <v>196</v>
      </c>
      <c r="F90" s="17" t="s">
        <v>45</v>
      </c>
      <c r="G90" s="17">
        <f>67.4-27.4</f>
        <v>40.000000000000007</v>
      </c>
      <c r="H90" s="17">
        <v>2024</v>
      </c>
      <c r="I90" s="18" t="s">
        <v>309</v>
      </c>
      <c r="J90" s="17" t="s">
        <v>20</v>
      </c>
      <c r="K90" s="17">
        <v>2007</v>
      </c>
      <c r="L90" s="18" t="s">
        <v>296</v>
      </c>
      <c r="M90" s="18" t="s">
        <v>20</v>
      </c>
      <c r="N90" s="17" t="s">
        <v>293</v>
      </c>
      <c r="O90" s="17">
        <v>3</v>
      </c>
      <c r="P90" s="17" t="s">
        <v>151</v>
      </c>
      <c r="Q90" s="17" t="s">
        <v>150</v>
      </c>
      <c r="R90" s="17" t="s">
        <v>205</v>
      </c>
      <c r="S90" s="17" t="s">
        <v>158</v>
      </c>
      <c r="T90" s="17" t="s">
        <v>170</v>
      </c>
      <c r="U90" s="17" t="s">
        <v>185</v>
      </c>
      <c r="V90" s="17" t="s">
        <v>186</v>
      </c>
      <c r="W90" s="17" t="s">
        <v>187</v>
      </c>
      <c r="X90" s="17" t="s">
        <v>192</v>
      </c>
      <c r="Y90" s="18"/>
      <c r="Z90" s="18"/>
    </row>
    <row r="91" spans="1:26" s="14" customFormat="1" x14ac:dyDescent="0.2">
      <c r="A91" s="6" t="s">
        <v>137</v>
      </c>
      <c r="B91" s="8">
        <v>78</v>
      </c>
      <c r="C91" s="18" t="s">
        <v>230</v>
      </c>
      <c r="D91" s="18" t="s">
        <v>244</v>
      </c>
      <c r="E91" s="18" t="s">
        <v>196</v>
      </c>
      <c r="F91" s="18" t="s">
        <v>15</v>
      </c>
      <c r="G91" s="18">
        <f>60-32.3</f>
        <v>27.700000000000003</v>
      </c>
      <c r="H91" s="18">
        <v>2022</v>
      </c>
      <c r="I91" s="18" t="s">
        <v>309</v>
      </c>
      <c r="J91" s="18" t="s">
        <v>20</v>
      </c>
      <c r="K91" s="18">
        <v>1975</v>
      </c>
      <c r="L91" s="14" t="s">
        <v>305</v>
      </c>
      <c r="M91" s="14" t="s">
        <v>20</v>
      </c>
      <c r="N91" s="18" t="s">
        <v>293</v>
      </c>
      <c r="O91" s="18">
        <v>8</v>
      </c>
      <c r="P91" s="18" t="s">
        <v>151</v>
      </c>
      <c r="Q91" s="18" t="s">
        <v>150</v>
      </c>
      <c r="R91" s="18" t="s">
        <v>204</v>
      </c>
      <c r="S91" s="18" t="s">
        <v>158</v>
      </c>
      <c r="T91" s="18" t="s">
        <v>172</v>
      </c>
      <c r="U91" s="18" t="s">
        <v>161</v>
      </c>
      <c r="V91" s="18" t="s">
        <v>194</v>
      </c>
      <c r="W91" s="18" t="s">
        <v>187</v>
      </c>
      <c r="X91" s="18" t="s">
        <v>192</v>
      </c>
    </row>
    <row r="92" spans="1:26" s="14" customFormat="1" x14ac:dyDescent="0.2">
      <c r="A92" s="6" t="s">
        <v>72</v>
      </c>
      <c r="B92" s="8">
        <v>60</v>
      </c>
      <c r="C92" s="18" t="s">
        <v>230</v>
      </c>
      <c r="D92" s="18" t="s">
        <v>268</v>
      </c>
      <c r="E92" s="18" t="s">
        <v>196</v>
      </c>
      <c r="F92" s="18" t="s">
        <v>15</v>
      </c>
      <c r="G92" s="18">
        <f>56.9-41.1</f>
        <v>15.799999999999997</v>
      </c>
      <c r="H92" s="18">
        <v>2024</v>
      </c>
      <c r="I92" s="18" t="s">
        <v>309</v>
      </c>
      <c r="J92" s="18" t="s">
        <v>20</v>
      </c>
      <c r="K92" s="18">
        <v>2013</v>
      </c>
      <c r="L92" s="18" t="s">
        <v>305</v>
      </c>
      <c r="M92" s="18" t="s">
        <v>20</v>
      </c>
      <c r="N92" s="18" t="s">
        <v>293</v>
      </c>
      <c r="O92" s="18">
        <v>2</v>
      </c>
      <c r="P92" s="18" t="s">
        <v>151</v>
      </c>
      <c r="Q92" s="18" t="s">
        <v>150</v>
      </c>
      <c r="R92" s="18" t="s">
        <v>190</v>
      </c>
      <c r="S92" s="18" t="s">
        <v>158</v>
      </c>
      <c r="T92" s="18" t="s">
        <v>170</v>
      </c>
      <c r="U92" s="18" t="s">
        <v>175</v>
      </c>
      <c r="V92" s="18" t="s">
        <v>168</v>
      </c>
      <c r="W92" s="18" t="s">
        <v>187</v>
      </c>
      <c r="X92" s="18" t="s">
        <v>20</v>
      </c>
    </row>
    <row r="93" spans="1:26" s="14" customFormat="1" x14ac:dyDescent="0.2">
      <c r="A93" s="6" t="s">
        <v>117</v>
      </c>
      <c r="B93" s="8">
        <v>63</v>
      </c>
      <c r="C93" s="18" t="s">
        <v>13</v>
      </c>
      <c r="D93" s="18" t="s">
        <v>268</v>
      </c>
      <c r="E93" s="18" t="s">
        <v>196</v>
      </c>
      <c r="F93" s="18" t="s">
        <v>15</v>
      </c>
      <c r="G93" s="18">
        <f>49.1-48.3</f>
        <v>0.80000000000000426</v>
      </c>
      <c r="H93" s="18">
        <v>2020</v>
      </c>
      <c r="I93" s="18" t="s">
        <v>20</v>
      </c>
      <c r="J93" s="18" t="s">
        <v>20</v>
      </c>
      <c r="K93" s="18">
        <v>2009</v>
      </c>
      <c r="L93" s="18" t="s">
        <v>304</v>
      </c>
      <c r="M93" s="18" t="s">
        <v>20</v>
      </c>
      <c r="N93" s="18" t="s">
        <v>294</v>
      </c>
      <c r="O93" s="18">
        <v>2</v>
      </c>
      <c r="P93" s="18" t="s">
        <v>151</v>
      </c>
      <c r="Q93" s="18" t="s">
        <v>150</v>
      </c>
      <c r="R93" s="18" t="s">
        <v>190</v>
      </c>
      <c r="S93" s="18" t="s">
        <v>158</v>
      </c>
      <c r="T93" s="18" t="s">
        <v>164</v>
      </c>
      <c r="U93" s="18" t="s">
        <v>173</v>
      </c>
      <c r="V93" s="18" t="s">
        <v>170</v>
      </c>
      <c r="W93" s="18" t="s">
        <v>187</v>
      </c>
      <c r="X93" s="18" t="s">
        <v>192</v>
      </c>
    </row>
    <row r="94" spans="1:26" s="14" customFormat="1" x14ac:dyDescent="0.2">
      <c r="A94" s="12" t="s">
        <v>90</v>
      </c>
      <c r="B94" s="13">
        <v>60</v>
      </c>
      <c r="C94" s="14" t="s">
        <v>230</v>
      </c>
      <c r="D94" s="14" t="s">
        <v>266</v>
      </c>
      <c r="E94" s="14" t="s">
        <v>196</v>
      </c>
      <c r="F94" s="14" t="s">
        <v>15</v>
      </c>
      <c r="G94" s="14">
        <f>58.6-41.6</f>
        <v>17</v>
      </c>
      <c r="H94" s="14">
        <v>2024</v>
      </c>
      <c r="I94" s="18" t="s">
        <v>309</v>
      </c>
      <c r="J94" s="14" t="s">
        <v>20</v>
      </c>
      <c r="K94" s="14">
        <v>2001</v>
      </c>
      <c r="L94" s="18" t="s">
        <v>305</v>
      </c>
      <c r="M94" s="18" t="s">
        <v>20</v>
      </c>
      <c r="N94" s="14" t="s">
        <v>294</v>
      </c>
      <c r="O94" s="14">
        <v>4</v>
      </c>
      <c r="P94" s="14" t="s">
        <v>151</v>
      </c>
      <c r="Q94" s="14" t="s">
        <v>149</v>
      </c>
      <c r="R94" s="14" t="s">
        <v>205</v>
      </c>
      <c r="S94" s="14" t="s">
        <v>158</v>
      </c>
      <c r="T94" s="14" t="s">
        <v>185</v>
      </c>
      <c r="U94" s="14" t="s">
        <v>173</v>
      </c>
      <c r="V94" s="14" t="s">
        <v>178</v>
      </c>
      <c r="W94" s="14" t="s">
        <v>187</v>
      </c>
      <c r="X94" s="14" t="s">
        <v>192</v>
      </c>
    </row>
    <row r="95" spans="1:26" s="14" customFormat="1" x14ac:dyDescent="0.2">
      <c r="A95" s="6" t="s">
        <v>33</v>
      </c>
      <c r="B95" s="8">
        <v>68</v>
      </c>
      <c r="C95" s="18" t="s">
        <v>19</v>
      </c>
      <c r="D95" s="18" t="s">
        <v>266</v>
      </c>
      <c r="E95" s="18" t="s">
        <v>196</v>
      </c>
      <c r="F95" s="18" t="s">
        <v>15</v>
      </c>
      <c r="G95" s="18">
        <f>59-41</f>
        <v>18</v>
      </c>
      <c r="H95" s="18">
        <v>2022</v>
      </c>
      <c r="I95" s="18" t="s">
        <v>309</v>
      </c>
      <c r="J95" s="18" t="s">
        <v>210</v>
      </c>
      <c r="K95" s="18">
        <v>1993</v>
      </c>
      <c r="L95" s="14" t="s">
        <v>305</v>
      </c>
      <c r="M95" s="14" t="s">
        <v>20</v>
      </c>
      <c r="N95" s="18" t="s">
        <v>293</v>
      </c>
      <c r="O95" s="18">
        <v>5</v>
      </c>
      <c r="P95" s="18" t="s">
        <v>151</v>
      </c>
      <c r="Q95" s="18" t="s">
        <v>149</v>
      </c>
      <c r="R95" s="18" t="s">
        <v>228</v>
      </c>
      <c r="S95" s="18" t="s">
        <v>158</v>
      </c>
      <c r="T95" s="18" t="s">
        <v>186</v>
      </c>
      <c r="U95" s="18" t="s">
        <v>172</v>
      </c>
      <c r="V95" s="18" t="s">
        <v>170</v>
      </c>
      <c r="W95" s="18" t="s">
        <v>187</v>
      </c>
      <c r="X95" s="18" t="s">
        <v>192</v>
      </c>
    </row>
    <row r="96" spans="1:26" s="14" customFormat="1" x14ac:dyDescent="0.2">
      <c r="A96" s="6" t="s">
        <v>118</v>
      </c>
      <c r="B96" s="8">
        <v>64</v>
      </c>
      <c r="C96" s="17" t="s">
        <v>13</v>
      </c>
      <c r="D96" s="17" t="s">
        <v>252</v>
      </c>
      <c r="E96" s="17" t="s">
        <v>198</v>
      </c>
      <c r="F96" s="17" t="s">
        <v>7</v>
      </c>
      <c r="G96" s="17">
        <f>62.1-34.5</f>
        <v>27.6</v>
      </c>
      <c r="H96" s="17">
        <v>2020</v>
      </c>
      <c r="I96" s="18" t="s">
        <v>20</v>
      </c>
      <c r="J96" s="17" t="s">
        <v>20</v>
      </c>
      <c r="K96" s="17">
        <v>2015</v>
      </c>
      <c r="L96" s="18" t="s">
        <v>304</v>
      </c>
      <c r="M96" s="18" t="s">
        <v>20</v>
      </c>
      <c r="N96" s="17" t="s">
        <v>293</v>
      </c>
      <c r="O96" s="17">
        <v>1</v>
      </c>
      <c r="P96" s="17" t="s">
        <v>151</v>
      </c>
      <c r="Q96" s="17" t="s">
        <v>149</v>
      </c>
      <c r="R96" s="17" t="s">
        <v>205</v>
      </c>
      <c r="S96" s="17" t="s">
        <v>158</v>
      </c>
      <c r="T96" s="17" t="s">
        <v>172</v>
      </c>
      <c r="U96" s="17" t="s">
        <v>178</v>
      </c>
      <c r="V96" s="17" t="s">
        <v>206</v>
      </c>
      <c r="W96" s="17" t="s">
        <v>187</v>
      </c>
      <c r="X96" s="17" t="s">
        <v>20</v>
      </c>
    </row>
    <row r="97" spans="1:24" s="14" customFormat="1" x14ac:dyDescent="0.2">
      <c r="A97" s="6" t="s">
        <v>57</v>
      </c>
      <c r="B97" s="8">
        <v>71</v>
      </c>
      <c r="C97" s="18" t="s">
        <v>13</v>
      </c>
      <c r="D97" s="18" t="s">
        <v>252</v>
      </c>
      <c r="E97" s="18" t="s">
        <v>198</v>
      </c>
      <c r="F97" s="18" t="s">
        <v>15</v>
      </c>
      <c r="G97" s="18">
        <f>49.5-46.3</f>
        <v>3.2000000000000028</v>
      </c>
      <c r="H97" s="18">
        <v>2024</v>
      </c>
      <c r="I97" s="18" t="s">
        <v>309</v>
      </c>
      <c r="J97" s="18" t="s">
        <v>20</v>
      </c>
      <c r="K97" s="18">
        <v>2010</v>
      </c>
      <c r="L97" s="18" t="s">
        <v>305</v>
      </c>
      <c r="M97" s="18" t="s">
        <v>20</v>
      </c>
      <c r="N97" s="18" t="s">
        <v>293</v>
      </c>
      <c r="O97" s="18">
        <v>2</v>
      </c>
      <c r="P97" s="18" t="s">
        <v>151</v>
      </c>
      <c r="Q97" s="18" t="s">
        <v>150</v>
      </c>
      <c r="R97" s="18" t="s">
        <v>190</v>
      </c>
      <c r="S97" s="18" t="s">
        <v>158</v>
      </c>
      <c r="T97" s="18" t="s">
        <v>172</v>
      </c>
      <c r="U97" s="18" t="s">
        <v>185</v>
      </c>
      <c r="V97" s="18" t="s">
        <v>225</v>
      </c>
      <c r="W97" s="18" t="s">
        <v>164</v>
      </c>
      <c r="X97" s="18" t="s">
        <v>20</v>
      </c>
    </row>
    <row r="98" spans="1:24" s="14" customFormat="1" x14ac:dyDescent="0.2">
      <c r="A98" s="6" t="s">
        <v>138</v>
      </c>
      <c r="B98" s="8">
        <v>63</v>
      </c>
      <c r="C98" s="18" t="s">
        <v>199</v>
      </c>
      <c r="D98" s="18" t="s">
        <v>277</v>
      </c>
      <c r="E98" s="18" t="s">
        <v>197</v>
      </c>
      <c r="F98" s="18" t="s">
        <v>7</v>
      </c>
      <c r="G98" s="18">
        <f>50.2-46.8</f>
        <v>3.4000000000000057</v>
      </c>
      <c r="H98" s="18">
        <v>2022</v>
      </c>
      <c r="I98" s="18" t="s">
        <v>309</v>
      </c>
      <c r="J98" s="18" t="s">
        <v>20</v>
      </c>
      <c r="K98" s="18">
        <v>2011</v>
      </c>
      <c r="L98" s="14" t="s">
        <v>305</v>
      </c>
      <c r="M98" s="14" t="s">
        <v>20</v>
      </c>
      <c r="N98" s="18" t="s">
        <v>294</v>
      </c>
      <c r="O98" s="18">
        <v>2</v>
      </c>
      <c r="P98" s="18" t="s">
        <v>151</v>
      </c>
      <c r="Q98" s="18" t="s">
        <v>150</v>
      </c>
      <c r="R98" s="18" t="s">
        <v>216</v>
      </c>
      <c r="S98" s="18" t="s">
        <v>158</v>
      </c>
      <c r="T98" s="18" t="s">
        <v>166</v>
      </c>
      <c r="U98" s="18" t="s">
        <v>170</v>
      </c>
      <c r="V98" s="18" t="s">
        <v>168</v>
      </c>
      <c r="W98" s="18" t="s">
        <v>187</v>
      </c>
      <c r="X98" s="18" t="s">
        <v>192</v>
      </c>
    </row>
    <row r="99" spans="1:24" s="14" customFormat="1" x14ac:dyDescent="0.2">
      <c r="A99" s="6" t="s">
        <v>53</v>
      </c>
      <c r="B99" s="8">
        <v>56</v>
      </c>
      <c r="C99" s="17" t="s">
        <v>230</v>
      </c>
      <c r="D99" s="17" t="s">
        <v>277</v>
      </c>
      <c r="E99" s="17" t="s">
        <v>197</v>
      </c>
      <c r="F99" s="17" t="s">
        <v>15</v>
      </c>
      <c r="G99" s="17">
        <f>55.4-44.5</f>
        <v>10.899999999999999</v>
      </c>
      <c r="H99" s="17">
        <v>2024</v>
      </c>
      <c r="I99" s="18" t="s">
        <v>309</v>
      </c>
      <c r="J99" s="17" t="s">
        <v>20</v>
      </c>
      <c r="K99" s="17">
        <v>2013</v>
      </c>
      <c r="L99" s="18" t="s">
        <v>305</v>
      </c>
      <c r="M99" s="18" t="s">
        <v>20</v>
      </c>
      <c r="N99" s="17" t="s">
        <v>293</v>
      </c>
      <c r="O99" s="17">
        <v>2</v>
      </c>
      <c r="P99" s="17" t="s">
        <v>151</v>
      </c>
      <c r="Q99" s="17" t="s">
        <v>149</v>
      </c>
      <c r="R99" s="17" t="s">
        <v>205</v>
      </c>
      <c r="S99" s="17" t="s">
        <v>158</v>
      </c>
      <c r="T99" s="17" t="s">
        <v>172</v>
      </c>
      <c r="U99" s="17" t="s">
        <v>178</v>
      </c>
      <c r="V99" s="17" t="s">
        <v>186</v>
      </c>
      <c r="W99" s="17" t="s">
        <v>187</v>
      </c>
      <c r="X99" s="17" t="s">
        <v>20</v>
      </c>
    </row>
    <row r="100" spans="1:24" s="14" customFormat="1" x14ac:dyDescent="0.2">
      <c r="A100" s="12" t="s">
        <v>64</v>
      </c>
      <c r="B100" s="13">
        <v>66</v>
      </c>
      <c r="C100" s="14" t="s">
        <v>199</v>
      </c>
      <c r="D100" s="14" t="s">
        <v>238</v>
      </c>
      <c r="E100" s="14" t="s">
        <v>198</v>
      </c>
      <c r="F100" s="14" t="s">
        <v>7</v>
      </c>
      <c r="G100" s="14">
        <f>67.1-30.1</f>
        <v>36.999999999999993</v>
      </c>
      <c r="H100" s="14">
        <v>2024</v>
      </c>
      <c r="I100" s="18" t="s">
        <v>309</v>
      </c>
      <c r="J100" s="14" t="s">
        <v>210</v>
      </c>
      <c r="K100" s="14">
        <v>2007</v>
      </c>
      <c r="L100" s="18" t="s">
        <v>305</v>
      </c>
      <c r="M100" s="18" t="s">
        <v>20</v>
      </c>
      <c r="N100" s="14" t="s">
        <v>295</v>
      </c>
      <c r="O100" s="14">
        <v>2</v>
      </c>
      <c r="P100" s="14" t="s">
        <v>151</v>
      </c>
      <c r="Q100" s="14" t="s">
        <v>150</v>
      </c>
      <c r="R100" s="14" t="s">
        <v>228</v>
      </c>
      <c r="S100" s="14" t="s">
        <v>203</v>
      </c>
      <c r="T100" s="14" t="s">
        <v>206</v>
      </c>
      <c r="U100" s="14" t="s">
        <v>168</v>
      </c>
      <c r="V100" s="14" t="s">
        <v>185</v>
      </c>
      <c r="W100" s="14" t="s">
        <v>187</v>
      </c>
      <c r="X100" s="14" t="s">
        <v>192</v>
      </c>
    </row>
    <row r="101" spans="1:24" s="14" customFormat="1" x14ac:dyDescent="0.2">
      <c r="A101" s="6" t="s">
        <v>119</v>
      </c>
      <c r="B101" s="8">
        <v>74</v>
      </c>
      <c r="C101" s="18" t="s">
        <v>6</v>
      </c>
      <c r="D101" s="18" t="s">
        <v>238</v>
      </c>
      <c r="E101" s="18" t="s">
        <v>198</v>
      </c>
      <c r="F101" s="18" t="s">
        <v>7</v>
      </c>
      <c r="G101" s="18">
        <f>72.2-17.5-8</f>
        <v>46.7</v>
      </c>
      <c r="H101" s="18">
        <v>2020</v>
      </c>
      <c r="I101" s="18" t="s">
        <v>312</v>
      </c>
      <c r="J101" s="18" t="s">
        <v>20</v>
      </c>
      <c r="K101" s="18">
        <v>1997</v>
      </c>
      <c r="L101" s="18" t="s">
        <v>298</v>
      </c>
      <c r="M101" s="18" t="s">
        <v>20</v>
      </c>
      <c r="N101" s="18" t="s">
        <v>293</v>
      </c>
      <c r="O101" s="18">
        <v>4</v>
      </c>
      <c r="P101" s="18" t="s">
        <v>151</v>
      </c>
      <c r="Q101" s="18" t="s">
        <v>150</v>
      </c>
      <c r="R101" s="18" t="s">
        <v>216</v>
      </c>
      <c r="S101" s="18" t="s">
        <v>158</v>
      </c>
      <c r="T101" s="18" t="s">
        <v>170</v>
      </c>
      <c r="U101" s="18" t="s">
        <v>173</v>
      </c>
      <c r="V101" s="18" t="s">
        <v>186</v>
      </c>
      <c r="W101" s="18" t="s">
        <v>187</v>
      </c>
      <c r="X101" s="18" t="s">
        <v>192</v>
      </c>
    </row>
  </sheetData>
  <sortState xmlns:xlrd2="http://schemas.microsoft.com/office/spreadsheetml/2017/richdata2" ref="A2:Z101">
    <sortCondition ref="D2:D101"/>
  </sortState>
  <conditionalFormatting sqref="H1:I1048576">
    <cfRule type="cellIs" dxfId="1" priority="2" operator="equal">
      <formula>2020</formula>
    </cfRule>
  </conditionalFormatting>
  <conditionalFormatting sqref="L1:M1048576">
    <cfRule type="cellIs" dxfId="0" priority="1" operator="equal">
      <formula>"Running for President"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0E427-FB58-A64A-93A4-19A757B05242}">
  <dimension ref="A1:V2"/>
  <sheetViews>
    <sheetView workbookViewId="0">
      <selection activeCell="G14" sqref="G14"/>
    </sheetView>
  </sheetViews>
  <sheetFormatPr baseColWidth="10" defaultRowHeight="16" x14ac:dyDescent="0.2"/>
  <sheetData>
    <row r="1" spans="1:22" s="24" customFormat="1" x14ac:dyDescent="0.2">
      <c r="A1" s="25" t="s">
        <v>299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</row>
    <row r="2" spans="1:22" s="24" customFormat="1" x14ac:dyDescent="0.2">
      <c r="A2" s="25"/>
      <c r="B2" s="25"/>
      <c r="C2" s="25"/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</row>
  </sheetData>
  <mergeCells count="1">
    <mergeCell ref="A1:V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9F6CC2-D095-7B46-883F-CC9C830A3AD2}">
  <dimension ref="A1:B24"/>
  <sheetViews>
    <sheetView workbookViewId="0">
      <selection activeCell="AF31" sqref="AF31"/>
    </sheetView>
  </sheetViews>
  <sheetFormatPr baseColWidth="10" defaultRowHeight="16" x14ac:dyDescent="0.2"/>
  <cols>
    <col min="1" max="1" width="28.6640625" bestFit="1" customWidth="1"/>
    <col min="2" max="2" width="14.83203125" bestFit="1" customWidth="1"/>
    <col min="3" max="3" width="2.1640625" bestFit="1" customWidth="1"/>
    <col min="4" max="19" width="4.1640625" bestFit="1" customWidth="1"/>
    <col min="20" max="20" width="2.1640625" bestFit="1" customWidth="1"/>
    <col min="21" max="23" width="4.1640625" bestFit="1" customWidth="1"/>
    <col min="24" max="25" width="2.1640625" bestFit="1" customWidth="1"/>
    <col min="26" max="27" width="4.1640625" bestFit="1" customWidth="1"/>
    <col min="28" max="28" width="2.1640625" bestFit="1" customWidth="1"/>
    <col min="29" max="29" width="4.1640625" bestFit="1" customWidth="1"/>
    <col min="30" max="30" width="3.1640625" bestFit="1" customWidth="1"/>
    <col min="31" max="46" width="5.1640625" bestFit="1" customWidth="1"/>
    <col min="47" max="47" width="3.1640625" bestFit="1" customWidth="1"/>
    <col min="48" max="49" width="5.1640625" bestFit="1" customWidth="1"/>
    <col min="50" max="50" width="3.1640625" bestFit="1" customWidth="1"/>
    <col min="51" max="56" width="5.1640625" bestFit="1" customWidth="1"/>
    <col min="57" max="57" width="3.1640625" bestFit="1" customWidth="1"/>
    <col min="58" max="58" width="5.1640625" bestFit="1" customWidth="1"/>
    <col min="59" max="59" width="3.1640625" bestFit="1" customWidth="1"/>
    <col min="60" max="63" width="5.1640625" bestFit="1" customWidth="1"/>
    <col min="64" max="64" width="3.1640625" bestFit="1" customWidth="1"/>
    <col min="65" max="77" width="5.1640625" bestFit="1" customWidth="1"/>
    <col min="78" max="78" width="3.1640625" bestFit="1" customWidth="1"/>
    <col min="79" max="79" width="5.1640625" bestFit="1" customWidth="1"/>
    <col min="80" max="82" width="3.1640625" bestFit="1" customWidth="1"/>
    <col min="83" max="83" width="5.1640625" bestFit="1" customWidth="1"/>
    <col min="84" max="84" width="3.1640625" bestFit="1" customWidth="1"/>
    <col min="85" max="93" width="5.1640625" bestFit="1" customWidth="1"/>
  </cols>
  <sheetData>
    <row r="1" spans="1:2" x14ac:dyDescent="0.2">
      <c r="A1" s="10" t="s">
        <v>232</v>
      </c>
      <c r="B1" t="s">
        <v>231</v>
      </c>
    </row>
    <row r="2" spans="1:2" x14ac:dyDescent="0.2">
      <c r="A2" s="6" t="s">
        <v>234</v>
      </c>
      <c r="B2" s="9">
        <v>1</v>
      </c>
    </row>
    <row r="3" spans="1:2" x14ac:dyDescent="0.2">
      <c r="A3" s="6" t="s">
        <v>216</v>
      </c>
      <c r="B3" s="9">
        <v>2</v>
      </c>
    </row>
    <row r="4" spans="1:2" x14ac:dyDescent="0.2">
      <c r="A4" s="6" t="s">
        <v>202</v>
      </c>
      <c r="B4" s="9">
        <v>1</v>
      </c>
    </row>
    <row r="5" spans="1:2" x14ac:dyDescent="0.2">
      <c r="A5" s="6" t="s">
        <v>204</v>
      </c>
      <c r="B5" s="9">
        <v>2</v>
      </c>
    </row>
    <row r="6" spans="1:2" x14ac:dyDescent="0.2">
      <c r="A6" s="6" t="s">
        <v>222</v>
      </c>
      <c r="B6" s="9">
        <v>1</v>
      </c>
    </row>
    <row r="7" spans="1:2" x14ac:dyDescent="0.2">
      <c r="A7" s="6" t="s">
        <v>190</v>
      </c>
      <c r="B7" s="9">
        <v>10</v>
      </c>
    </row>
    <row r="8" spans="1:2" x14ac:dyDescent="0.2">
      <c r="A8" s="6" t="s">
        <v>215</v>
      </c>
      <c r="B8" s="9">
        <v>3</v>
      </c>
    </row>
    <row r="9" spans="1:2" x14ac:dyDescent="0.2">
      <c r="A9" s="6" t="s">
        <v>167</v>
      </c>
      <c r="B9" s="9">
        <v>4</v>
      </c>
    </row>
    <row r="10" spans="1:2" x14ac:dyDescent="0.2">
      <c r="A10" s="6" t="s">
        <v>221</v>
      </c>
      <c r="B10" s="9">
        <v>1</v>
      </c>
    </row>
    <row r="11" spans="1:2" x14ac:dyDescent="0.2">
      <c r="A11" s="6" t="s">
        <v>155</v>
      </c>
      <c r="B11" s="9">
        <v>2</v>
      </c>
    </row>
    <row r="12" spans="1:2" x14ac:dyDescent="0.2">
      <c r="A12" s="6" t="s">
        <v>226</v>
      </c>
      <c r="B12" s="9">
        <v>1</v>
      </c>
    </row>
    <row r="13" spans="1:2" x14ac:dyDescent="0.2">
      <c r="A13" s="6" t="s">
        <v>217</v>
      </c>
      <c r="B13" s="9">
        <v>3</v>
      </c>
    </row>
    <row r="14" spans="1:2" x14ac:dyDescent="0.2">
      <c r="A14" s="6" t="s">
        <v>156</v>
      </c>
      <c r="B14" s="9">
        <v>1</v>
      </c>
    </row>
    <row r="15" spans="1:2" x14ac:dyDescent="0.2">
      <c r="A15" s="6" t="s">
        <v>154</v>
      </c>
      <c r="B15" s="9">
        <v>7</v>
      </c>
    </row>
    <row r="16" spans="1:2" x14ac:dyDescent="0.2">
      <c r="A16" s="6" t="s">
        <v>220</v>
      </c>
      <c r="B16" s="9">
        <v>3</v>
      </c>
    </row>
    <row r="17" spans="1:2" x14ac:dyDescent="0.2">
      <c r="A17" s="6" t="s">
        <v>224</v>
      </c>
      <c r="B17" s="9">
        <v>2</v>
      </c>
    </row>
    <row r="18" spans="1:2" x14ac:dyDescent="0.2">
      <c r="A18" s="6" t="s">
        <v>228</v>
      </c>
      <c r="B18" s="9">
        <v>2</v>
      </c>
    </row>
    <row r="19" spans="1:2" x14ac:dyDescent="0.2">
      <c r="A19" s="6" t="s">
        <v>218</v>
      </c>
      <c r="B19" s="9">
        <v>2</v>
      </c>
    </row>
    <row r="20" spans="1:2" x14ac:dyDescent="0.2">
      <c r="A20" s="6" t="s">
        <v>223</v>
      </c>
      <c r="B20" s="9">
        <v>2</v>
      </c>
    </row>
    <row r="21" spans="1:2" x14ac:dyDescent="0.2">
      <c r="A21" s="6" t="s">
        <v>227</v>
      </c>
      <c r="B21" s="9">
        <v>1</v>
      </c>
    </row>
    <row r="22" spans="1:2" x14ac:dyDescent="0.2">
      <c r="A22" s="6" t="s">
        <v>205</v>
      </c>
      <c r="B22" s="9">
        <v>48</v>
      </c>
    </row>
    <row r="23" spans="1:2" x14ac:dyDescent="0.2">
      <c r="A23" s="6" t="s">
        <v>235</v>
      </c>
      <c r="B23" s="9">
        <v>1</v>
      </c>
    </row>
    <row r="24" spans="1:2" x14ac:dyDescent="0.2">
      <c r="A24" s="6" t="s">
        <v>233</v>
      </c>
      <c r="B24" s="9">
        <v>100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3D9114-161D-7E41-BB87-6EBC211CBED0}">
  <dimension ref="A1:K18"/>
  <sheetViews>
    <sheetView workbookViewId="0">
      <selection activeCell="A3" sqref="A3"/>
    </sheetView>
  </sheetViews>
  <sheetFormatPr baseColWidth="10" defaultRowHeight="16" x14ac:dyDescent="0.2"/>
  <cols>
    <col min="1" max="1" width="14.83203125" bestFit="1" customWidth="1"/>
    <col min="2" max="2" width="15.5" bestFit="1" customWidth="1"/>
    <col min="3" max="4" width="10.33203125" bestFit="1" customWidth="1"/>
    <col min="5" max="5" width="12.83203125" bestFit="1" customWidth="1"/>
    <col min="6" max="6" width="13.6640625" bestFit="1" customWidth="1"/>
    <col min="7" max="7" width="16.33203125" bestFit="1" customWidth="1"/>
    <col min="8" max="8" width="9.33203125" bestFit="1" customWidth="1"/>
    <col min="9" max="9" width="10.1640625" bestFit="1" customWidth="1"/>
    <col min="10" max="11" width="10.83203125" bestFit="1" customWidth="1"/>
    <col min="12" max="12" width="10.1640625" bestFit="1" customWidth="1"/>
    <col min="13" max="14" width="10.83203125" bestFit="1" customWidth="1"/>
    <col min="15" max="15" width="14" bestFit="1" customWidth="1"/>
    <col min="16" max="16" width="16.33203125" bestFit="1" customWidth="1"/>
    <col min="17" max="17" width="11.5" bestFit="1" customWidth="1"/>
    <col min="18" max="18" width="5.33203125" bestFit="1" customWidth="1"/>
    <col min="19" max="19" width="14" bestFit="1" customWidth="1"/>
    <col min="20" max="20" width="13.5" bestFit="1" customWidth="1"/>
    <col min="21" max="21" width="16" bestFit="1" customWidth="1"/>
    <col min="22" max="22" width="12.33203125" bestFit="1" customWidth="1"/>
    <col min="23" max="23" width="5.33203125" bestFit="1" customWidth="1"/>
    <col min="24" max="24" width="14.83203125" bestFit="1" customWidth="1"/>
  </cols>
  <sheetData>
    <row r="1" spans="1:11" x14ac:dyDescent="0.2">
      <c r="A1" s="10" t="s">
        <v>148</v>
      </c>
      <c r="B1" t="s">
        <v>149</v>
      </c>
    </row>
    <row r="3" spans="1:11" x14ac:dyDescent="0.2">
      <c r="A3" s="10" t="s">
        <v>231</v>
      </c>
      <c r="B3" s="10" t="s">
        <v>288</v>
      </c>
    </row>
    <row r="4" spans="1:11" x14ac:dyDescent="0.2">
      <c r="B4" t="s">
        <v>146</v>
      </c>
      <c r="C4" t="s">
        <v>289</v>
      </c>
      <c r="D4" t="s">
        <v>147</v>
      </c>
      <c r="E4" t="s">
        <v>290</v>
      </c>
      <c r="F4" t="s">
        <v>152</v>
      </c>
      <c r="G4" t="s">
        <v>291</v>
      </c>
      <c r="H4" t="s">
        <v>151</v>
      </c>
      <c r="J4" t="s">
        <v>292</v>
      </c>
      <c r="K4" t="s">
        <v>233</v>
      </c>
    </row>
    <row r="5" spans="1:11" x14ac:dyDescent="0.2">
      <c r="A5" s="10" t="s">
        <v>232</v>
      </c>
      <c r="B5" t="s">
        <v>15</v>
      </c>
      <c r="D5" t="s">
        <v>15</v>
      </c>
      <c r="F5" t="s">
        <v>15</v>
      </c>
      <c r="H5" t="s">
        <v>15</v>
      </c>
      <c r="I5" t="s">
        <v>7</v>
      </c>
    </row>
    <row r="6" spans="1:11" x14ac:dyDescent="0.2">
      <c r="A6" s="6">
        <v>1992</v>
      </c>
      <c r="B6" s="9"/>
      <c r="C6" s="9"/>
      <c r="D6" s="9"/>
      <c r="E6" s="9"/>
      <c r="F6" s="9"/>
      <c r="G6" s="9"/>
      <c r="H6" s="9">
        <v>1</v>
      </c>
      <c r="I6" s="9"/>
      <c r="J6" s="9">
        <v>1</v>
      </c>
      <c r="K6" s="9">
        <v>1</v>
      </c>
    </row>
    <row r="7" spans="1:11" x14ac:dyDescent="0.2">
      <c r="A7" s="6">
        <v>1993</v>
      </c>
      <c r="B7" s="9"/>
      <c r="C7" s="9"/>
      <c r="D7" s="9"/>
      <c r="E7" s="9"/>
      <c r="F7" s="9"/>
      <c r="G7" s="9"/>
      <c r="H7" s="9">
        <v>1</v>
      </c>
      <c r="I7" s="9"/>
      <c r="J7" s="9">
        <v>1</v>
      </c>
      <c r="K7" s="9">
        <v>1</v>
      </c>
    </row>
    <row r="8" spans="1:11" x14ac:dyDescent="0.2">
      <c r="A8" s="6">
        <v>1997</v>
      </c>
      <c r="B8" s="9"/>
      <c r="C8" s="9"/>
      <c r="D8" s="9"/>
      <c r="E8" s="9"/>
      <c r="F8" s="9"/>
      <c r="G8" s="9"/>
      <c r="H8" s="9"/>
      <c r="I8" s="9">
        <v>1</v>
      </c>
      <c r="J8" s="9">
        <v>1</v>
      </c>
      <c r="K8" s="9">
        <v>1</v>
      </c>
    </row>
    <row r="9" spans="1:11" x14ac:dyDescent="0.2">
      <c r="A9" s="6">
        <v>2001</v>
      </c>
      <c r="B9" s="9"/>
      <c r="C9" s="9"/>
      <c r="D9" s="9"/>
      <c r="E9" s="9"/>
      <c r="F9" s="9"/>
      <c r="G9" s="9"/>
      <c r="H9" s="9">
        <v>2</v>
      </c>
      <c r="I9" s="9"/>
      <c r="J9" s="9">
        <v>2</v>
      </c>
      <c r="K9" s="9">
        <v>2</v>
      </c>
    </row>
    <row r="10" spans="1:11" x14ac:dyDescent="0.2">
      <c r="A10" s="6">
        <v>2002</v>
      </c>
      <c r="B10" s="9"/>
      <c r="C10" s="9"/>
      <c r="D10" s="9"/>
      <c r="E10" s="9"/>
      <c r="F10" s="9"/>
      <c r="G10" s="9"/>
      <c r="H10" s="9"/>
      <c r="I10" s="9">
        <v>1</v>
      </c>
      <c r="J10" s="9">
        <v>1</v>
      </c>
      <c r="K10" s="9">
        <v>1</v>
      </c>
    </row>
    <row r="11" spans="1:11" x14ac:dyDescent="0.2">
      <c r="A11" s="6">
        <v>2007</v>
      </c>
      <c r="B11" s="9"/>
      <c r="C11" s="9"/>
      <c r="D11" s="9"/>
      <c r="E11" s="9"/>
      <c r="F11" s="9"/>
      <c r="G11" s="9"/>
      <c r="H11" s="9">
        <v>1</v>
      </c>
      <c r="I11" s="9"/>
      <c r="J11" s="9">
        <v>1</v>
      </c>
      <c r="K11" s="9">
        <v>1</v>
      </c>
    </row>
    <row r="12" spans="1:11" x14ac:dyDescent="0.2">
      <c r="A12" s="6">
        <v>2009</v>
      </c>
      <c r="B12" s="9"/>
      <c r="C12" s="9"/>
      <c r="D12" s="9"/>
      <c r="E12" s="9"/>
      <c r="F12" s="9"/>
      <c r="G12" s="9"/>
      <c r="H12" s="9">
        <v>2</v>
      </c>
      <c r="I12" s="9"/>
      <c r="J12" s="9">
        <v>2</v>
      </c>
      <c r="K12" s="9">
        <v>2</v>
      </c>
    </row>
    <row r="13" spans="1:11" x14ac:dyDescent="0.2">
      <c r="A13" s="6">
        <v>2013</v>
      </c>
      <c r="B13" s="9"/>
      <c r="C13" s="9"/>
      <c r="D13" s="9"/>
      <c r="E13" s="9"/>
      <c r="F13" s="9">
        <v>1</v>
      </c>
      <c r="G13" s="9">
        <v>1</v>
      </c>
      <c r="H13" s="9">
        <v>2</v>
      </c>
      <c r="I13" s="9">
        <v>1</v>
      </c>
      <c r="J13" s="9">
        <v>3</v>
      </c>
      <c r="K13" s="9">
        <v>4</v>
      </c>
    </row>
    <row r="14" spans="1:11" x14ac:dyDescent="0.2">
      <c r="A14" s="6">
        <v>2015</v>
      </c>
      <c r="B14" s="9"/>
      <c r="C14" s="9"/>
      <c r="D14" s="9"/>
      <c r="E14" s="9"/>
      <c r="F14" s="9"/>
      <c r="G14" s="9"/>
      <c r="H14" s="9"/>
      <c r="I14" s="9">
        <v>2</v>
      </c>
      <c r="J14" s="9">
        <v>2</v>
      </c>
      <c r="K14" s="9">
        <v>2</v>
      </c>
    </row>
    <row r="15" spans="1:11" x14ac:dyDescent="0.2">
      <c r="A15" s="6">
        <v>2017</v>
      </c>
      <c r="B15" s="9">
        <v>1</v>
      </c>
      <c r="C15" s="9">
        <v>1</v>
      </c>
      <c r="D15" s="9">
        <v>1</v>
      </c>
      <c r="E15" s="9">
        <v>1</v>
      </c>
      <c r="F15" s="9">
        <v>1</v>
      </c>
      <c r="G15" s="9">
        <v>1</v>
      </c>
      <c r="H15" s="9">
        <v>1</v>
      </c>
      <c r="I15" s="9">
        <v>1</v>
      </c>
      <c r="J15" s="9">
        <v>2</v>
      </c>
      <c r="K15" s="9">
        <v>5</v>
      </c>
    </row>
    <row r="16" spans="1:11" x14ac:dyDescent="0.2">
      <c r="A16" s="6">
        <v>2018</v>
      </c>
      <c r="B16" s="9"/>
      <c r="C16" s="9"/>
      <c r="D16" s="9"/>
      <c r="E16" s="9"/>
      <c r="F16" s="9"/>
      <c r="G16" s="9"/>
      <c r="H16" s="9">
        <v>1</v>
      </c>
      <c r="I16" s="9"/>
      <c r="J16" s="9">
        <v>1</v>
      </c>
      <c r="K16" s="9">
        <v>1</v>
      </c>
    </row>
    <row r="17" spans="1:11" x14ac:dyDescent="0.2">
      <c r="A17" s="6">
        <v>2019</v>
      </c>
      <c r="B17" s="9"/>
      <c r="C17" s="9"/>
      <c r="D17" s="9"/>
      <c r="E17" s="9"/>
      <c r="F17" s="9"/>
      <c r="G17" s="9"/>
      <c r="H17" s="9">
        <v>2</v>
      </c>
      <c r="I17" s="9">
        <v>1</v>
      </c>
      <c r="J17" s="9">
        <v>3</v>
      </c>
      <c r="K17" s="9">
        <v>3</v>
      </c>
    </row>
    <row r="18" spans="1:11" x14ac:dyDescent="0.2">
      <c r="A18" s="6" t="s">
        <v>233</v>
      </c>
      <c r="B18" s="9">
        <v>1</v>
      </c>
      <c r="C18" s="9">
        <v>1</v>
      </c>
      <c r="D18" s="9">
        <v>1</v>
      </c>
      <c r="E18" s="9">
        <v>1</v>
      </c>
      <c r="F18" s="9">
        <v>2</v>
      </c>
      <c r="G18" s="9">
        <v>2</v>
      </c>
      <c r="H18" s="9">
        <v>13</v>
      </c>
      <c r="I18" s="9">
        <v>7</v>
      </c>
      <c r="J18" s="9">
        <v>20</v>
      </c>
      <c r="K18" s="9">
        <v>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42322B-3B34-7446-AD7E-708F3961B106}">
  <dimension ref="A1:O26"/>
  <sheetViews>
    <sheetView workbookViewId="0">
      <selection activeCell="L9" sqref="L9:O24"/>
    </sheetView>
  </sheetViews>
  <sheetFormatPr baseColWidth="10" defaultRowHeight="16" x14ac:dyDescent="0.2"/>
  <cols>
    <col min="1" max="1" width="18.83203125" customWidth="1"/>
    <col min="2" max="2" width="16.33203125" customWidth="1"/>
    <col min="7" max="7" width="19.33203125" customWidth="1"/>
    <col min="8" max="9" width="23.1640625" customWidth="1"/>
  </cols>
  <sheetData>
    <row r="1" spans="1:15" s="1" customForma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9</v>
      </c>
      <c r="G1" s="1" t="s">
        <v>10</v>
      </c>
      <c r="H1" s="1" t="s">
        <v>17</v>
      </c>
      <c r="I1" s="1" t="s">
        <v>144</v>
      </c>
    </row>
    <row r="2" spans="1:15" x14ac:dyDescent="0.2">
      <c r="A2" t="s">
        <v>101</v>
      </c>
      <c r="B2">
        <v>68</v>
      </c>
      <c r="C2" t="s">
        <v>47</v>
      </c>
      <c r="D2" t="s">
        <v>102</v>
      </c>
      <c r="E2" t="s">
        <v>7</v>
      </c>
      <c r="F2">
        <v>2020</v>
      </c>
      <c r="G2" t="s">
        <v>11</v>
      </c>
      <c r="H2" t="s">
        <v>20</v>
      </c>
    </row>
    <row r="3" spans="1:15" x14ac:dyDescent="0.2">
      <c r="A3" t="s">
        <v>110</v>
      </c>
      <c r="B3">
        <v>56</v>
      </c>
      <c r="C3" t="s">
        <v>47</v>
      </c>
      <c r="D3" t="s">
        <v>56</v>
      </c>
      <c r="E3" t="s">
        <v>7</v>
      </c>
      <c r="F3">
        <v>2020</v>
      </c>
      <c r="G3" t="s">
        <v>11</v>
      </c>
      <c r="H3" t="s">
        <v>20</v>
      </c>
    </row>
    <row r="4" spans="1:15" x14ac:dyDescent="0.2">
      <c r="A4" t="s">
        <v>123</v>
      </c>
      <c r="B4">
        <v>73</v>
      </c>
      <c r="C4" t="s">
        <v>47</v>
      </c>
      <c r="D4" t="s">
        <v>102</v>
      </c>
      <c r="E4" t="s">
        <v>7</v>
      </c>
      <c r="F4">
        <v>2022</v>
      </c>
      <c r="G4" t="s">
        <v>11</v>
      </c>
      <c r="H4" t="s">
        <v>20</v>
      </c>
    </row>
    <row r="5" spans="1:15" x14ac:dyDescent="0.2">
      <c r="A5" t="s">
        <v>127</v>
      </c>
      <c r="B5">
        <v>64</v>
      </c>
      <c r="C5" t="s">
        <v>47</v>
      </c>
      <c r="D5" t="s">
        <v>106</v>
      </c>
      <c r="E5" t="s">
        <v>7</v>
      </c>
      <c r="F5">
        <v>2022</v>
      </c>
      <c r="G5" t="s">
        <v>11</v>
      </c>
      <c r="H5" t="s">
        <v>20</v>
      </c>
    </row>
    <row r="6" spans="1:15" x14ac:dyDescent="0.2">
      <c r="A6" t="s">
        <v>131</v>
      </c>
      <c r="B6">
        <v>68</v>
      </c>
      <c r="C6" t="s">
        <v>47</v>
      </c>
      <c r="D6" t="s">
        <v>142</v>
      </c>
      <c r="E6" t="s">
        <v>7</v>
      </c>
      <c r="F6">
        <v>2022</v>
      </c>
      <c r="G6" t="s">
        <v>11</v>
      </c>
      <c r="H6" t="s">
        <v>20</v>
      </c>
    </row>
    <row r="7" spans="1:15" x14ac:dyDescent="0.2">
      <c r="A7" t="s">
        <v>80</v>
      </c>
      <c r="B7">
        <v>56</v>
      </c>
      <c r="C7" t="s">
        <v>47</v>
      </c>
      <c r="D7" t="s">
        <v>78</v>
      </c>
      <c r="E7" t="s">
        <v>7</v>
      </c>
      <c r="F7">
        <v>2022</v>
      </c>
      <c r="G7" t="s">
        <v>11</v>
      </c>
      <c r="H7" t="s">
        <v>20</v>
      </c>
    </row>
    <row r="8" spans="1:15" x14ac:dyDescent="0.2">
      <c r="A8" t="s">
        <v>138</v>
      </c>
      <c r="B8">
        <v>63</v>
      </c>
      <c r="C8" t="s">
        <v>47</v>
      </c>
      <c r="D8" t="s">
        <v>55</v>
      </c>
      <c r="E8" t="s">
        <v>7</v>
      </c>
      <c r="F8">
        <v>2022</v>
      </c>
      <c r="G8" t="s">
        <v>11</v>
      </c>
      <c r="H8" t="s">
        <v>20</v>
      </c>
    </row>
    <row r="9" spans="1:15" x14ac:dyDescent="0.2">
      <c r="A9" t="s">
        <v>140</v>
      </c>
      <c r="B9">
        <v>65</v>
      </c>
      <c r="C9" t="s">
        <v>47</v>
      </c>
      <c r="D9" t="s">
        <v>75</v>
      </c>
      <c r="E9" t="s">
        <v>7</v>
      </c>
      <c r="F9">
        <v>2024</v>
      </c>
      <c r="G9" t="s">
        <v>28</v>
      </c>
      <c r="H9" t="s">
        <v>20</v>
      </c>
      <c r="L9" s="19" t="s">
        <v>171</v>
      </c>
      <c r="M9" s="19"/>
      <c r="N9" s="19"/>
      <c r="O9" s="19"/>
    </row>
    <row r="10" spans="1:15" x14ac:dyDescent="0.2">
      <c r="A10" t="s">
        <v>67</v>
      </c>
      <c r="B10">
        <v>64</v>
      </c>
      <c r="C10" t="s">
        <v>47</v>
      </c>
      <c r="D10" t="s">
        <v>68</v>
      </c>
      <c r="E10" t="s">
        <v>7</v>
      </c>
      <c r="F10">
        <v>2024</v>
      </c>
      <c r="G10" t="s">
        <v>28</v>
      </c>
      <c r="H10" t="s">
        <v>20</v>
      </c>
      <c r="L10" s="3">
        <v>1</v>
      </c>
      <c r="M10" s="19" t="s">
        <v>172</v>
      </c>
      <c r="N10" s="19"/>
      <c r="O10" s="3" t="s">
        <v>180</v>
      </c>
    </row>
    <row r="11" spans="1:15" x14ac:dyDescent="0.2">
      <c r="A11" t="s">
        <v>84</v>
      </c>
      <c r="B11">
        <v>38</v>
      </c>
      <c r="C11" t="s">
        <v>47</v>
      </c>
      <c r="D11" t="s">
        <v>142</v>
      </c>
      <c r="E11" t="s">
        <v>7</v>
      </c>
      <c r="F11">
        <v>2024</v>
      </c>
      <c r="G11" t="s">
        <v>28</v>
      </c>
      <c r="H11" t="s">
        <v>20</v>
      </c>
      <c r="L11" s="3">
        <v>2</v>
      </c>
      <c r="M11" s="19" t="s">
        <v>161</v>
      </c>
      <c r="N11" s="19"/>
      <c r="O11" s="3" t="s">
        <v>181</v>
      </c>
    </row>
    <row r="12" spans="1:15" x14ac:dyDescent="0.2">
      <c r="A12" t="s">
        <v>87</v>
      </c>
      <c r="B12">
        <v>57</v>
      </c>
      <c r="C12" t="s">
        <v>47</v>
      </c>
      <c r="D12" t="s">
        <v>88</v>
      </c>
      <c r="E12" t="s">
        <v>7</v>
      </c>
      <c r="F12">
        <v>2024</v>
      </c>
      <c r="G12" t="s">
        <v>28</v>
      </c>
      <c r="H12" t="s">
        <v>20</v>
      </c>
      <c r="L12" s="3">
        <v>3</v>
      </c>
      <c r="M12" s="19" t="s">
        <v>173</v>
      </c>
      <c r="N12" s="19"/>
      <c r="O12" s="3" t="s">
        <v>180</v>
      </c>
    </row>
    <row r="13" spans="1:15" x14ac:dyDescent="0.2">
      <c r="A13" t="s">
        <v>46</v>
      </c>
      <c r="B13">
        <v>66</v>
      </c>
      <c r="C13" t="s">
        <v>47</v>
      </c>
      <c r="D13" t="s">
        <v>48</v>
      </c>
      <c r="E13" t="s">
        <v>7</v>
      </c>
      <c r="F13">
        <v>2024</v>
      </c>
      <c r="G13" t="s">
        <v>28</v>
      </c>
      <c r="H13" t="s">
        <v>20</v>
      </c>
      <c r="L13" s="3">
        <v>4</v>
      </c>
      <c r="M13" s="19" t="s">
        <v>170</v>
      </c>
      <c r="N13" s="19"/>
      <c r="O13" s="3" t="s">
        <v>180</v>
      </c>
    </row>
    <row r="14" spans="1:15" x14ac:dyDescent="0.2">
      <c r="A14" t="s">
        <v>82</v>
      </c>
      <c r="B14">
        <v>67</v>
      </c>
      <c r="C14" t="s">
        <v>47</v>
      </c>
      <c r="D14" t="s">
        <v>83</v>
      </c>
      <c r="E14" t="s">
        <v>7</v>
      </c>
      <c r="F14">
        <v>2024</v>
      </c>
      <c r="G14" t="s">
        <v>32</v>
      </c>
      <c r="H14" t="s">
        <v>20</v>
      </c>
      <c r="L14" s="3">
        <v>5</v>
      </c>
      <c r="M14" s="19" t="s">
        <v>176</v>
      </c>
      <c r="N14" s="19"/>
      <c r="O14" s="3" t="s">
        <v>180</v>
      </c>
    </row>
    <row r="15" spans="1:15" x14ac:dyDescent="0.2">
      <c r="A15" t="s">
        <v>85</v>
      </c>
      <c r="B15">
        <v>67</v>
      </c>
      <c r="C15" t="s">
        <v>47</v>
      </c>
      <c r="D15" t="s">
        <v>63</v>
      </c>
      <c r="E15" t="s">
        <v>7</v>
      </c>
      <c r="F15">
        <v>2024</v>
      </c>
      <c r="G15" t="s">
        <v>32</v>
      </c>
      <c r="H15" t="s">
        <v>20</v>
      </c>
      <c r="L15" s="3">
        <v>6</v>
      </c>
      <c r="M15" s="19" t="s">
        <v>174</v>
      </c>
      <c r="N15" s="19"/>
      <c r="O15" s="3" t="s">
        <v>182</v>
      </c>
    </row>
    <row r="16" spans="1:15" x14ac:dyDescent="0.2">
      <c r="A16" t="s">
        <v>76</v>
      </c>
      <c r="B16">
        <v>47</v>
      </c>
      <c r="C16" t="s">
        <v>47</v>
      </c>
      <c r="D16" t="s">
        <v>36</v>
      </c>
      <c r="E16" t="s">
        <v>7</v>
      </c>
      <c r="F16">
        <v>2024</v>
      </c>
      <c r="G16" t="s">
        <v>32</v>
      </c>
      <c r="H16" t="s">
        <v>20</v>
      </c>
      <c r="L16" s="3">
        <v>7</v>
      </c>
      <c r="M16" s="19" t="s">
        <v>175</v>
      </c>
      <c r="N16" s="19"/>
      <c r="O16" s="3" t="s">
        <v>183</v>
      </c>
    </row>
    <row r="17" spans="1:15" x14ac:dyDescent="0.2">
      <c r="A17" t="s">
        <v>64</v>
      </c>
      <c r="B17">
        <v>66</v>
      </c>
      <c r="C17" t="s">
        <v>47</v>
      </c>
      <c r="D17" t="s">
        <v>65</v>
      </c>
      <c r="E17" t="s">
        <v>7</v>
      </c>
      <c r="F17">
        <v>2024</v>
      </c>
      <c r="G17" t="s">
        <v>32</v>
      </c>
      <c r="H17">
        <v>4</v>
      </c>
      <c r="L17" s="3">
        <v>8</v>
      </c>
      <c r="M17" s="19" t="s">
        <v>168</v>
      </c>
      <c r="N17" s="19"/>
      <c r="O17" s="3" t="s">
        <v>183</v>
      </c>
    </row>
    <row r="18" spans="1:15" x14ac:dyDescent="0.2">
      <c r="A18" t="s">
        <v>113</v>
      </c>
      <c r="B18">
        <v>83</v>
      </c>
      <c r="C18" t="s">
        <v>47</v>
      </c>
      <c r="D18" t="s">
        <v>114</v>
      </c>
      <c r="E18" t="s">
        <v>7</v>
      </c>
      <c r="F18">
        <v>2020</v>
      </c>
      <c r="G18" t="s">
        <v>115</v>
      </c>
      <c r="H18" t="s">
        <v>20</v>
      </c>
      <c r="L18" s="3">
        <v>9</v>
      </c>
      <c r="M18" s="19" t="s">
        <v>179</v>
      </c>
      <c r="N18" s="19"/>
      <c r="O18" s="3" t="s">
        <v>180</v>
      </c>
    </row>
    <row r="19" spans="1:15" x14ac:dyDescent="0.2">
      <c r="A19" t="s">
        <v>39</v>
      </c>
      <c r="B19">
        <v>62</v>
      </c>
      <c r="C19" t="s">
        <v>47</v>
      </c>
      <c r="D19" t="s">
        <v>8</v>
      </c>
      <c r="E19" t="s">
        <v>7</v>
      </c>
      <c r="F19">
        <v>2022</v>
      </c>
      <c r="G19" t="s">
        <v>16</v>
      </c>
      <c r="H19" t="s">
        <v>38</v>
      </c>
      <c r="L19" s="3">
        <v>10</v>
      </c>
      <c r="M19" s="19" t="s">
        <v>178</v>
      </c>
      <c r="N19" s="19"/>
      <c r="O19" s="3" t="s">
        <v>180</v>
      </c>
    </row>
    <row r="20" spans="1:15" x14ac:dyDescent="0.2">
      <c r="A20" t="s">
        <v>49</v>
      </c>
      <c r="B20">
        <v>44</v>
      </c>
      <c r="C20" t="s">
        <v>47</v>
      </c>
      <c r="D20" t="s">
        <v>50</v>
      </c>
      <c r="E20" t="s">
        <v>7</v>
      </c>
      <c r="F20">
        <v>2020</v>
      </c>
      <c r="G20" t="s">
        <v>22</v>
      </c>
      <c r="H20" t="s">
        <v>43</v>
      </c>
      <c r="L20" s="3">
        <v>11</v>
      </c>
      <c r="M20" s="19" t="s">
        <v>177</v>
      </c>
      <c r="N20" s="19"/>
      <c r="O20" s="3" t="s">
        <v>180</v>
      </c>
    </row>
    <row r="21" spans="1:15" x14ac:dyDescent="0.2">
      <c r="A21" t="s">
        <v>121</v>
      </c>
      <c r="B21">
        <v>67</v>
      </c>
      <c r="C21" t="s">
        <v>47</v>
      </c>
      <c r="D21" t="s">
        <v>50</v>
      </c>
      <c r="E21" t="s">
        <v>7</v>
      </c>
      <c r="F21">
        <v>2022</v>
      </c>
      <c r="G21" t="s">
        <v>22</v>
      </c>
      <c r="H21" t="s">
        <v>20</v>
      </c>
      <c r="L21" s="3">
        <v>12</v>
      </c>
      <c r="M21" s="19" t="s">
        <v>166</v>
      </c>
      <c r="N21" s="19"/>
      <c r="O21" s="3" t="s">
        <v>184</v>
      </c>
    </row>
    <row r="22" spans="1:15" x14ac:dyDescent="0.2">
      <c r="A22" t="s">
        <v>96</v>
      </c>
      <c r="B22">
        <v>48</v>
      </c>
      <c r="C22" t="s">
        <v>47</v>
      </c>
      <c r="D22" t="s">
        <v>97</v>
      </c>
      <c r="E22" t="s">
        <v>7</v>
      </c>
      <c r="F22">
        <v>2020</v>
      </c>
      <c r="G22" t="s">
        <v>22</v>
      </c>
      <c r="H22" t="s">
        <v>20</v>
      </c>
      <c r="L22" s="3">
        <v>13</v>
      </c>
      <c r="M22" s="19" t="s">
        <v>185</v>
      </c>
      <c r="N22" s="19"/>
      <c r="O22" s="3" t="s">
        <v>180</v>
      </c>
    </row>
    <row r="23" spans="1:15" x14ac:dyDescent="0.2">
      <c r="A23" t="s">
        <v>124</v>
      </c>
      <c r="B23">
        <v>67</v>
      </c>
      <c r="C23" t="s">
        <v>47</v>
      </c>
      <c r="D23" t="s">
        <v>104</v>
      </c>
      <c r="E23" t="s">
        <v>7</v>
      </c>
      <c r="F23">
        <v>2022</v>
      </c>
      <c r="G23" t="s">
        <v>22</v>
      </c>
      <c r="H23" t="s">
        <v>20</v>
      </c>
      <c r="L23" s="3">
        <v>14</v>
      </c>
      <c r="M23" s="19" t="s">
        <v>186</v>
      </c>
      <c r="N23" s="19"/>
      <c r="O23" s="3" t="s">
        <v>180</v>
      </c>
    </row>
    <row r="24" spans="1:15" x14ac:dyDescent="0.2">
      <c r="A24" t="s">
        <v>103</v>
      </c>
      <c r="B24">
        <v>75</v>
      </c>
      <c r="C24" t="s">
        <v>47</v>
      </c>
      <c r="D24" t="s">
        <v>104</v>
      </c>
      <c r="E24" t="s">
        <v>7</v>
      </c>
      <c r="F24">
        <v>2020</v>
      </c>
      <c r="G24" t="s">
        <v>22</v>
      </c>
      <c r="H24" t="s">
        <v>20</v>
      </c>
      <c r="L24" s="3">
        <v>15</v>
      </c>
      <c r="M24" s="19" t="s">
        <v>188</v>
      </c>
      <c r="N24" s="19"/>
      <c r="O24" s="3" t="s">
        <v>182</v>
      </c>
    </row>
    <row r="25" spans="1:15" x14ac:dyDescent="0.2">
      <c r="A25" t="s">
        <v>105</v>
      </c>
      <c r="B25">
        <v>82</v>
      </c>
      <c r="C25" t="s">
        <v>47</v>
      </c>
      <c r="D25" t="s">
        <v>106</v>
      </c>
      <c r="E25" t="s">
        <v>7</v>
      </c>
      <c r="F25">
        <v>2020</v>
      </c>
      <c r="G25" t="s">
        <v>22</v>
      </c>
      <c r="H25" t="s">
        <v>20</v>
      </c>
    </row>
    <row r="26" spans="1:15" x14ac:dyDescent="0.2">
      <c r="A26" t="s">
        <v>98</v>
      </c>
      <c r="B26">
        <v>63</v>
      </c>
      <c r="C26" t="s">
        <v>47</v>
      </c>
      <c r="D26" t="s">
        <v>99</v>
      </c>
      <c r="E26" t="s">
        <v>7</v>
      </c>
      <c r="F26">
        <v>2020</v>
      </c>
      <c r="G26" t="s">
        <v>22</v>
      </c>
      <c r="H26" t="s">
        <v>20</v>
      </c>
    </row>
  </sheetData>
  <sortState xmlns:xlrd2="http://schemas.microsoft.com/office/spreadsheetml/2017/richdata2" ref="A2:H8">
    <sortCondition ref="F2:F8"/>
  </sortState>
  <mergeCells count="16">
    <mergeCell ref="M11:N11"/>
    <mergeCell ref="M19:N19"/>
    <mergeCell ref="L9:O9"/>
    <mergeCell ref="M10:N10"/>
    <mergeCell ref="M12:N12"/>
    <mergeCell ref="M14:N14"/>
    <mergeCell ref="M15:N15"/>
    <mergeCell ref="M17:N17"/>
    <mergeCell ref="M24:N24"/>
    <mergeCell ref="M18:N18"/>
    <mergeCell ref="M16:N16"/>
    <mergeCell ref="M20:N20"/>
    <mergeCell ref="M13:N13"/>
    <mergeCell ref="M21:N21"/>
    <mergeCell ref="M22:N22"/>
    <mergeCell ref="M23:N23"/>
  </mergeCells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Current</vt:lpstr>
      <vt:lpstr>Past</vt:lpstr>
      <vt:lpstr>Prior Careers</vt:lpstr>
      <vt:lpstr>Ethnicities</vt:lpstr>
      <vt:lpstr>Committees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Tracy Caldwell-gatsos</dc:creator>
  <cp:lastModifiedBy>Noah Caldwell-Gatsos</cp:lastModifiedBy>
  <dcterms:created xsi:type="dcterms:W3CDTF">2018-11-09T19:47:41Z</dcterms:created>
  <dcterms:modified xsi:type="dcterms:W3CDTF">2019-09-05T15:03:26Z</dcterms:modified>
</cp:coreProperties>
</file>